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GO.PINEDA\Documents\SUBA\CONTRATOS SUBA 2023\43. CONSERVACION MALLA VIAL\24-03-2023\"/>
    </mc:Choice>
  </mc:AlternateContent>
  <bookViews>
    <workbookView xWindow="-105" yWindow="-105" windowWidth="23250" windowHeight="12450" firstSheet="1" activeTab="1"/>
  </bookViews>
  <sheets>
    <sheet name="Base" sheetId="2" r:id="rId1"/>
    <sheet name="FORMULARIO" sheetId="4" r:id="rId2"/>
    <sheet name="PRESUPUESTO OFICIAL" sheetId="3" r:id="rId3"/>
    <sheet name="DedicProfObr" sheetId="5" r:id="rId4"/>
    <sheet name="AIU" sheetId="6" r:id="rId5"/>
    <sheet name="PPTO_DIAGN" sheetId="7" r:id="rId6"/>
    <sheet name="PPTO_AMB" sheetId="8" r:id="rId7"/>
    <sheet name="PPTO_SOCIAL" sheetId="9" r:id="rId8"/>
    <sheet name="PPTO_PMT" sheetId="10" r:id="rId9"/>
    <sheet name="169339" sheetId="11" r:id="rId10"/>
    <sheet name="175729" sheetId="12" r:id="rId11"/>
    <sheet name="175731" sheetId="13" r:id="rId12"/>
    <sheet name="176634" sheetId="14" r:id="rId13"/>
    <sheet name="167437" sheetId="15" r:id="rId14"/>
    <sheet name="176277" sheetId="16" r:id="rId15"/>
    <sheet name="172488" sheetId="17" r:id="rId16"/>
    <sheet name="174993" sheetId="18" r:id="rId17"/>
    <sheet name="174992" sheetId="19" r:id="rId18"/>
    <sheet name="174991" sheetId="20" r:id="rId19"/>
    <sheet name="169238" sheetId="21" r:id="rId20"/>
    <sheet name="174103" sheetId="22" r:id="rId21"/>
    <sheet name="174146" sheetId="23" r:id="rId22"/>
    <sheet name="174147" sheetId="24" r:id="rId23"/>
    <sheet name="800044" sheetId="25" r:id="rId24"/>
    <sheet name="171265" sheetId="26" r:id="rId25"/>
    <sheet name="171267" sheetId="27" r:id="rId26"/>
    <sheet name="171266" sheetId="28" r:id="rId27"/>
    <sheet name="167909" sheetId="29" r:id="rId28"/>
    <sheet name="91100218" sheetId="30" r:id="rId29"/>
    <sheet name="91100346" sheetId="31" r:id="rId30"/>
    <sheet name="91104122" sheetId="32" r:id="rId31"/>
    <sheet name="91100345" sheetId="33" r:id="rId32"/>
    <sheet name="472369" sheetId="34" r:id="rId33"/>
    <sheet name="472370" sheetId="35" r:id="rId34"/>
    <sheet name="173502" sheetId="36" r:id="rId35"/>
    <sheet name="472371" sheetId="37" r:id="rId36"/>
    <sheet name="173501" sheetId="38" r:id="rId37"/>
    <sheet name="173807" sheetId="39" r:id="rId38"/>
    <sheet name="91020581" sheetId="40" r:id="rId39"/>
    <sheet name="173808" sheetId="41" r:id="rId40"/>
    <sheet name="173809" sheetId="42" r:id="rId41"/>
    <sheet name="177523" sheetId="43" r:id="rId42"/>
    <sheet name="175849" sheetId="44" r:id="rId43"/>
    <sheet name="176248" sheetId="45" r:id="rId44"/>
    <sheet name="176420" sheetId="46" r:id="rId45"/>
    <sheet name="176418" sheetId="47" r:id="rId46"/>
    <sheet name="175670" sheetId="48" r:id="rId47"/>
    <sheet name="91100290" sheetId="49" r:id="rId48"/>
    <sheet name="175669" sheetId="50" r:id="rId49"/>
    <sheet name="472420" sheetId="51" r:id="rId50"/>
    <sheet name="173989" sheetId="52" r:id="rId51"/>
    <sheet name="173988" sheetId="53" r:id="rId52"/>
    <sheet name="91019827" sheetId="54" r:id="rId53"/>
    <sheet name="91013890" sheetId="55" r:id="rId54"/>
    <sheet name="91013885" sheetId="56" r:id="rId55"/>
    <sheet name="91013842" sheetId="57" r:id="rId56"/>
    <sheet name="168477" sheetId="58" r:id="rId57"/>
    <sheet name="53781" sheetId="59" r:id="rId58"/>
  </sheets>
  <externalReferences>
    <externalReference r:id="rId59"/>
    <externalReference r:id="rId60"/>
    <externalReference r:id="rId61"/>
    <externalReference r:id="rId62"/>
    <externalReference r:id="rId63"/>
  </externalReferences>
  <definedNames>
    <definedName name="_________key2" localSheetId="1" hidden="1">[1]INST!#REF!</definedName>
    <definedName name="_________key2" hidden="1">[1]INST!#REF!</definedName>
    <definedName name="________key2" localSheetId="1" hidden="1">[2]INST!#REF!</definedName>
    <definedName name="________key2" hidden="1">[2]INST!#REF!</definedName>
    <definedName name="________key3" localSheetId="1" hidden="1">#REF!</definedName>
    <definedName name="________key3" hidden="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localSheetId="1" hidden="1">[2]INST!#REF!</definedName>
    <definedName name="___key2" hidden="1">[2]INST!#REF!</definedName>
    <definedName name="___key3" localSheetId="1" hidden="1">#REF!</definedName>
    <definedName name="___key3" hidden="1">#REF!</definedName>
    <definedName name="___key31" localSheetId="1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1" hidden="1">[3]INST!#REF!</definedName>
    <definedName name="__key2" hidden="1">[3]INST!#REF!</definedName>
    <definedName name="__key21" localSheetId="1" hidden="1">[2]INST!#REF!</definedName>
    <definedName name="__key21" hidden="1">[2]INST!#REF!</definedName>
    <definedName name="__key3" localSheetId="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localSheetId="1" hidden="1">{#N/A,#N/A,TRUE,"1842CWN0"}</definedName>
    <definedName name="_A1" hidden="1">{#N/A,#N/A,TRUE,"1842CWN0"}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6" hidden="1">PPTO_AMB!$A$1:$O$258</definedName>
    <definedName name="_xlnm._FilterDatabase" localSheetId="8" hidden="1">PPTO_PMT!$A$1:$O$58</definedName>
    <definedName name="_xlnm._FilterDatabase" localSheetId="7" hidden="1">PPTO_SOCIAL!$A$1:$O$71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ort" hidden="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1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ACTAAJUSTE3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3">'167437'!$A$12:$I$73</definedName>
    <definedName name="_xlnm.Print_Area" localSheetId="27">'167909'!$A$12:$I$73</definedName>
    <definedName name="_xlnm.Print_Area" localSheetId="56">'168477'!$A$12:$I$73</definedName>
    <definedName name="_xlnm.Print_Area" localSheetId="19">'169238'!$A$12:$I$73</definedName>
    <definedName name="_xlnm.Print_Area" localSheetId="9">'169339'!$A$12:$I$73</definedName>
    <definedName name="_xlnm.Print_Area" localSheetId="24">'171265'!$A$12:$I$73</definedName>
    <definedName name="_xlnm.Print_Area" localSheetId="26">'171266'!$A$12:$I$73</definedName>
    <definedName name="_xlnm.Print_Area" localSheetId="25">'171267'!$A$12:$I$73</definedName>
    <definedName name="_xlnm.Print_Area" localSheetId="15">'172488'!$A$12:$I$73</definedName>
    <definedName name="_xlnm.Print_Area" localSheetId="36">'173501'!$A$12:$I$73</definedName>
    <definedName name="_xlnm.Print_Area" localSheetId="34">'173502'!$A$12:$I$73</definedName>
    <definedName name="_xlnm.Print_Area" localSheetId="37">'173807'!$A$12:$I$73</definedName>
    <definedName name="_xlnm.Print_Area" localSheetId="39">'173808'!$A$12:$I$73</definedName>
    <definedName name="_xlnm.Print_Area" localSheetId="40">'173809'!$A$12:$I$73</definedName>
    <definedName name="_xlnm.Print_Area" localSheetId="51">'173988'!$A$12:$I$73</definedName>
    <definedName name="_xlnm.Print_Area" localSheetId="50">'173989'!$A$12:$I$73</definedName>
    <definedName name="_xlnm.Print_Area" localSheetId="20">'174103'!$A$12:$I$73</definedName>
    <definedName name="_xlnm.Print_Area" localSheetId="21">'174146'!$A$12:$I$73</definedName>
    <definedName name="_xlnm.Print_Area" localSheetId="22">'174147'!$A$12:$I$73</definedName>
    <definedName name="_xlnm.Print_Area" localSheetId="18">'174991'!$A$12:$I$73</definedName>
    <definedName name="_xlnm.Print_Area" localSheetId="17">'174992'!$A$12:$I$73</definedName>
    <definedName name="_xlnm.Print_Area" localSheetId="16">'174993'!$A$12:$I$73</definedName>
    <definedName name="_xlnm.Print_Area" localSheetId="48">'175669'!$A$12:$I$73</definedName>
    <definedName name="_xlnm.Print_Area" localSheetId="46">'175670'!$A$12:$I$73</definedName>
    <definedName name="_xlnm.Print_Area" localSheetId="10">'175729'!$A$12:$I$73</definedName>
    <definedName name="_xlnm.Print_Area" localSheetId="11">'175731'!$A$12:$I$73</definedName>
    <definedName name="_xlnm.Print_Area" localSheetId="42">'175849'!$A$12:$I$73</definedName>
    <definedName name="_xlnm.Print_Area" localSheetId="43">'176248'!$A$12:$I$73</definedName>
    <definedName name="_xlnm.Print_Area" localSheetId="14">'176277'!$A$12:$I$73</definedName>
    <definedName name="_xlnm.Print_Area" localSheetId="45">'176418'!$A$12:$I$73</definedName>
    <definedName name="_xlnm.Print_Area" localSheetId="44">'176420'!$A$12:$I$73</definedName>
    <definedName name="_xlnm.Print_Area" localSheetId="12">'176634'!$A$12:$I$73</definedName>
    <definedName name="_xlnm.Print_Area" localSheetId="41">'177523'!$A$12:$I$73</definedName>
    <definedName name="_xlnm.Print_Area" localSheetId="32">'472369'!$A$12:$I$73</definedName>
    <definedName name="_xlnm.Print_Area" localSheetId="33">'472370'!$A$12:$I$73</definedName>
    <definedName name="_xlnm.Print_Area" localSheetId="35">'472371'!$A$12:$I$73</definedName>
    <definedName name="_xlnm.Print_Area" localSheetId="49">'472420'!$A$12:$I$73</definedName>
    <definedName name="_xlnm.Print_Area" localSheetId="57">'53781'!$A$12:$I$73</definedName>
    <definedName name="_xlnm.Print_Area" localSheetId="23">'800044'!$A$12:$I$73</definedName>
    <definedName name="_xlnm.Print_Area" localSheetId="55">'91013842'!$A$12:$I$73</definedName>
    <definedName name="_xlnm.Print_Area" localSheetId="54">'91013885'!$A$12:$I$73</definedName>
    <definedName name="_xlnm.Print_Area" localSheetId="53">'91013890'!$A$12:$I$73</definedName>
    <definedName name="_xlnm.Print_Area" localSheetId="52">'91019827'!$A$12:$I$73</definedName>
    <definedName name="_xlnm.Print_Area" localSheetId="38">'91020581'!$A$12:$I$73</definedName>
    <definedName name="_xlnm.Print_Area" localSheetId="28">'91100218'!$A$12:$I$73</definedName>
    <definedName name="_xlnm.Print_Area" localSheetId="47">'91100290'!$A$12:$I$73</definedName>
    <definedName name="_xlnm.Print_Area" localSheetId="31">'91100345'!$A$12:$I$73</definedName>
    <definedName name="_xlnm.Print_Area" localSheetId="29">'91100346'!$A$12:$I$73</definedName>
    <definedName name="_xlnm.Print_Area" localSheetId="30">'91104122'!$A$12:$I$73</definedName>
    <definedName name="_xlnm.Print_Area" localSheetId="4">AIU!$A$1:$K$217</definedName>
    <definedName name="_xlnm.Print_Area" localSheetId="0">Base!$B$1:$H$26</definedName>
    <definedName name="_xlnm.Print_Area" localSheetId="3">DedicProfObr!$A$4:$Y$50</definedName>
    <definedName name="_xlnm.Print_Area" localSheetId="1">FORMULARIO!$B$1:$L$312</definedName>
    <definedName name="_xlnm.Print_Area" localSheetId="6">PPTO_AMB!$B$2:$N$255</definedName>
    <definedName name="_xlnm.Print_Area" localSheetId="5">PPTO_DIAGN!$A$1:$K$63</definedName>
    <definedName name="_xlnm.Print_Area" localSheetId="8">PPTO_PMT!$B$2:$N$55</definedName>
    <definedName name="_xlnm.Print_Area" localSheetId="7">PPTO_SOCIAL!$B$2:$N$68</definedName>
    <definedName name="_xlnm.Print_Area" localSheetId="2">'PRESUPUESTO OFICIAL'!$A$12:$K$80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iv" localSheetId="1" hidden="1">{#N/A,#N/A,TRUE,"1842CWN0"}</definedName>
    <definedName name="civ" hidden="1">{#N/A,#N/A,TRUE,"1842CWN0"}</definedName>
    <definedName name="cjsa" hidden="1">#REF!</definedName>
    <definedName name="costo2" hidden="1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1" hidden="1">{#N/A,#N/A,TRUE,"1842CWN0"}</definedName>
    <definedName name="DDE" hidden="1">{#N/A,#N/A,TRUE,"1842CWN0"}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1" hidden="1">{#N/A,#N/A,TRUE,"1842CWN0"}</definedName>
    <definedName name="DFDE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1" hidden="1">{#N/A,#N/A,TRUE,"1842CWN0"}</definedName>
    <definedName name="DGFEE" hidden="1">{#N/A,#N/A,TRUE,"1842CWN0"}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1" hidden="1">{#N/A,#N/A,TRUE,"1842CWN0"}</definedName>
    <definedName name="DGFR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hidden="1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hidden="1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AC" hidden="1">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DL" localSheetId="1" hidden="1">{#N/A,#N/A,TRUE,"1842CWN0"}</definedName>
    <definedName name="KDL" hidden="1">{#N/A,#N/A,TRUE,"1842CWN0"}</definedName>
    <definedName name="kdmfm" hidden="1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t" localSheetId="1" hidden="1">{#N/A,#N/A,TRUE,"1842CWN0"}</definedName>
    <definedName name="met" hidden="1">{#N/A,#N/A,TRUE,"1842CWN0"}</definedName>
    <definedName name="metal" localSheetId="1" hidden="1">{#N/A,#N/A,TRUE,"1842CWN0"}</definedName>
    <definedName name="metal" hidden="1">{#N/A,#N/A,TRUE,"1842CWN0"}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ROVISIONALES" hidden="1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1" hidden="1">[4]INST!#REF!</definedName>
    <definedName name="TK_1" hidden="1">[4]INST!#REF!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0" i="59" l="1"/>
  <c r="G69" i="59"/>
  <c r="G68" i="59"/>
  <c r="H68" i="59" s="1"/>
  <c r="H67" i="59"/>
  <c r="G62" i="59"/>
  <c r="H62" i="59" s="1"/>
  <c r="G61" i="59"/>
  <c r="G60" i="59"/>
  <c r="H59" i="59"/>
  <c r="G54" i="59"/>
  <c r="G53" i="59"/>
  <c r="G52" i="59"/>
  <c r="G46" i="59"/>
  <c r="G45" i="59"/>
  <c r="G44" i="59"/>
  <c r="G38" i="59"/>
  <c r="G37" i="59"/>
  <c r="G36" i="59"/>
  <c r="G30" i="59"/>
  <c r="G29" i="59"/>
  <c r="G28" i="59"/>
  <c r="C14" i="59" a="1"/>
  <c r="C14" i="59" s="1"/>
  <c r="A9" i="59"/>
  <c r="A8" i="59"/>
  <c r="B7" i="59"/>
  <c r="B6" i="59" s="1"/>
  <c r="A7" i="59"/>
  <c r="A6" i="59"/>
  <c r="A5" i="59"/>
  <c r="A4" i="59"/>
  <c r="A3" i="59"/>
  <c r="A2" i="59"/>
  <c r="A1" i="59"/>
  <c r="G70" i="58"/>
  <c r="G69" i="58"/>
  <c r="G68" i="58"/>
  <c r="H68" i="58"/>
  <c r="H67" i="58"/>
  <c r="G62" i="58"/>
  <c r="H62" i="58"/>
  <c r="G61" i="58"/>
  <c r="G60" i="58"/>
  <c r="H59" i="58"/>
  <c r="G54" i="58"/>
  <c r="G53" i="58"/>
  <c r="G52" i="58"/>
  <c r="G46" i="58"/>
  <c r="G45" i="58"/>
  <c r="G44" i="58"/>
  <c r="G38" i="58"/>
  <c r="G37" i="58"/>
  <c r="G36" i="58"/>
  <c r="G30" i="58"/>
  <c r="G29" i="58"/>
  <c r="G28" i="58"/>
  <c r="C14" i="58" a="1"/>
  <c r="C14" i="58" s="1"/>
  <c r="A9" i="58"/>
  <c r="A8" i="58"/>
  <c r="B7" i="58"/>
  <c r="B8" i="58" s="1"/>
  <c r="A7" i="58"/>
  <c r="A6" i="58"/>
  <c r="A5" i="58"/>
  <c r="A4" i="58"/>
  <c r="A3" i="58"/>
  <c r="A2" i="58"/>
  <c r="A1" i="58"/>
  <c r="G70" i="57"/>
  <c r="G69" i="57"/>
  <c r="G68" i="57"/>
  <c r="H68" i="57" s="1"/>
  <c r="H67" i="57"/>
  <c r="G62" i="57"/>
  <c r="H62" i="57"/>
  <c r="G61" i="57"/>
  <c r="G60" i="57"/>
  <c r="H59" i="57"/>
  <c r="G54" i="57"/>
  <c r="G53" i="57"/>
  <c r="G52" i="57"/>
  <c r="G46" i="57"/>
  <c r="G45" i="57"/>
  <c r="G44" i="57"/>
  <c r="G38" i="57"/>
  <c r="G37" i="57"/>
  <c r="G36" i="57"/>
  <c r="G30" i="57"/>
  <c r="G29" i="57"/>
  <c r="G28" i="57"/>
  <c r="C14" i="57" a="1"/>
  <c r="C14" i="57" s="1"/>
  <c r="A9" i="57"/>
  <c r="A8" i="57"/>
  <c r="B7" i="57"/>
  <c r="B6" i="57" s="1"/>
  <c r="A7" i="57"/>
  <c r="A6" i="57"/>
  <c r="A5" i="57"/>
  <c r="A4" i="57"/>
  <c r="A3" i="57"/>
  <c r="A2" i="57"/>
  <c r="A1" i="57"/>
  <c r="G70" i="56"/>
  <c r="G69" i="56"/>
  <c r="G68" i="56"/>
  <c r="H68" i="56"/>
  <c r="H67" i="56"/>
  <c r="G62" i="56"/>
  <c r="H62" i="56"/>
  <c r="G61" i="56"/>
  <c r="G60" i="56"/>
  <c r="H59" i="56"/>
  <c r="G54" i="56"/>
  <c r="G53" i="56"/>
  <c r="G52" i="56"/>
  <c r="G46" i="56"/>
  <c r="G45" i="56"/>
  <c r="G44" i="56"/>
  <c r="G38" i="56"/>
  <c r="G37" i="56"/>
  <c r="G36" i="56"/>
  <c r="G30" i="56"/>
  <c r="G29" i="56"/>
  <c r="G28" i="56"/>
  <c r="C14" i="56" a="1"/>
  <c r="C14" i="56" s="1"/>
  <c r="A9" i="56"/>
  <c r="A8" i="56"/>
  <c r="B7" i="56"/>
  <c r="B8" i="56" s="1"/>
  <c r="A7" i="56"/>
  <c r="A6" i="56"/>
  <c r="A5" i="56"/>
  <c r="A4" i="56"/>
  <c r="A3" i="56"/>
  <c r="A2" i="56"/>
  <c r="A1" i="56"/>
  <c r="G70" i="55"/>
  <c r="G69" i="55"/>
  <c r="G68" i="55"/>
  <c r="H68" i="55" s="1"/>
  <c r="H67" i="55"/>
  <c r="G62" i="55"/>
  <c r="H62" i="55"/>
  <c r="G61" i="55"/>
  <c r="G60" i="55"/>
  <c r="H59" i="55"/>
  <c r="G54" i="55"/>
  <c r="G53" i="55"/>
  <c r="G52" i="55"/>
  <c r="G46" i="55"/>
  <c r="G45" i="55"/>
  <c r="G44" i="55"/>
  <c r="G38" i="55"/>
  <c r="G37" i="55"/>
  <c r="G36" i="55"/>
  <c r="G30" i="55"/>
  <c r="G29" i="55"/>
  <c r="G28" i="55"/>
  <c r="C14" i="55" a="1"/>
  <c r="C14" i="55" s="1"/>
  <c r="A9" i="55"/>
  <c r="A8" i="55"/>
  <c r="B7" i="55"/>
  <c r="B6" i="55" s="1"/>
  <c r="A7" i="55"/>
  <c r="A6" i="55"/>
  <c r="A5" i="55"/>
  <c r="A4" i="55"/>
  <c r="A3" i="55"/>
  <c r="A2" i="55"/>
  <c r="A1" i="55"/>
  <c r="G70" i="54"/>
  <c r="G69" i="54"/>
  <c r="G68" i="54"/>
  <c r="H68" i="54"/>
  <c r="H67" i="54"/>
  <c r="H62" i="54"/>
  <c r="G62" i="54"/>
  <c r="G61" i="54"/>
  <c r="G60" i="54"/>
  <c r="H59" i="54"/>
  <c r="G54" i="54"/>
  <c r="G53" i="54"/>
  <c r="G52" i="54"/>
  <c r="G46" i="54"/>
  <c r="G45" i="54"/>
  <c r="G44" i="54"/>
  <c r="G38" i="54"/>
  <c r="G37" i="54"/>
  <c r="G36" i="54"/>
  <c r="G30" i="54"/>
  <c r="G29" i="54"/>
  <c r="G28" i="54"/>
  <c r="C14" i="54" a="1"/>
  <c r="C14" i="54" s="1"/>
  <c r="A9" i="54"/>
  <c r="A8" i="54"/>
  <c r="B7" i="54"/>
  <c r="B8" i="54" s="1"/>
  <c r="A7" i="54"/>
  <c r="A6" i="54"/>
  <c r="A5" i="54"/>
  <c r="A4" i="54"/>
  <c r="A3" i="54"/>
  <c r="A2" i="54"/>
  <c r="A1" i="54"/>
  <c r="G70" i="53"/>
  <c r="G69" i="53"/>
  <c r="G68" i="53"/>
  <c r="H68" i="53" s="1"/>
  <c r="H67" i="53"/>
  <c r="G62" i="53"/>
  <c r="H62" i="53"/>
  <c r="G61" i="53"/>
  <c r="G60" i="53"/>
  <c r="H59" i="53"/>
  <c r="G54" i="53"/>
  <c r="G53" i="53"/>
  <c r="G52" i="53"/>
  <c r="G46" i="53"/>
  <c r="G45" i="53"/>
  <c r="G44" i="53"/>
  <c r="G38" i="53"/>
  <c r="G37" i="53"/>
  <c r="G36" i="53"/>
  <c r="G30" i="53"/>
  <c r="G29" i="53"/>
  <c r="G28" i="53"/>
  <c r="C14" i="53" a="1"/>
  <c r="C14" i="53" s="1"/>
  <c r="A9" i="53"/>
  <c r="A8" i="53"/>
  <c r="B7" i="53"/>
  <c r="B8" i="53" s="1"/>
  <c r="A7" i="53"/>
  <c r="A6" i="53"/>
  <c r="A5" i="53"/>
  <c r="A4" i="53"/>
  <c r="A3" i="53"/>
  <c r="A2" i="53"/>
  <c r="A1" i="53"/>
  <c r="G70" i="52"/>
  <c r="G69" i="52"/>
  <c r="G68" i="52"/>
  <c r="H68" i="52"/>
  <c r="H67" i="52"/>
  <c r="H62" i="52"/>
  <c r="G62" i="52"/>
  <c r="G61" i="52"/>
  <c r="G60" i="52"/>
  <c r="H59" i="52"/>
  <c r="G54" i="52"/>
  <c r="G53" i="52"/>
  <c r="G52" i="52"/>
  <c r="G46" i="52"/>
  <c r="G45" i="52"/>
  <c r="G44" i="52"/>
  <c r="G38" i="52"/>
  <c r="G37" i="52"/>
  <c r="G36" i="52"/>
  <c r="G30" i="52"/>
  <c r="G29" i="52"/>
  <c r="G28" i="52"/>
  <c r="C14" i="52" a="1"/>
  <c r="C14" i="52" s="1"/>
  <c r="A9" i="52"/>
  <c r="A8" i="52"/>
  <c r="B7" i="52"/>
  <c r="B6" i="52" s="1"/>
  <c r="A7" i="52"/>
  <c r="A6" i="52"/>
  <c r="A5" i="52"/>
  <c r="A4" i="52"/>
  <c r="A3" i="52"/>
  <c r="A2" i="52"/>
  <c r="A1" i="52"/>
  <c r="G70" i="51"/>
  <c r="G69" i="51"/>
  <c r="H68" i="51"/>
  <c r="G68" i="51"/>
  <c r="H67" i="51"/>
  <c r="H62" i="51"/>
  <c r="G62" i="51"/>
  <c r="G61" i="51"/>
  <c r="G60" i="51"/>
  <c r="H59" i="51"/>
  <c r="G54" i="51"/>
  <c r="G53" i="51"/>
  <c r="G52" i="51"/>
  <c r="G46" i="51"/>
  <c r="G45" i="51"/>
  <c r="G44" i="51"/>
  <c r="G38" i="51"/>
  <c r="G37" i="51"/>
  <c r="G36" i="51"/>
  <c r="G30" i="51"/>
  <c r="G29" i="51"/>
  <c r="G28" i="51"/>
  <c r="C14" i="51" a="1"/>
  <c r="C14" i="51" s="1"/>
  <c r="A9" i="51"/>
  <c r="A8" i="51"/>
  <c r="B7" i="51"/>
  <c r="B3" i="51" s="1"/>
  <c r="A7" i="51"/>
  <c r="A6" i="51"/>
  <c r="A5" i="51"/>
  <c r="A4" i="51"/>
  <c r="A3" i="51"/>
  <c r="A2" i="51"/>
  <c r="A1" i="51"/>
  <c r="G70" i="50"/>
  <c r="G69" i="50"/>
  <c r="H68" i="50"/>
  <c r="G68" i="50"/>
  <c r="H67" i="50"/>
  <c r="G62" i="50"/>
  <c r="H62" i="50"/>
  <c r="G61" i="50"/>
  <c r="G60" i="50"/>
  <c r="H59" i="50"/>
  <c r="G54" i="50"/>
  <c r="G53" i="50"/>
  <c r="G52" i="50"/>
  <c r="G46" i="50"/>
  <c r="G45" i="50"/>
  <c r="G44" i="50"/>
  <c r="G38" i="50"/>
  <c r="G37" i="50"/>
  <c r="G36" i="50"/>
  <c r="G30" i="50"/>
  <c r="G29" i="50"/>
  <c r="G28" i="50"/>
  <c r="C14" i="50" a="1"/>
  <c r="C14" i="50" s="1"/>
  <c r="A9" i="50"/>
  <c r="A8" i="50"/>
  <c r="B7" i="50"/>
  <c r="B6" i="50" s="1"/>
  <c r="A7" i="50"/>
  <c r="A6" i="50"/>
  <c r="A5" i="50"/>
  <c r="A4" i="50"/>
  <c r="A3" i="50"/>
  <c r="A2" i="50"/>
  <c r="A1" i="50"/>
  <c r="G70" i="49"/>
  <c r="G69" i="49"/>
  <c r="H68" i="49"/>
  <c r="G68" i="49"/>
  <c r="H67" i="49"/>
  <c r="H62" i="49"/>
  <c r="G62" i="49"/>
  <c r="G61" i="49"/>
  <c r="G60" i="49"/>
  <c r="H59" i="49"/>
  <c r="G54" i="49"/>
  <c r="G53" i="49"/>
  <c r="G52" i="49"/>
  <c r="G46" i="49"/>
  <c r="G45" i="49"/>
  <c r="G44" i="49"/>
  <c r="G38" i="49"/>
  <c r="G37" i="49"/>
  <c r="G36" i="49"/>
  <c r="G30" i="49"/>
  <c r="G29" i="49"/>
  <c r="G28" i="49"/>
  <c r="C14" i="49" a="1"/>
  <c r="C14" i="49" s="1"/>
  <c r="A9" i="49"/>
  <c r="A8" i="49"/>
  <c r="B7" i="49"/>
  <c r="A7" i="49"/>
  <c r="A6" i="49"/>
  <c r="A5" i="49"/>
  <c r="A4" i="49"/>
  <c r="A3" i="49"/>
  <c r="A2" i="49"/>
  <c r="A1" i="49"/>
  <c r="G70" i="48"/>
  <c r="G69" i="48"/>
  <c r="H68" i="48"/>
  <c r="G68" i="48"/>
  <c r="H67" i="48"/>
  <c r="G62" i="48"/>
  <c r="G61" i="48"/>
  <c r="G60" i="48"/>
  <c r="H59" i="48"/>
  <c r="G54" i="48"/>
  <c r="G53" i="48"/>
  <c r="G52" i="48"/>
  <c r="G46" i="48"/>
  <c r="G45" i="48"/>
  <c r="G44" i="48"/>
  <c r="G38" i="48"/>
  <c r="G37" i="48"/>
  <c r="G36" i="48"/>
  <c r="G30" i="48"/>
  <c r="G29" i="48"/>
  <c r="G28" i="48"/>
  <c r="C14" i="48" a="1"/>
  <c r="C14" i="48" s="1"/>
  <c r="A9" i="48"/>
  <c r="A8" i="48"/>
  <c r="B7" i="48"/>
  <c r="B1" i="48" s="1"/>
  <c r="A7" i="48"/>
  <c r="A6" i="48"/>
  <c r="A5" i="48"/>
  <c r="A4" i="48"/>
  <c r="A3" i="48"/>
  <c r="A2" i="48"/>
  <c r="A1" i="48"/>
  <c r="G70" i="47"/>
  <c r="G69" i="47"/>
  <c r="G68" i="47"/>
  <c r="H68" i="47"/>
  <c r="H67" i="47"/>
  <c r="H62" i="47"/>
  <c r="G62" i="47"/>
  <c r="G61" i="47"/>
  <c r="G60" i="47"/>
  <c r="H59" i="47"/>
  <c r="G54" i="47"/>
  <c r="G53" i="47"/>
  <c r="G52" i="47"/>
  <c r="G46" i="47"/>
  <c r="G45" i="47"/>
  <c r="G44" i="47"/>
  <c r="G38" i="47"/>
  <c r="G37" i="47"/>
  <c r="G36" i="47"/>
  <c r="G30" i="47"/>
  <c r="G29" i="47"/>
  <c r="G28" i="47"/>
  <c r="C14" i="47" a="1"/>
  <c r="C14" i="47" s="1"/>
  <c r="A9" i="47"/>
  <c r="A8" i="47"/>
  <c r="B7" i="47"/>
  <c r="B9" i="47" s="1"/>
  <c r="A7" i="47"/>
  <c r="A6" i="47"/>
  <c r="A5" i="47"/>
  <c r="A4" i="47"/>
  <c r="A3" i="47"/>
  <c r="A2" i="47"/>
  <c r="A1" i="47"/>
  <c r="G70" i="46"/>
  <c r="G69" i="46"/>
  <c r="G68" i="46"/>
  <c r="H68" i="46" s="1"/>
  <c r="H67" i="46"/>
  <c r="G62" i="46"/>
  <c r="H62" i="46"/>
  <c r="G61" i="46"/>
  <c r="G60" i="46"/>
  <c r="H59" i="46"/>
  <c r="G54" i="46"/>
  <c r="G53" i="46"/>
  <c r="G52" i="46"/>
  <c r="G46" i="46"/>
  <c r="G45" i="46"/>
  <c r="G44" i="46"/>
  <c r="G38" i="46"/>
  <c r="G37" i="46"/>
  <c r="G36" i="46"/>
  <c r="G30" i="46"/>
  <c r="G29" i="46"/>
  <c r="G28" i="46"/>
  <c r="C14" i="46" a="1"/>
  <c r="C14" i="46" s="1"/>
  <c r="A9" i="46"/>
  <c r="A8" i="46"/>
  <c r="B7" i="46"/>
  <c r="B6" i="46" s="1"/>
  <c r="A7" i="46"/>
  <c r="A6" i="46"/>
  <c r="A5" i="46"/>
  <c r="A4" i="46"/>
  <c r="A3" i="46"/>
  <c r="A2" i="46"/>
  <c r="A1" i="46"/>
  <c r="G70" i="45"/>
  <c r="G69" i="45"/>
  <c r="G68" i="45"/>
  <c r="H67" i="45"/>
  <c r="H62" i="45"/>
  <c r="G62" i="45"/>
  <c r="G61" i="45"/>
  <c r="G60" i="45"/>
  <c r="H59" i="45"/>
  <c r="G54" i="45"/>
  <c r="G53" i="45"/>
  <c r="G52" i="45"/>
  <c r="G46" i="45"/>
  <c r="G45" i="45"/>
  <c r="G44" i="45"/>
  <c r="G38" i="45"/>
  <c r="G37" i="45"/>
  <c r="G36" i="45"/>
  <c r="G30" i="45"/>
  <c r="G29" i="45"/>
  <c r="G28" i="45"/>
  <c r="C14" i="45" a="1"/>
  <c r="C14" i="45" s="1"/>
  <c r="A9" i="45"/>
  <c r="A8" i="45"/>
  <c r="B7" i="45"/>
  <c r="B9" i="45" s="1"/>
  <c r="A7" i="45"/>
  <c r="A6" i="45"/>
  <c r="A5" i="45"/>
  <c r="A4" i="45"/>
  <c r="A3" i="45"/>
  <c r="A2" i="45"/>
  <c r="A1" i="45"/>
  <c r="G70" i="44"/>
  <c r="G69" i="44"/>
  <c r="G68" i="44"/>
  <c r="H68" i="44" s="1"/>
  <c r="H67" i="44"/>
  <c r="G62" i="44"/>
  <c r="H62" i="44"/>
  <c r="G61" i="44"/>
  <c r="G60" i="44"/>
  <c r="H59" i="44"/>
  <c r="G54" i="44"/>
  <c r="G53" i="44"/>
  <c r="G52" i="44"/>
  <c r="G46" i="44"/>
  <c r="G45" i="44"/>
  <c r="G44" i="44"/>
  <c r="G38" i="44"/>
  <c r="G37" i="44"/>
  <c r="G36" i="44"/>
  <c r="G30" i="44"/>
  <c r="G29" i="44"/>
  <c r="G28" i="44"/>
  <c r="C14" i="44" a="1"/>
  <c r="C14" i="44" s="1"/>
  <c r="A9" i="44"/>
  <c r="A8" i="44"/>
  <c r="B7" i="44"/>
  <c r="B6" i="44" s="1"/>
  <c r="A7" i="44"/>
  <c r="A6" i="44"/>
  <c r="A5" i="44"/>
  <c r="A4" i="44"/>
  <c r="A3" i="44"/>
  <c r="A2" i="44"/>
  <c r="A1" i="44"/>
  <c r="G70" i="43"/>
  <c r="G69" i="43"/>
  <c r="G68" i="43"/>
  <c r="H67" i="43"/>
  <c r="H62" i="43"/>
  <c r="G62" i="43"/>
  <c r="G61" i="43"/>
  <c r="G60" i="43"/>
  <c r="H59" i="43"/>
  <c r="G54" i="43"/>
  <c r="G53" i="43"/>
  <c r="G52" i="43"/>
  <c r="G46" i="43"/>
  <c r="G45" i="43"/>
  <c r="G44" i="43"/>
  <c r="G38" i="43"/>
  <c r="G37" i="43"/>
  <c r="G36" i="43"/>
  <c r="G30" i="43"/>
  <c r="G29" i="43"/>
  <c r="G28" i="43"/>
  <c r="C14" i="43" a="1"/>
  <c r="C14" i="43" s="1"/>
  <c r="A9" i="43"/>
  <c r="A8" i="43"/>
  <c r="B7" i="43"/>
  <c r="B9" i="43" s="1"/>
  <c r="A7" i="43"/>
  <c r="A6" i="43"/>
  <c r="A5" i="43"/>
  <c r="A4" i="43"/>
  <c r="A3" i="43"/>
  <c r="A2" i="43"/>
  <c r="A1" i="43"/>
  <c r="G70" i="42"/>
  <c r="G69" i="42"/>
  <c r="G68" i="42"/>
  <c r="H68" i="42" s="1"/>
  <c r="H67" i="42"/>
  <c r="G62" i="42"/>
  <c r="H62" i="42"/>
  <c r="G61" i="42"/>
  <c r="G60" i="42"/>
  <c r="H59" i="42"/>
  <c r="G54" i="42"/>
  <c r="G53" i="42"/>
  <c r="G52" i="42"/>
  <c r="G46" i="42"/>
  <c r="G45" i="42"/>
  <c r="G44" i="42"/>
  <c r="G38" i="42"/>
  <c r="G37" i="42"/>
  <c r="G36" i="42"/>
  <c r="G30" i="42"/>
  <c r="G29" i="42"/>
  <c r="G28" i="42"/>
  <c r="C14" i="42" a="1"/>
  <c r="C14" i="42" s="1"/>
  <c r="A9" i="42"/>
  <c r="A8" i="42"/>
  <c r="B7" i="42"/>
  <c r="B6" i="42" s="1"/>
  <c r="A7" i="42"/>
  <c r="A6" i="42"/>
  <c r="A5" i="42"/>
  <c r="A4" i="42"/>
  <c r="A3" i="42"/>
  <c r="A2" i="42"/>
  <c r="A1" i="42"/>
  <c r="G70" i="41"/>
  <c r="G69" i="41"/>
  <c r="H68" i="41"/>
  <c r="G68" i="41"/>
  <c r="H67" i="41"/>
  <c r="H62" i="41"/>
  <c r="G62" i="41"/>
  <c r="G61" i="41"/>
  <c r="G60" i="41"/>
  <c r="H59" i="41"/>
  <c r="G54" i="41"/>
  <c r="G53" i="41"/>
  <c r="G52" i="41"/>
  <c r="G46" i="41"/>
  <c r="G45" i="41"/>
  <c r="G44" i="41"/>
  <c r="G38" i="41"/>
  <c r="G37" i="41"/>
  <c r="G36" i="41"/>
  <c r="G30" i="41"/>
  <c r="G29" i="41"/>
  <c r="G28" i="41"/>
  <c r="C14" i="41" a="1"/>
  <c r="C14" i="41" s="1"/>
  <c r="A9" i="41"/>
  <c r="A8" i="41"/>
  <c r="B7" i="41"/>
  <c r="B2" i="41" s="1"/>
  <c r="A7" i="41"/>
  <c r="A6" i="41"/>
  <c r="A5" i="41"/>
  <c r="A4" i="41"/>
  <c r="A3" i="41"/>
  <c r="A2" i="41"/>
  <c r="A1" i="41"/>
  <c r="G70" i="40"/>
  <c r="G69" i="40"/>
  <c r="H68" i="40"/>
  <c r="G68" i="40"/>
  <c r="H67" i="40"/>
  <c r="G62" i="40"/>
  <c r="H62" i="40"/>
  <c r="G61" i="40"/>
  <c r="G60" i="40"/>
  <c r="H59" i="40"/>
  <c r="G54" i="40"/>
  <c r="G53" i="40"/>
  <c r="G52" i="40"/>
  <c r="G46" i="40"/>
  <c r="G45" i="40"/>
  <c r="G44" i="40"/>
  <c r="G38" i="40"/>
  <c r="G37" i="40"/>
  <c r="G36" i="40"/>
  <c r="G30" i="40"/>
  <c r="G29" i="40"/>
  <c r="G28" i="40"/>
  <c r="C14" i="40" a="1"/>
  <c r="C14" i="40" s="1"/>
  <c r="A9" i="40"/>
  <c r="A8" i="40"/>
  <c r="B7" i="40"/>
  <c r="B6" i="40" s="1"/>
  <c r="A7" i="40"/>
  <c r="A6" i="40"/>
  <c r="A5" i="40"/>
  <c r="A4" i="40"/>
  <c r="A3" i="40"/>
  <c r="A2" i="40"/>
  <c r="A1" i="40"/>
  <c r="G70" i="39"/>
  <c r="G69" i="39"/>
  <c r="G68" i="39"/>
  <c r="H68" i="39"/>
  <c r="H67" i="39"/>
  <c r="H62" i="39"/>
  <c r="G62" i="39"/>
  <c r="G61" i="39"/>
  <c r="G60" i="39"/>
  <c r="H59" i="39"/>
  <c r="G54" i="39"/>
  <c r="G53" i="39"/>
  <c r="G52" i="39"/>
  <c r="G46" i="39"/>
  <c r="G45" i="39"/>
  <c r="G44" i="39"/>
  <c r="G38" i="39"/>
  <c r="G37" i="39"/>
  <c r="G36" i="39"/>
  <c r="G30" i="39"/>
  <c r="G29" i="39"/>
  <c r="G28" i="39"/>
  <c r="C14" i="39" a="1"/>
  <c r="C14" i="39" s="1"/>
  <c r="A9" i="39"/>
  <c r="A8" i="39"/>
  <c r="B7" i="39"/>
  <c r="B8" i="39" s="1"/>
  <c r="A7" i="39"/>
  <c r="A6" i="39"/>
  <c r="A5" i="39"/>
  <c r="A4" i="39"/>
  <c r="A3" i="39"/>
  <c r="A2" i="39"/>
  <c r="A1" i="39"/>
  <c r="G70" i="38"/>
  <c r="G69" i="38"/>
  <c r="H68" i="38"/>
  <c r="G68" i="38"/>
  <c r="H67" i="38"/>
  <c r="G62" i="38"/>
  <c r="H62" i="38"/>
  <c r="G61" i="38"/>
  <c r="G60" i="38"/>
  <c r="H59" i="38"/>
  <c r="G54" i="38"/>
  <c r="G53" i="38"/>
  <c r="G52" i="38"/>
  <c r="G46" i="38"/>
  <c r="G45" i="38"/>
  <c r="G44" i="38"/>
  <c r="G38" i="38"/>
  <c r="G37" i="38"/>
  <c r="G36" i="38"/>
  <c r="G30" i="38"/>
  <c r="G29" i="38"/>
  <c r="G28" i="38"/>
  <c r="C14" i="38" a="1"/>
  <c r="C14" i="38" s="1"/>
  <c r="A9" i="38"/>
  <c r="A8" i="38"/>
  <c r="B7" i="38"/>
  <c r="B3" i="38" s="1"/>
  <c r="A7" i="38"/>
  <c r="A6" i="38"/>
  <c r="A5" i="38"/>
  <c r="A4" i="38"/>
  <c r="A3" i="38"/>
  <c r="A2" i="38"/>
  <c r="A1" i="38"/>
  <c r="G70" i="37"/>
  <c r="G69" i="37"/>
  <c r="G68" i="37"/>
  <c r="H68" i="37"/>
  <c r="H67" i="37"/>
  <c r="H62" i="37"/>
  <c r="G62" i="37"/>
  <c r="G61" i="37"/>
  <c r="G60" i="37"/>
  <c r="H59" i="37"/>
  <c r="G54" i="37"/>
  <c r="G53" i="37"/>
  <c r="G52" i="37"/>
  <c r="G46" i="37"/>
  <c r="G45" i="37"/>
  <c r="G44" i="37"/>
  <c r="G38" i="37"/>
  <c r="G37" i="37"/>
  <c r="G36" i="37"/>
  <c r="G30" i="37"/>
  <c r="G29" i="37"/>
  <c r="G28" i="37"/>
  <c r="C14" i="37" a="1"/>
  <c r="C14" i="37" s="1"/>
  <c r="A9" i="37"/>
  <c r="A8" i="37"/>
  <c r="B7" i="37"/>
  <c r="B6" i="37" s="1"/>
  <c r="A7" i="37"/>
  <c r="A6" i="37"/>
  <c r="A5" i="37"/>
  <c r="A4" i="37"/>
  <c r="A3" i="37"/>
  <c r="A2" i="37"/>
  <c r="A1" i="37"/>
  <c r="G70" i="36"/>
  <c r="G69" i="36"/>
  <c r="G68" i="36"/>
  <c r="H68" i="36" s="1"/>
  <c r="H67" i="36"/>
  <c r="G62" i="36"/>
  <c r="H62" i="36"/>
  <c r="G61" i="36"/>
  <c r="G60" i="36"/>
  <c r="H59" i="36"/>
  <c r="G54" i="36"/>
  <c r="G53" i="36"/>
  <c r="G52" i="36"/>
  <c r="G46" i="36"/>
  <c r="G45" i="36"/>
  <c r="G44" i="36"/>
  <c r="G38" i="36"/>
  <c r="G37" i="36"/>
  <c r="G36" i="36"/>
  <c r="G30" i="36"/>
  <c r="G29" i="36"/>
  <c r="G28" i="36"/>
  <c r="C14" i="36" a="1"/>
  <c r="C14" i="36" s="1"/>
  <c r="A9" i="36"/>
  <c r="A8" i="36"/>
  <c r="B7" i="36"/>
  <c r="B6" i="36" s="1"/>
  <c r="A7" i="36"/>
  <c r="A6" i="36"/>
  <c r="A5" i="36"/>
  <c r="A4" i="36"/>
  <c r="A3" i="36"/>
  <c r="A2" i="36"/>
  <c r="A1" i="36"/>
  <c r="G70" i="35"/>
  <c r="G69" i="35"/>
  <c r="H68" i="35"/>
  <c r="G68" i="35"/>
  <c r="H67" i="35"/>
  <c r="H62" i="35"/>
  <c r="G62" i="35"/>
  <c r="G61" i="35"/>
  <c r="G60" i="35"/>
  <c r="H59" i="35"/>
  <c r="G54" i="35"/>
  <c r="G53" i="35"/>
  <c r="G52" i="35"/>
  <c r="G46" i="35"/>
  <c r="G45" i="35"/>
  <c r="G44" i="35"/>
  <c r="G38" i="35"/>
  <c r="G37" i="35"/>
  <c r="G36" i="35"/>
  <c r="G30" i="35"/>
  <c r="G29" i="35"/>
  <c r="G28" i="35"/>
  <c r="C14" i="35" a="1"/>
  <c r="C14" i="35" s="1"/>
  <c r="A9" i="35"/>
  <c r="A8" i="35"/>
  <c r="B7" i="35"/>
  <c r="A7" i="35"/>
  <c r="A6" i="35"/>
  <c r="A5" i="35"/>
  <c r="A4" i="35"/>
  <c r="A3" i="35"/>
  <c r="A2" i="35"/>
  <c r="A1" i="35"/>
  <c r="G70" i="34"/>
  <c r="G69" i="34"/>
  <c r="H68" i="34"/>
  <c r="G68" i="34"/>
  <c r="H67" i="34"/>
  <c r="G62" i="34"/>
  <c r="G61" i="34"/>
  <c r="G60" i="34"/>
  <c r="H59" i="34"/>
  <c r="G54" i="34"/>
  <c r="G53" i="34"/>
  <c r="G52" i="34"/>
  <c r="G46" i="34"/>
  <c r="G45" i="34"/>
  <c r="G44" i="34"/>
  <c r="G38" i="34"/>
  <c r="G37" i="34"/>
  <c r="G36" i="34"/>
  <c r="G30" i="34"/>
  <c r="G29" i="34"/>
  <c r="G28" i="34"/>
  <c r="C14" i="34" a="1"/>
  <c r="C14" i="34" s="1"/>
  <c r="A9" i="34"/>
  <c r="A8" i="34"/>
  <c r="B7" i="34"/>
  <c r="B6" i="34" s="1"/>
  <c r="A7" i="34"/>
  <c r="A6" i="34"/>
  <c r="A5" i="34"/>
  <c r="A4" i="34"/>
  <c r="A3" i="34"/>
  <c r="A2" i="34"/>
  <c r="A1" i="34"/>
  <c r="G70" i="33"/>
  <c r="G69" i="33"/>
  <c r="G68" i="33"/>
  <c r="H68" i="33" s="1"/>
  <c r="H67" i="33"/>
  <c r="H62" i="33"/>
  <c r="G62" i="33"/>
  <c r="G61" i="33"/>
  <c r="G60" i="33"/>
  <c r="H59" i="33"/>
  <c r="G54" i="33"/>
  <c r="G53" i="33"/>
  <c r="G52" i="33"/>
  <c r="G46" i="33"/>
  <c r="G45" i="33"/>
  <c r="G44" i="33"/>
  <c r="G38" i="33"/>
  <c r="G37" i="33"/>
  <c r="G36" i="33"/>
  <c r="G30" i="33"/>
  <c r="G29" i="33"/>
  <c r="G28" i="33"/>
  <c r="C14" i="33" a="1"/>
  <c r="C14" i="33" s="1"/>
  <c r="A9" i="33"/>
  <c r="A8" i="33"/>
  <c r="B7" i="33"/>
  <c r="A7" i="33"/>
  <c r="A6" i="33"/>
  <c r="A5" i="33"/>
  <c r="A4" i="33"/>
  <c r="A3" i="33"/>
  <c r="A2" i="33"/>
  <c r="A1" i="33"/>
  <c r="G70" i="32"/>
  <c r="G69" i="32"/>
  <c r="H68" i="32"/>
  <c r="G68" i="32"/>
  <c r="H67" i="32"/>
  <c r="G62" i="32"/>
  <c r="G61" i="32"/>
  <c r="G60" i="32"/>
  <c r="H59" i="32"/>
  <c r="G54" i="32"/>
  <c r="G53" i="32"/>
  <c r="G52" i="32"/>
  <c r="G46" i="32"/>
  <c r="G45" i="32"/>
  <c r="G44" i="32"/>
  <c r="G38" i="32"/>
  <c r="G37" i="32"/>
  <c r="G36" i="32"/>
  <c r="G30" i="32"/>
  <c r="G29" i="32"/>
  <c r="G28" i="32"/>
  <c r="C14" i="32" a="1"/>
  <c r="C14" i="32" s="1"/>
  <c r="A9" i="32"/>
  <c r="A8" i="32"/>
  <c r="B7" i="32"/>
  <c r="B6" i="32" s="1"/>
  <c r="A7" i="32"/>
  <c r="A6" i="32"/>
  <c r="A5" i="32"/>
  <c r="A4" i="32"/>
  <c r="A3" i="32"/>
  <c r="A2" i="32"/>
  <c r="A1" i="32"/>
  <c r="G70" i="31"/>
  <c r="G69" i="31"/>
  <c r="H68" i="31"/>
  <c r="G68" i="31"/>
  <c r="H67" i="31"/>
  <c r="H62" i="31"/>
  <c r="G62" i="31"/>
  <c r="G61" i="31"/>
  <c r="G60" i="31"/>
  <c r="H59" i="31"/>
  <c r="G54" i="31"/>
  <c r="G53" i="31"/>
  <c r="G52" i="31"/>
  <c r="G46" i="31"/>
  <c r="G45" i="31"/>
  <c r="G44" i="31"/>
  <c r="G38" i="31"/>
  <c r="G37" i="31"/>
  <c r="G36" i="31"/>
  <c r="G30" i="31"/>
  <c r="G29" i="31"/>
  <c r="G28" i="31"/>
  <c r="C14" i="31" a="1"/>
  <c r="C14" i="31" s="1"/>
  <c r="A9" i="31"/>
  <c r="A8" i="31"/>
  <c r="B7" i="31"/>
  <c r="A7" i="31"/>
  <c r="A6" i="31"/>
  <c r="A5" i="31"/>
  <c r="A4" i="31"/>
  <c r="A3" i="31"/>
  <c r="A2" i="31"/>
  <c r="A1" i="31"/>
  <c r="G70" i="30"/>
  <c r="G69" i="30"/>
  <c r="H68" i="30"/>
  <c r="G68" i="30"/>
  <c r="H67" i="30"/>
  <c r="G62" i="30"/>
  <c r="G61" i="30"/>
  <c r="G60" i="30"/>
  <c r="H59" i="30"/>
  <c r="G54" i="30"/>
  <c r="G53" i="30"/>
  <c r="G52" i="30"/>
  <c r="G46" i="30"/>
  <c r="G45" i="30"/>
  <c r="G44" i="30"/>
  <c r="G38" i="30"/>
  <c r="G37" i="30"/>
  <c r="G36" i="30"/>
  <c r="G30" i="30"/>
  <c r="G29" i="30"/>
  <c r="G28" i="30"/>
  <c r="C14" i="30" a="1"/>
  <c r="C14" i="30" s="1"/>
  <c r="A9" i="30"/>
  <c r="A8" i="30"/>
  <c r="B7" i="30"/>
  <c r="B6" i="30" s="1"/>
  <c r="A7" i="30"/>
  <c r="A6" i="30"/>
  <c r="A5" i="30"/>
  <c r="A4" i="30"/>
  <c r="A3" i="30"/>
  <c r="A2" i="30"/>
  <c r="A1" i="30"/>
  <c r="G70" i="29"/>
  <c r="G69" i="29"/>
  <c r="G68" i="29"/>
  <c r="H68" i="29" s="1"/>
  <c r="H67" i="29"/>
  <c r="G62" i="29"/>
  <c r="H62" i="29" s="1"/>
  <c r="G61" i="29"/>
  <c r="G60" i="29"/>
  <c r="H59" i="29"/>
  <c r="G54" i="29"/>
  <c r="G53" i="29"/>
  <c r="G52" i="29"/>
  <c r="G46" i="29"/>
  <c r="G45" i="29"/>
  <c r="G44" i="29"/>
  <c r="G38" i="29"/>
  <c r="G37" i="29"/>
  <c r="G36" i="29"/>
  <c r="G30" i="29"/>
  <c r="G29" i="29"/>
  <c r="G28" i="29"/>
  <c r="C14" i="29" a="1"/>
  <c r="C14" i="29" s="1"/>
  <c r="A9" i="29"/>
  <c r="A8" i="29"/>
  <c r="B7" i="29"/>
  <c r="B3" i="29" s="1"/>
  <c r="A7" i="29"/>
  <c r="A6" i="29"/>
  <c r="A5" i="29"/>
  <c r="A4" i="29"/>
  <c r="A3" i="29"/>
  <c r="A2" i="29"/>
  <c r="A1" i="29"/>
  <c r="G70" i="28"/>
  <c r="G69" i="28"/>
  <c r="H68" i="28"/>
  <c r="G68" i="28"/>
  <c r="H67" i="28"/>
  <c r="G62" i="28"/>
  <c r="G61" i="28"/>
  <c r="G60" i="28"/>
  <c r="H59" i="28"/>
  <c r="G54" i="28"/>
  <c r="G53" i="28"/>
  <c r="G52" i="28"/>
  <c r="G46" i="28"/>
  <c r="G45" i="28"/>
  <c r="G44" i="28"/>
  <c r="G38" i="28"/>
  <c r="G37" i="28"/>
  <c r="G36" i="28"/>
  <c r="G30" i="28"/>
  <c r="G29" i="28"/>
  <c r="G28" i="28"/>
  <c r="C14" i="28" a="1"/>
  <c r="C14" i="28" s="1"/>
  <c r="A9" i="28"/>
  <c r="A8" i="28"/>
  <c r="B7" i="28"/>
  <c r="B9" i="28" s="1"/>
  <c r="A7" i="28"/>
  <c r="A6" i="28"/>
  <c r="A5" i="28"/>
  <c r="A4" i="28"/>
  <c r="A3" i="28"/>
  <c r="A2" i="28"/>
  <c r="A1" i="28"/>
  <c r="G70" i="27"/>
  <c r="G69" i="27"/>
  <c r="H68" i="27"/>
  <c r="G68" i="27"/>
  <c r="H67" i="27"/>
  <c r="H62" i="27"/>
  <c r="G62" i="27"/>
  <c r="G61" i="27"/>
  <c r="G60" i="27"/>
  <c r="H59" i="27"/>
  <c r="G54" i="27"/>
  <c r="G53" i="27"/>
  <c r="G52" i="27"/>
  <c r="G46" i="27"/>
  <c r="G45" i="27"/>
  <c r="G44" i="27"/>
  <c r="G38" i="27"/>
  <c r="G37" i="27"/>
  <c r="G36" i="27"/>
  <c r="G30" i="27"/>
  <c r="G29" i="27"/>
  <c r="G28" i="27"/>
  <c r="C14" i="27" a="1"/>
  <c r="C14" i="27" s="1"/>
  <c r="A9" i="27"/>
  <c r="A8" i="27"/>
  <c r="B7" i="27"/>
  <c r="B3" i="27" s="1"/>
  <c r="A7" i="27"/>
  <c r="A6" i="27"/>
  <c r="A5" i="27"/>
  <c r="A4" i="27"/>
  <c r="A3" i="27"/>
  <c r="A2" i="27"/>
  <c r="A1" i="27"/>
  <c r="G70" i="26"/>
  <c r="G69" i="26"/>
  <c r="H68" i="26"/>
  <c r="G68" i="26"/>
  <c r="H67" i="26"/>
  <c r="H62" i="26"/>
  <c r="G62" i="26"/>
  <c r="G61" i="26"/>
  <c r="G60" i="26"/>
  <c r="H59" i="26"/>
  <c r="G54" i="26"/>
  <c r="G53" i="26"/>
  <c r="G52" i="26"/>
  <c r="G46" i="26"/>
  <c r="G45" i="26"/>
  <c r="G44" i="26"/>
  <c r="G38" i="26"/>
  <c r="G37" i="26"/>
  <c r="G36" i="26"/>
  <c r="G30" i="26"/>
  <c r="G29" i="26"/>
  <c r="G28" i="26"/>
  <c r="C14" i="26" a="1"/>
  <c r="C14" i="26" s="1"/>
  <c r="A9" i="26"/>
  <c r="A8" i="26"/>
  <c r="B7" i="26"/>
  <c r="B3" i="26" s="1"/>
  <c r="A7" i="26"/>
  <c r="A6" i="26"/>
  <c r="A5" i="26"/>
  <c r="A4" i="26"/>
  <c r="A3" i="26"/>
  <c r="A2" i="26"/>
  <c r="A1" i="26"/>
  <c r="G70" i="25"/>
  <c r="G69" i="25"/>
  <c r="G68" i="25"/>
  <c r="H68" i="25"/>
  <c r="H67" i="25"/>
  <c r="G62" i="25"/>
  <c r="H62" i="25" s="1"/>
  <c r="G61" i="25"/>
  <c r="G60" i="25"/>
  <c r="H59" i="25"/>
  <c r="G54" i="25"/>
  <c r="G53" i="25"/>
  <c r="G52" i="25"/>
  <c r="G46" i="25"/>
  <c r="G45" i="25"/>
  <c r="G44" i="25"/>
  <c r="G38" i="25"/>
  <c r="G37" i="25"/>
  <c r="G36" i="25"/>
  <c r="G30" i="25"/>
  <c r="G29" i="25"/>
  <c r="G28" i="25"/>
  <c r="C14" i="25" a="1"/>
  <c r="C14" i="25" s="1"/>
  <c r="A9" i="25"/>
  <c r="A8" i="25"/>
  <c r="B7" i="25"/>
  <c r="B8" i="25" s="1"/>
  <c r="A7" i="25"/>
  <c r="A6" i="25"/>
  <c r="A5" i="25"/>
  <c r="A4" i="25"/>
  <c r="A3" i="25"/>
  <c r="A2" i="25"/>
  <c r="A1" i="25"/>
  <c r="G70" i="24"/>
  <c r="G69" i="24"/>
  <c r="H68" i="24"/>
  <c r="G68" i="24"/>
  <c r="H67" i="24"/>
  <c r="G62" i="24"/>
  <c r="H62" i="24"/>
  <c r="G61" i="24"/>
  <c r="G60" i="24"/>
  <c r="H59" i="24"/>
  <c r="G54" i="24"/>
  <c r="G53" i="24"/>
  <c r="G52" i="24"/>
  <c r="G46" i="24"/>
  <c r="G45" i="24"/>
  <c r="G44" i="24"/>
  <c r="G38" i="24"/>
  <c r="G37" i="24"/>
  <c r="G36" i="24"/>
  <c r="G30" i="24"/>
  <c r="G29" i="24"/>
  <c r="G28" i="24"/>
  <c r="C14" i="24" a="1"/>
  <c r="C14" i="24" s="1"/>
  <c r="A9" i="24"/>
  <c r="A8" i="24"/>
  <c r="B7" i="24"/>
  <c r="B3" i="24" s="1"/>
  <c r="A7" i="24"/>
  <c r="A6" i="24"/>
  <c r="A5" i="24"/>
  <c r="A4" i="24"/>
  <c r="A3" i="24"/>
  <c r="A2" i="24"/>
  <c r="A1" i="24"/>
  <c r="G70" i="23"/>
  <c r="G69" i="23"/>
  <c r="G68" i="23"/>
  <c r="H68" i="23"/>
  <c r="H67" i="23"/>
  <c r="H62" i="23"/>
  <c r="G62" i="23"/>
  <c r="G61" i="23"/>
  <c r="G60" i="23"/>
  <c r="H59" i="23"/>
  <c r="G54" i="23"/>
  <c r="G53" i="23"/>
  <c r="G52" i="23"/>
  <c r="G46" i="23"/>
  <c r="G45" i="23"/>
  <c r="G44" i="23"/>
  <c r="G38" i="23"/>
  <c r="G37" i="23"/>
  <c r="G36" i="23"/>
  <c r="G30" i="23"/>
  <c r="G29" i="23"/>
  <c r="G28" i="23"/>
  <c r="C14" i="23" a="1"/>
  <c r="C14" i="23" s="1"/>
  <c r="A9" i="23"/>
  <c r="A8" i="23"/>
  <c r="B7" i="23"/>
  <c r="B1" i="23" s="1"/>
  <c r="A7" i="23"/>
  <c r="A6" i="23"/>
  <c r="A5" i="23"/>
  <c r="A4" i="23"/>
  <c r="A3" i="23"/>
  <c r="A2" i="23"/>
  <c r="A1" i="23"/>
  <c r="G70" i="22"/>
  <c r="G69" i="22"/>
  <c r="H68" i="22"/>
  <c r="G68" i="22"/>
  <c r="H67" i="22"/>
  <c r="G62" i="22"/>
  <c r="H62" i="22"/>
  <c r="G61" i="22"/>
  <c r="G60" i="22"/>
  <c r="H59" i="22"/>
  <c r="G54" i="22"/>
  <c r="G53" i="22"/>
  <c r="G52" i="22"/>
  <c r="G46" i="22"/>
  <c r="G45" i="22"/>
  <c r="G44" i="22"/>
  <c r="G38" i="22"/>
  <c r="G37" i="22"/>
  <c r="G36" i="22"/>
  <c r="G30" i="22"/>
  <c r="G29" i="22"/>
  <c r="G28" i="22"/>
  <c r="C14" i="22" a="1"/>
  <c r="C14" i="22" s="1"/>
  <c r="A9" i="22"/>
  <c r="A8" i="22"/>
  <c r="B7" i="22"/>
  <c r="A7" i="22"/>
  <c r="A6" i="22"/>
  <c r="A5" i="22"/>
  <c r="A4" i="22"/>
  <c r="A3" i="22"/>
  <c r="A2" i="22"/>
  <c r="A1" i="22"/>
  <c r="G70" i="21"/>
  <c r="G69" i="21"/>
  <c r="G68" i="21"/>
  <c r="H68" i="21"/>
  <c r="H67" i="21"/>
  <c r="H62" i="21"/>
  <c r="G62" i="21"/>
  <c r="G61" i="21"/>
  <c r="G60" i="21"/>
  <c r="H59" i="21"/>
  <c r="G54" i="21"/>
  <c r="G53" i="21"/>
  <c r="G52" i="21"/>
  <c r="G46" i="21"/>
  <c r="G45" i="21"/>
  <c r="G44" i="21"/>
  <c r="G38" i="21"/>
  <c r="G37" i="21"/>
  <c r="G36" i="21"/>
  <c r="G30" i="21"/>
  <c r="G29" i="21"/>
  <c r="G28" i="21"/>
  <c r="C14" i="21" a="1"/>
  <c r="C14" i="21" s="1"/>
  <c r="A9" i="21"/>
  <c r="A8" i="21"/>
  <c r="B7" i="21"/>
  <c r="B9" i="21" s="1"/>
  <c r="A7" i="21"/>
  <c r="A6" i="21"/>
  <c r="A5" i="21"/>
  <c r="A4" i="21"/>
  <c r="A3" i="21"/>
  <c r="A2" i="21"/>
  <c r="A1" i="21"/>
  <c r="G70" i="20"/>
  <c r="G69" i="20"/>
  <c r="H68" i="20"/>
  <c r="G68" i="20"/>
  <c r="H67" i="20"/>
  <c r="G62" i="20"/>
  <c r="G61" i="20"/>
  <c r="G60" i="20"/>
  <c r="H59" i="20"/>
  <c r="G54" i="20"/>
  <c r="G53" i="20"/>
  <c r="G52" i="20"/>
  <c r="G46" i="20"/>
  <c r="G45" i="20"/>
  <c r="G44" i="20"/>
  <c r="G38" i="20"/>
  <c r="G37" i="20"/>
  <c r="G36" i="20"/>
  <c r="G30" i="20"/>
  <c r="G29" i="20"/>
  <c r="G28" i="20"/>
  <c r="C14" i="20" a="1"/>
  <c r="C14" i="20" s="1"/>
  <c r="A9" i="20"/>
  <c r="A8" i="20"/>
  <c r="B7" i="20"/>
  <c r="B9" i="20" s="1"/>
  <c r="A7" i="20"/>
  <c r="A6" i="20"/>
  <c r="A5" i="20"/>
  <c r="A4" i="20"/>
  <c r="A3" i="20"/>
  <c r="A2" i="20"/>
  <c r="A1" i="20"/>
  <c r="G70" i="19"/>
  <c r="G69" i="19"/>
  <c r="G68" i="19"/>
  <c r="H68" i="19" s="1"/>
  <c r="H67" i="19"/>
  <c r="G62" i="19"/>
  <c r="H62" i="19"/>
  <c r="G61" i="19"/>
  <c r="G60" i="19"/>
  <c r="H59" i="19"/>
  <c r="G54" i="19"/>
  <c r="G53" i="19"/>
  <c r="G52" i="19"/>
  <c r="G46" i="19"/>
  <c r="G45" i="19"/>
  <c r="G44" i="19"/>
  <c r="G38" i="19"/>
  <c r="G37" i="19"/>
  <c r="G36" i="19"/>
  <c r="G30" i="19"/>
  <c r="G29" i="19"/>
  <c r="G28" i="19"/>
  <c r="C14" i="19" a="1"/>
  <c r="C14" i="19" s="1"/>
  <c r="A9" i="19"/>
  <c r="A8" i="19"/>
  <c r="B7" i="19"/>
  <c r="B6" i="19" s="1"/>
  <c r="A7" i="19"/>
  <c r="A6" i="19"/>
  <c r="A5" i="19"/>
  <c r="A4" i="19"/>
  <c r="A3" i="19"/>
  <c r="A2" i="19"/>
  <c r="A1" i="19"/>
  <c r="G70" i="18"/>
  <c r="G69" i="18"/>
  <c r="G68" i="18"/>
  <c r="H68" i="18" s="1"/>
  <c r="H67" i="18"/>
  <c r="H62" i="18"/>
  <c r="G62" i="18"/>
  <c r="G61" i="18"/>
  <c r="G60" i="18"/>
  <c r="H59" i="18"/>
  <c r="G54" i="18"/>
  <c r="G53" i="18"/>
  <c r="G52" i="18"/>
  <c r="G46" i="18"/>
  <c r="G45" i="18"/>
  <c r="G44" i="18"/>
  <c r="G38" i="18"/>
  <c r="G37" i="18"/>
  <c r="G36" i="18"/>
  <c r="G30" i="18"/>
  <c r="G29" i="18"/>
  <c r="G28" i="18"/>
  <c r="C14" i="18" a="1"/>
  <c r="C14" i="18" s="1"/>
  <c r="A9" i="18"/>
  <c r="A8" i="18"/>
  <c r="B7" i="18"/>
  <c r="B9" i="18" s="1"/>
  <c r="A7" i="18"/>
  <c r="A6" i="18"/>
  <c r="A5" i="18"/>
  <c r="A4" i="18"/>
  <c r="A3" i="18"/>
  <c r="A2" i="18"/>
  <c r="A1" i="18"/>
  <c r="G70" i="17"/>
  <c r="G69" i="17"/>
  <c r="G68" i="17"/>
  <c r="H68" i="17" s="1"/>
  <c r="H67" i="17"/>
  <c r="G62" i="17"/>
  <c r="H62" i="17"/>
  <c r="G61" i="17"/>
  <c r="G60" i="17"/>
  <c r="H59" i="17"/>
  <c r="G54" i="17"/>
  <c r="G53" i="17"/>
  <c r="G52" i="17"/>
  <c r="G46" i="17"/>
  <c r="G45" i="17"/>
  <c r="G44" i="17"/>
  <c r="G38" i="17"/>
  <c r="G37" i="17"/>
  <c r="G36" i="17"/>
  <c r="G29" i="17"/>
  <c r="G28" i="17"/>
  <c r="C14" i="17" a="1"/>
  <c r="C14" i="17" s="1"/>
  <c r="A9" i="17"/>
  <c r="A8" i="17"/>
  <c r="B7" i="17"/>
  <c r="B6" i="17" s="1"/>
  <c r="A7" i="17"/>
  <c r="A6" i="17"/>
  <c r="A5" i="17"/>
  <c r="A4" i="17"/>
  <c r="A3" i="17"/>
  <c r="A2" i="17"/>
  <c r="A1" i="17"/>
  <c r="G70" i="16"/>
  <c r="G69" i="16"/>
  <c r="G68" i="16"/>
  <c r="H67" i="16"/>
  <c r="H62" i="16"/>
  <c r="G62" i="16"/>
  <c r="G61" i="16"/>
  <c r="G60" i="16"/>
  <c r="H59" i="16"/>
  <c r="G54" i="16"/>
  <c r="G53" i="16"/>
  <c r="G52" i="16"/>
  <c r="G46" i="16"/>
  <c r="G45" i="16"/>
  <c r="G44" i="16"/>
  <c r="G38" i="16"/>
  <c r="G37" i="16"/>
  <c r="G36" i="16"/>
  <c r="G30" i="16"/>
  <c r="G29" i="16"/>
  <c r="G28" i="16"/>
  <c r="C14" i="16" a="1"/>
  <c r="C14" i="16" s="1"/>
  <c r="A9" i="16"/>
  <c r="A8" i="16"/>
  <c r="B7" i="16"/>
  <c r="B9" i="16" s="1"/>
  <c r="A7" i="16"/>
  <c r="A6" i="16"/>
  <c r="A5" i="16"/>
  <c r="A4" i="16"/>
  <c r="A3" i="16"/>
  <c r="A2" i="16"/>
  <c r="A1" i="16"/>
  <c r="G70" i="15"/>
  <c r="G69" i="15"/>
  <c r="H68" i="15"/>
  <c r="G68" i="15"/>
  <c r="H67" i="15"/>
  <c r="G62" i="15"/>
  <c r="H62" i="15"/>
  <c r="G61" i="15"/>
  <c r="G60" i="15"/>
  <c r="H59" i="15"/>
  <c r="G54" i="15"/>
  <c r="G53" i="15"/>
  <c r="G52" i="15"/>
  <c r="G46" i="15"/>
  <c r="G45" i="15"/>
  <c r="G44" i="15"/>
  <c r="G38" i="15"/>
  <c r="G37" i="15"/>
  <c r="G36" i="15"/>
  <c r="G30" i="15"/>
  <c r="G29" i="15"/>
  <c r="G28" i="15"/>
  <c r="C14" i="15" a="1"/>
  <c r="C14" i="15" s="1"/>
  <c r="A9" i="15"/>
  <c r="A8" i="15"/>
  <c r="B7" i="15"/>
  <c r="B6" i="15" s="1"/>
  <c r="A7" i="15"/>
  <c r="A6" i="15"/>
  <c r="A5" i="15"/>
  <c r="A4" i="15"/>
  <c r="A3" i="15"/>
  <c r="A2" i="15"/>
  <c r="A1" i="15"/>
  <c r="G70" i="14"/>
  <c r="G69" i="14"/>
  <c r="G68" i="14"/>
  <c r="H67" i="14"/>
  <c r="H62" i="14"/>
  <c r="G62" i="14"/>
  <c r="G61" i="14"/>
  <c r="G60" i="14"/>
  <c r="H59" i="14"/>
  <c r="G54" i="14"/>
  <c r="G53" i="14"/>
  <c r="G52" i="14"/>
  <c r="G46" i="14"/>
  <c r="G45" i="14"/>
  <c r="G44" i="14"/>
  <c r="G38" i="14"/>
  <c r="G37" i="14"/>
  <c r="G36" i="14"/>
  <c r="G30" i="14"/>
  <c r="G29" i="14"/>
  <c r="G28" i="14"/>
  <c r="C14" i="14" a="1"/>
  <c r="C14" i="14" s="1"/>
  <c r="A9" i="14"/>
  <c r="A8" i="14"/>
  <c r="B7" i="14"/>
  <c r="B1" i="14" s="1"/>
  <c r="A7" i="14"/>
  <c r="A6" i="14"/>
  <c r="A5" i="14"/>
  <c r="A4" i="14"/>
  <c r="A3" i="14"/>
  <c r="A2" i="14"/>
  <c r="A1" i="14"/>
  <c r="G70" i="13"/>
  <c r="G69" i="13"/>
  <c r="H68" i="13"/>
  <c r="G68" i="13"/>
  <c r="H67" i="13"/>
  <c r="G62" i="13"/>
  <c r="H62" i="13"/>
  <c r="G61" i="13"/>
  <c r="G60" i="13"/>
  <c r="H59" i="13"/>
  <c r="G54" i="13"/>
  <c r="G53" i="13"/>
  <c r="G52" i="13"/>
  <c r="G46" i="13"/>
  <c r="G45" i="13"/>
  <c r="G44" i="13"/>
  <c r="G38" i="13"/>
  <c r="G37" i="13"/>
  <c r="G36" i="13"/>
  <c r="G30" i="13"/>
  <c r="G29" i="13"/>
  <c r="G28" i="13"/>
  <c r="C14" i="13" a="1"/>
  <c r="C14" i="13" s="1"/>
  <c r="A9" i="13"/>
  <c r="A8" i="13"/>
  <c r="B7" i="13"/>
  <c r="B8" i="13" s="1"/>
  <c r="A7" i="13"/>
  <c r="A6" i="13"/>
  <c r="A5" i="13"/>
  <c r="A4" i="13"/>
  <c r="A3" i="13"/>
  <c r="A2" i="13"/>
  <c r="A1" i="13"/>
  <c r="G70" i="12"/>
  <c r="G69" i="12"/>
  <c r="G68" i="12"/>
  <c r="H68" i="12"/>
  <c r="H67" i="12"/>
  <c r="H62" i="12"/>
  <c r="G62" i="12"/>
  <c r="G61" i="12"/>
  <c r="G60" i="12"/>
  <c r="H59" i="12"/>
  <c r="G54" i="12"/>
  <c r="G53" i="12"/>
  <c r="G52" i="12"/>
  <c r="G46" i="12"/>
  <c r="G45" i="12"/>
  <c r="G44" i="12"/>
  <c r="G38" i="12"/>
  <c r="G37" i="12"/>
  <c r="G36" i="12"/>
  <c r="G30" i="12"/>
  <c r="G29" i="12"/>
  <c r="G28" i="12"/>
  <c r="C14" i="12" a="1"/>
  <c r="C14" i="12" s="1"/>
  <c r="A9" i="12"/>
  <c r="A8" i="12"/>
  <c r="B7" i="12"/>
  <c r="B1" i="12" s="1"/>
  <c r="A7" i="12"/>
  <c r="A6" i="12"/>
  <c r="A5" i="12"/>
  <c r="A4" i="12"/>
  <c r="A3" i="12"/>
  <c r="A2" i="12"/>
  <c r="A1" i="12"/>
  <c r="G70" i="11"/>
  <c r="G69" i="11"/>
  <c r="H68" i="11"/>
  <c r="G68" i="11"/>
  <c r="H67" i="11"/>
  <c r="G62" i="11"/>
  <c r="H62" i="11"/>
  <c r="G61" i="11"/>
  <c r="G60" i="11"/>
  <c r="H59" i="11"/>
  <c r="G54" i="11"/>
  <c r="G53" i="11"/>
  <c r="G52" i="11"/>
  <c r="G46" i="11"/>
  <c r="G45" i="11"/>
  <c r="G44" i="11"/>
  <c r="G38" i="11"/>
  <c r="G37" i="11"/>
  <c r="G36" i="11"/>
  <c r="G30" i="11"/>
  <c r="G29" i="11"/>
  <c r="G28" i="11"/>
  <c r="C14" i="11" a="1"/>
  <c r="C14" i="11" s="1"/>
  <c r="A9" i="11"/>
  <c r="A8" i="11"/>
  <c r="B7" i="11"/>
  <c r="B3" i="11" s="1"/>
  <c r="A7" i="11"/>
  <c r="A6" i="11"/>
  <c r="A5" i="11"/>
  <c r="A4" i="11"/>
  <c r="A3" i="11"/>
  <c r="A2" i="11"/>
  <c r="A1" i="11"/>
  <c r="B2" i="25" l="1"/>
  <c r="B1" i="30"/>
  <c r="B4" i="39"/>
  <c r="B2" i="47"/>
  <c r="B3" i="36"/>
  <c r="B3" i="23"/>
  <c r="B6" i="47"/>
  <c r="B2" i="56"/>
  <c r="B9" i="56"/>
  <c r="B1" i="16"/>
  <c r="B8" i="19"/>
  <c r="B2" i="23"/>
  <c r="B6" i="25"/>
  <c r="B8" i="37"/>
  <c r="B9" i="42"/>
  <c r="B2" i="45"/>
  <c r="B3" i="19"/>
  <c r="B9" i="19"/>
  <c r="B8" i="42"/>
  <c r="B3" i="37"/>
  <c r="B5" i="52"/>
  <c r="B8" i="15"/>
  <c r="B1" i="25"/>
  <c r="B9" i="30"/>
  <c r="B5" i="36"/>
  <c r="B2" i="39"/>
  <c r="B3" i="57"/>
  <c r="B3" i="15"/>
  <c r="B3" i="30"/>
  <c r="B3" i="39"/>
  <c r="B5" i="56"/>
  <c r="B1" i="36"/>
  <c r="B5" i="27"/>
  <c r="B3" i="25"/>
  <c r="B9" i="25"/>
  <c r="B8" i="26"/>
  <c r="B9" i="32"/>
  <c r="B9" i="37"/>
  <c r="B9" i="39"/>
  <c r="B4" i="42"/>
  <c r="B3" i="43"/>
  <c r="B4" i="53"/>
  <c r="B3" i="56"/>
  <c r="B2" i="58"/>
  <c r="B9" i="58"/>
  <c r="B4" i="15"/>
  <c r="B4" i="37"/>
  <c r="B5" i="39"/>
  <c r="B5" i="32"/>
  <c r="B5" i="37"/>
  <c r="B6" i="39"/>
  <c r="B4" i="57"/>
  <c r="B3" i="59"/>
  <c r="B4" i="11"/>
  <c r="B1" i="19"/>
  <c r="B9" i="27"/>
  <c r="B1" i="28"/>
  <c r="B1" i="39"/>
  <c r="B6" i="43"/>
  <c r="B6" i="45"/>
  <c r="B4" i="52"/>
  <c r="B9" i="52"/>
  <c r="B3" i="17"/>
  <c r="B8" i="17"/>
  <c r="B4" i="13"/>
  <c r="B8" i="11"/>
  <c r="B4" i="17"/>
  <c r="B2" i="37"/>
  <c r="B3" i="42"/>
  <c r="B1" i="44"/>
  <c r="B8" i="44"/>
  <c r="C18" i="23"/>
  <c r="H46" i="22"/>
  <c r="H28" i="15"/>
  <c r="C18" i="32"/>
  <c r="B2" i="12"/>
  <c r="B8" i="14"/>
  <c r="B1" i="34"/>
  <c r="B1" i="46"/>
  <c r="B4" i="12"/>
  <c r="B4" i="14"/>
  <c r="B6" i="16"/>
  <c r="B4" i="19"/>
  <c r="B8" i="22"/>
  <c r="B8" i="23"/>
  <c r="B8" i="24"/>
  <c r="B6" i="27"/>
  <c r="B5" i="30"/>
  <c r="B4" i="44"/>
  <c r="B4" i="48"/>
  <c r="B9" i="48"/>
  <c r="B3" i="50"/>
  <c r="B1" i="52"/>
  <c r="B2" i="54"/>
  <c r="B3" i="55"/>
  <c r="B6" i="56"/>
  <c r="B3" i="58"/>
  <c r="C18" i="28"/>
  <c r="B9" i="12"/>
  <c r="B9" i="14"/>
  <c r="B2" i="16"/>
  <c r="B5" i="19"/>
  <c r="B4" i="23"/>
  <c r="B5" i="25"/>
  <c r="B1" i="27"/>
  <c r="B3" i="28"/>
  <c r="B1" i="32"/>
  <c r="B9" i="34"/>
  <c r="B8" i="36"/>
  <c r="B1" i="37"/>
  <c r="C18" i="37"/>
  <c r="B3" i="40"/>
  <c r="B5" i="42"/>
  <c r="B5" i="44"/>
  <c r="B3" i="46"/>
  <c r="B8" i="46"/>
  <c r="F69" i="47"/>
  <c r="B8" i="50"/>
  <c r="B9" i="54"/>
  <c r="B4" i="55"/>
  <c r="B3" i="22"/>
  <c r="B3" i="34"/>
  <c r="B1" i="42"/>
  <c r="B9" i="46"/>
  <c r="B4" i="50"/>
  <c r="B3" i="54"/>
  <c r="B8" i="57"/>
  <c r="B5" i="58"/>
  <c r="B8" i="12"/>
  <c r="B5" i="12"/>
  <c r="B9" i="23"/>
  <c r="B2" i="27"/>
  <c r="B6" i="12"/>
  <c r="B6" i="14"/>
  <c r="B5" i="23"/>
  <c r="B4" i="24"/>
  <c r="B5" i="28"/>
  <c r="B4" i="36"/>
  <c r="B9" i="36"/>
  <c r="B3" i="41"/>
  <c r="B9" i="41"/>
  <c r="B3" i="45"/>
  <c r="B4" i="46"/>
  <c r="B9" i="50"/>
  <c r="B3" i="52"/>
  <c r="B8" i="52"/>
  <c r="B3" i="53"/>
  <c r="B1" i="56"/>
  <c r="B6" i="58"/>
  <c r="B2" i="14"/>
  <c r="B5" i="14"/>
  <c r="B3" i="16"/>
  <c r="B3" i="13"/>
  <c r="B4" i="16"/>
  <c r="B8" i="16"/>
  <c r="B6" i="23"/>
  <c r="B3" i="32"/>
  <c r="B5" i="34"/>
  <c r="B5" i="46"/>
  <c r="B5" i="50"/>
  <c r="B5" i="54"/>
  <c r="B1" i="50"/>
  <c r="B6" i="54"/>
  <c r="B3" i="12"/>
  <c r="B3" i="14"/>
  <c r="B5" i="16"/>
  <c r="B2" i="43"/>
  <c r="B3" i="44"/>
  <c r="B9" i="44"/>
  <c r="B3" i="47"/>
  <c r="B8" i="48"/>
  <c r="B1" i="54"/>
  <c r="B8" i="55"/>
  <c r="B1" i="58"/>
  <c r="H27" i="15"/>
  <c r="H43" i="15"/>
  <c r="H46" i="18"/>
  <c r="H51" i="18"/>
  <c r="H43" i="18"/>
  <c r="F69" i="12"/>
  <c r="H51" i="12"/>
  <c r="H43" i="14"/>
  <c r="H38" i="14"/>
  <c r="C18" i="29"/>
  <c r="H54" i="12"/>
  <c r="H37" i="12"/>
  <c r="H29" i="12"/>
  <c r="H43" i="12"/>
  <c r="H30" i="12"/>
  <c r="H44" i="12"/>
  <c r="B6" i="11"/>
  <c r="B2" i="11"/>
  <c r="B9" i="11"/>
  <c r="B5" i="11"/>
  <c r="B1" i="11"/>
  <c r="C18" i="12"/>
  <c r="H35" i="12" s="1"/>
  <c r="H27" i="12"/>
  <c r="H52" i="12"/>
  <c r="H37" i="15"/>
  <c r="H68" i="16"/>
  <c r="B6" i="13"/>
  <c r="B2" i="13"/>
  <c r="B9" i="13"/>
  <c r="B5" i="13"/>
  <c r="B1" i="13"/>
  <c r="H44" i="20"/>
  <c r="H46" i="14"/>
  <c r="H45" i="14"/>
  <c r="H68" i="14"/>
  <c r="H61" i="17"/>
  <c r="F69" i="17"/>
  <c r="H69" i="17" s="1"/>
  <c r="H38" i="17"/>
  <c r="C57" i="18"/>
  <c r="F69" i="15"/>
  <c r="H44" i="17"/>
  <c r="B6" i="26"/>
  <c r="B2" i="26"/>
  <c r="B9" i="26"/>
  <c r="B5" i="26"/>
  <c r="B1" i="26"/>
  <c r="B2" i="18"/>
  <c r="B6" i="18"/>
  <c r="B2" i="20"/>
  <c r="B6" i="20"/>
  <c r="B2" i="21"/>
  <c r="B6" i="21"/>
  <c r="B6" i="22"/>
  <c r="B2" i="22"/>
  <c r="B9" i="22"/>
  <c r="B5" i="22"/>
  <c r="B1" i="22"/>
  <c r="H52" i="22"/>
  <c r="H54" i="22"/>
  <c r="B1" i="15"/>
  <c r="B5" i="15"/>
  <c r="B9" i="15"/>
  <c r="B1" i="17"/>
  <c r="B5" i="17"/>
  <c r="B9" i="17"/>
  <c r="C18" i="17"/>
  <c r="B4" i="26"/>
  <c r="B3" i="18"/>
  <c r="B4" i="18"/>
  <c r="B8" i="18"/>
  <c r="B2" i="19"/>
  <c r="B4" i="20"/>
  <c r="B8" i="20"/>
  <c r="H62" i="20"/>
  <c r="B4" i="21"/>
  <c r="B8" i="21"/>
  <c r="B4" i="22"/>
  <c r="C18" i="26"/>
  <c r="B2" i="15"/>
  <c r="B2" i="17"/>
  <c r="B3" i="20"/>
  <c r="B3" i="21"/>
  <c r="B1" i="18"/>
  <c r="B5" i="18"/>
  <c r="B1" i="20"/>
  <c r="B5" i="20"/>
  <c r="B1" i="21"/>
  <c r="B5" i="21"/>
  <c r="B6" i="24"/>
  <c r="B2" i="24"/>
  <c r="B9" i="24"/>
  <c r="B5" i="24"/>
  <c r="B1" i="24"/>
  <c r="H62" i="28"/>
  <c r="B9" i="31"/>
  <c r="B5" i="31"/>
  <c r="B1" i="31"/>
  <c r="B8" i="31"/>
  <c r="B4" i="31"/>
  <c r="B6" i="31"/>
  <c r="B2" i="31"/>
  <c r="B9" i="35"/>
  <c r="B5" i="35"/>
  <c r="B1" i="35"/>
  <c r="B8" i="35"/>
  <c r="B4" i="35"/>
  <c r="B6" i="35"/>
  <c r="B2" i="35"/>
  <c r="B8" i="27"/>
  <c r="B4" i="27"/>
  <c r="H62" i="30"/>
  <c r="H62" i="34"/>
  <c r="B6" i="28"/>
  <c r="B3" i="31"/>
  <c r="B9" i="33"/>
  <c r="B5" i="33"/>
  <c r="B1" i="33"/>
  <c r="B8" i="33"/>
  <c r="B4" i="33"/>
  <c r="B6" i="33"/>
  <c r="B2" i="33"/>
  <c r="B3" i="35"/>
  <c r="H52" i="45"/>
  <c r="C18" i="36"/>
  <c r="C18" i="41"/>
  <c r="B4" i="25"/>
  <c r="H62" i="32"/>
  <c r="B9" i="29"/>
  <c r="B5" i="29"/>
  <c r="B1" i="29"/>
  <c r="B8" i="29"/>
  <c r="B4" i="29"/>
  <c r="B6" i="29"/>
  <c r="B2" i="29"/>
  <c r="B3" i="33"/>
  <c r="C18" i="39"/>
  <c r="H29" i="39"/>
  <c r="H30" i="39"/>
  <c r="C18" i="42"/>
  <c r="B4" i="28"/>
  <c r="B8" i="28"/>
  <c r="B4" i="30"/>
  <c r="B8" i="30"/>
  <c r="B4" i="32"/>
  <c r="B8" i="32"/>
  <c r="B4" i="34"/>
  <c r="B8" i="34"/>
  <c r="B6" i="38"/>
  <c r="B2" i="38"/>
  <c r="B9" i="38"/>
  <c r="B5" i="38"/>
  <c r="B1" i="38"/>
  <c r="B8" i="38"/>
  <c r="B4" i="38"/>
  <c r="B2" i="28"/>
  <c r="B2" i="30"/>
  <c r="B2" i="32"/>
  <c r="B2" i="34"/>
  <c r="B2" i="36"/>
  <c r="H60" i="47"/>
  <c r="B4" i="40"/>
  <c r="B8" i="40"/>
  <c r="H68" i="45"/>
  <c r="B9" i="49"/>
  <c r="B5" i="49"/>
  <c r="B1" i="49"/>
  <c r="B8" i="49"/>
  <c r="B4" i="49"/>
  <c r="B6" i="49"/>
  <c r="B3" i="49"/>
  <c r="B1" i="40"/>
  <c r="B5" i="40"/>
  <c r="B9" i="40"/>
  <c r="B5" i="41"/>
  <c r="B2" i="49"/>
  <c r="B1" i="41"/>
  <c r="B9" i="51"/>
  <c r="B5" i="51"/>
  <c r="B1" i="51"/>
  <c r="B8" i="51"/>
  <c r="B4" i="51"/>
  <c r="B6" i="51"/>
  <c r="B2" i="40"/>
  <c r="B6" i="41"/>
  <c r="C18" i="43"/>
  <c r="F69" i="45"/>
  <c r="B2" i="51"/>
  <c r="H62" i="48"/>
  <c r="B8" i="41"/>
  <c r="B4" i="41"/>
  <c r="H68" i="43"/>
  <c r="C18" i="47"/>
  <c r="B5" i="48"/>
  <c r="C18" i="48"/>
  <c r="B2" i="42"/>
  <c r="B4" i="43"/>
  <c r="B8" i="43"/>
  <c r="B2" i="44"/>
  <c r="B4" i="45"/>
  <c r="B8" i="45"/>
  <c r="B2" i="46"/>
  <c r="B4" i="47"/>
  <c r="B8" i="47"/>
  <c r="B6" i="48"/>
  <c r="B2" i="48"/>
  <c r="B1" i="43"/>
  <c r="B5" i="43"/>
  <c r="B1" i="45"/>
  <c r="B5" i="45"/>
  <c r="B1" i="47"/>
  <c r="B5" i="47"/>
  <c r="B3" i="48"/>
  <c r="C18" i="49"/>
  <c r="C18" i="59"/>
  <c r="C18" i="50"/>
  <c r="C18" i="52"/>
  <c r="B2" i="50"/>
  <c r="B2" i="52"/>
  <c r="F69" i="55"/>
  <c r="C18" i="56"/>
  <c r="B6" i="53"/>
  <c r="B2" i="53"/>
  <c r="B9" i="53"/>
  <c r="B5" i="53"/>
  <c r="B1" i="53"/>
  <c r="B4" i="59"/>
  <c r="B8" i="59"/>
  <c r="B1" i="55"/>
  <c r="B5" i="55"/>
  <c r="B9" i="55"/>
  <c r="B1" i="57"/>
  <c r="B5" i="57"/>
  <c r="B9" i="57"/>
  <c r="B1" i="59"/>
  <c r="B5" i="59"/>
  <c r="B9" i="59"/>
  <c r="B4" i="54"/>
  <c r="B2" i="55"/>
  <c r="B4" i="56"/>
  <c r="B2" i="57"/>
  <c r="B4" i="58"/>
  <c r="B2" i="59"/>
  <c r="H43" i="22" l="1"/>
  <c r="H28" i="47"/>
  <c r="H27" i="45"/>
  <c r="H28" i="39"/>
  <c r="H30" i="22"/>
  <c r="H30" i="17"/>
  <c r="H28" i="22"/>
  <c r="C57" i="22"/>
  <c r="H43" i="17"/>
  <c r="H52" i="17"/>
  <c r="F69" i="14"/>
  <c r="H51" i="14"/>
  <c r="H52" i="18"/>
  <c r="H30" i="18"/>
  <c r="H52" i="15"/>
  <c r="C18" i="25"/>
  <c r="H35" i="25" s="1"/>
  <c r="H61" i="45"/>
  <c r="H52" i="47"/>
  <c r="H35" i="39"/>
  <c r="H60" i="45"/>
  <c r="H45" i="22"/>
  <c r="H46" i="17"/>
  <c r="C57" i="17"/>
  <c r="H30" i="14"/>
  <c r="H37" i="14"/>
  <c r="H60" i="20"/>
  <c r="H46" i="12"/>
  <c r="H53" i="14"/>
  <c r="H53" i="18"/>
  <c r="H37" i="18"/>
  <c r="H28" i="12"/>
  <c r="H46" i="47"/>
  <c r="H51" i="47"/>
  <c r="H43" i="45"/>
  <c r="C18" i="33"/>
  <c r="F69" i="22"/>
  <c r="H51" i="17"/>
  <c r="H27" i="17"/>
  <c r="H35" i="14"/>
  <c r="H54" i="14"/>
  <c r="H55" i="14" s="1"/>
  <c r="H44" i="14"/>
  <c r="H44" i="18"/>
  <c r="H54" i="18"/>
  <c r="C18" i="18"/>
  <c r="H35" i="18" s="1"/>
  <c r="C57" i="20"/>
  <c r="H28" i="45"/>
  <c r="H51" i="22"/>
  <c r="H36" i="22"/>
  <c r="H28" i="17"/>
  <c r="H60" i="17"/>
  <c r="H63" i="17" s="1"/>
  <c r="H60" i="14"/>
  <c r="H27" i="14"/>
  <c r="C18" i="13"/>
  <c r="H61" i="18"/>
  <c r="H28" i="18"/>
  <c r="H45" i="20"/>
  <c r="H43" i="47"/>
  <c r="H30" i="47"/>
  <c r="H45" i="45"/>
  <c r="H53" i="39"/>
  <c r="H53" i="22"/>
  <c r="H53" i="17"/>
  <c r="H31" i="12"/>
  <c r="H36" i="12"/>
  <c r="H38" i="18"/>
  <c r="H28" i="20"/>
  <c r="C18" i="34"/>
  <c r="C18" i="30"/>
  <c r="H54" i="47"/>
  <c r="C18" i="44"/>
  <c r="H60" i="22"/>
  <c r="H27" i="22"/>
  <c r="H31" i="22" s="1"/>
  <c r="H44" i="22"/>
  <c r="H36" i="14"/>
  <c r="H39" i="14" s="1"/>
  <c r="H37" i="20"/>
  <c r="H54" i="39"/>
  <c r="F69" i="39"/>
  <c r="H69" i="39" s="1"/>
  <c r="H60" i="39"/>
  <c r="H38" i="22"/>
  <c r="H37" i="22"/>
  <c r="H61" i="22"/>
  <c r="H27" i="18"/>
  <c r="H52" i="14"/>
  <c r="H29" i="14"/>
  <c r="C18" i="19"/>
  <c r="H61" i="12"/>
  <c r="H63" i="12" s="1"/>
  <c r="H60" i="12"/>
  <c r="C57" i="12"/>
  <c r="F69" i="18"/>
  <c r="H69" i="18" s="1"/>
  <c r="H29" i="22"/>
  <c r="H70" i="18"/>
  <c r="H69" i="55"/>
  <c r="H70" i="15"/>
  <c r="H69" i="15"/>
  <c r="H54" i="43"/>
  <c r="H61" i="43"/>
  <c r="H53" i="43"/>
  <c r="H37" i="43"/>
  <c r="H37" i="55"/>
  <c r="H38" i="43"/>
  <c r="H36" i="45"/>
  <c r="H51" i="54"/>
  <c r="H46" i="54"/>
  <c r="H29" i="54"/>
  <c r="H43" i="54"/>
  <c r="H38" i="54"/>
  <c r="H60" i="54"/>
  <c r="H35" i="54"/>
  <c r="H30" i="54"/>
  <c r="C57" i="54"/>
  <c r="H52" i="54"/>
  <c r="H61" i="54"/>
  <c r="F69" i="54"/>
  <c r="H45" i="54"/>
  <c r="H28" i="54"/>
  <c r="H54" i="54"/>
  <c r="H36" i="54"/>
  <c r="H37" i="54"/>
  <c r="H53" i="54"/>
  <c r="H44" i="54"/>
  <c r="H43" i="55"/>
  <c r="H29" i="55"/>
  <c r="H36" i="55"/>
  <c r="H61" i="57"/>
  <c r="H44" i="57"/>
  <c r="H53" i="57"/>
  <c r="H36" i="57"/>
  <c r="F69" i="57"/>
  <c r="H45" i="57"/>
  <c r="H28" i="57"/>
  <c r="H54" i="57"/>
  <c r="H37" i="57"/>
  <c r="H51" i="57"/>
  <c r="H46" i="57"/>
  <c r="H29" i="57"/>
  <c r="H60" i="57"/>
  <c r="H35" i="57"/>
  <c r="H30" i="57"/>
  <c r="H38" i="57"/>
  <c r="C57" i="57"/>
  <c r="H43" i="57"/>
  <c r="H52" i="57"/>
  <c r="C18" i="40"/>
  <c r="H30" i="43"/>
  <c r="H28" i="43"/>
  <c r="H36" i="47"/>
  <c r="H29" i="47"/>
  <c r="C18" i="46"/>
  <c r="H60" i="32"/>
  <c r="H35" i="32"/>
  <c r="H30" i="32"/>
  <c r="C57" i="32"/>
  <c r="H52" i="32"/>
  <c r="H27" i="32"/>
  <c r="H61" i="32"/>
  <c r="H44" i="32"/>
  <c r="H53" i="32"/>
  <c r="H36" i="32"/>
  <c r="H51" i="32"/>
  <c r="H46" i="32"/>
  <c r="H29" i="32"/>
  <c r="H43" i="32"/>
  <c r="H38" i="32"/>
  <c r="H45" i="32"/>
  <c r="F69" i="32"/>
  <c r="H54" i="32"/>
  <c r="H28" i="32"/>
  <c r="H37" i="32"/>
  <c r="H30" i="45"/>
  <c r="H37" i="45"/>
  <c r="H51" i="41"/>
  <c r="H46" i="41"/>
  <c r="H29" i="41"/>
  <c r="H43" i="41"/>
  <c r="H38" i="41"/>
  <c r="H61" i="41"/>
  <c r="H53" i="41"/>
  <c r="H28" i="41"/>
  <c r="F69" i="41"/>
  <c r="H54" i="41"/>
  <c r="H36" i="41"/>
  <c r="H60" i="41"/>
  <c r="H52" i="41"/>
  <c r="H30" i="41"/>
  <c r="H27" i="41"/>
  <c r="C57" i="41"/>
  <c r="H45" i="41"/>
  <c r="H44" i="41"/>
  <c r="H37" i="41"/>
  <c r="H35" i="41"/>
  <c r="H44" i="39"/>
  <c r="H46" i="39"/>
  <c r="H54" i="23"/>
  <c r="H37" i="23"/>
  <c r="H51" i="23"/>
  <c r="H46" i="23"/>
  <c r="H29" i="23"/>
  <c r="H43" i="23"/>
  <c r="H38" i="23"/>
  <c r="H60" i="23"/>
  <c r="H35" i="23"/>
  <c r="H30" i="23"/>
  <c r="C57" i="23"/>
  <c r="H52" i="23"/>
  <c r="H27" i="23"/>
  <c r="H28" i="23"/>
  <c r="H44" i="23"/>
  <c r="F69" i="23"/>
  <c r="H53" i="23"/>
  <c r="H61" i="23"/>
  <c r="H45" i="23"/>
  <c r="H36" i="23"/>
  <c r="C18" i="16"/>
  <c r="C18" i="11"/>
  <c r="H60" i="15"/>
  <c r="H44" i="15"/>
  <c r="H38" i="20"/>
  <c r="H30" i="20"/>
  <c r="H38" i="55"/>
  <c r="H60" i="28"/>
  <c r="H35" i="28"/>
  <c r="H30" i="28"/>
  <c r="C57" i="28"/>
  <c r="H52" i="28"/>
  <c r="H27" i="28"/>
  <c r="H61" i="28"/>
  <c r="H44" i="28"/>
  <c r="H53" i="28"/>
  <c r="H36" i="28"/>
  <c r="H51" i="28"/>
  <c r="H46" i="28"/>
  <c r="H29" i="28"/>
  <c r="H43" i="28"/>
  <c r="H38" i="28"/>
  <c r="H28" i="28"/>
  <c r="H37" i="28"/>
  <c r="H45" i="28"/>
  <c r="F69" i="28"/>
  <c r="H54" i="28"/>
  <c r="H37" i="39"/>
  <c r="F69" i="51"/>
  <c r="H45" i="51"/>
  <c r="H28" i="51"/>
  <c r="H54" i="51"/>
  <c r="H37" i="51"/>
  <c r="H51" i="51"/>
  <c r="H46" i="51"/>
  <c r="H29" i="51"/>
  <c r="H43" i="51"/>
  <c r="H38" i="51"/>
  <c r="C57" i="51"/>
  <c r="H52" i="51"/>
  <c r="H27" i="51"/>
  <c r="H60" i="51"/>
  <c r="H53" i="51"/>
  <c r="H44" i="51"/>
  <c r="H36" i="51"/>
  <c r="H61" i="51"/>
  <c r="H30" i="51"/>
  <c r="H36" i="39"/>
  <c r="H47" i="14"/>
  <c r="H54" i="55"/>
  <c r="H43" i="43"/>
  <c r="H54" i="27"/>
  <c r="H51" i="27"/>
  <c r="H46" i="27"/>
  <c r="H29" i="27"/>
  <c r="H61" i="27"/>
  <c r="H44" i="27"/>
  <c r="H27" i="27"/>
  <c r="H30" i="27"/>
  <c r="H45" i="27"/>
  <c r="H38" i="27"/>
  <c r="H35" i="27"/>
  <c r="H28" i="27"/>
  <c r="H60" i="27"/>
  <c r="H53" i="27"/>
  <c r="F69" i="27"/>
  <c r="C57" i="27"/>
  <c r="H36" i="27"/>
  <c r="H43" i="27"/>
  <c r="H52" i="27"/>
  <c r="H43" i="21"/>
  <c r="H38" i="21"/>
  <c r="H60" i="21"/>
  <c r="C57" i="21"/>
  <c r="H52" i="21"/>
  <c r="H27" i="21"/>
  <c r="H30" i="21"/>
  <c r="H36" i="21"/>
  <c r="H28" i="21"/>
  <c r="F69" i="21"/>
  <c r="H45" i="21"/>
  <c r="H53" i="21"/>
  <c r="H51" i="21"/>
  <c r="H46" i="21"/>
  <c r="H44" i="21"/>
  <c r="H29" i="21"/>
  <c r="H37" i="21"/>
  <c r="H54" i="21"/>
  <c r="H61" i="21"/>
  <c r="C18" i="51"/>
  <c r="H35" i="51" s="1"/>
  <c r="C57" i="55"/>
  <c r="H46" i="55"/>
  <c r="H53" i="55"/>
  <c r="H61" i="53"/>
  <c r="H44" i="53"/>
  <c r="H53" i="53"/>
  <c r="H36" i="53"/>
  <c r="F69" i="53"/>
  <c r="H45" i="53"/>
  <c r="H28" i="53"/>
  <c r="H54" i="53"/>
  <c r="H37" i="53"/>
  <c r="H60" i="53"/>
  <c r="H63" i="53" s="1"/>
  <c r="H30" i="53"/>
  <c r="C57" i="53"/>
  <c r="H51" i="53"/>
  <c r="H38" i="53"/>
  <c r="H29" i="53"/>
  <c r="H27" i="53"/>
  <c r="H52" i="53"/>
  <c r="H46" i="53"/>
  <c r="H43" i="53"/>
  <c r="C18" i="58"/>
  <c r="H35" i="43"/>
  <c r="H45" i="43"/>
  <c r="H44" i="47"/>
  <c r="H53" i="47"/>
  <c r="H55" i="47" s="1"/>
  <c r="H60" i="30"/>
  <c r="H35" i="30"/>
  <c r="H30" i="30"/>
  <c r="C57" i="30"/>
  <c r="H52" i="30"/>
  <c r="H27" i="30"/>
  <c r="H61" i="30"/>
  <c r="H44" i="30"/>
  <c r="H53" i="30"/>
  <c r="H36" i="30"/>
  <c r="H51" i="30"/>
  <c r="H46" i="30"/>
  <c r="H29" i="30"/>
  <c r="H43" i="30"/>
  <c r="H38" i="30"/>
  <c r="H45" i="30"/>
  <c r="H28" i="30"/>
  <c r="H37" i="30"/>
  <c r="F69" i="30"/>
  <c r="H54" i="30"/>
  <c r="C18" i="38"/>
  <c r="H35" i="45"/>
  <c r="H54" i="45"/>
  <c r="H61" i="39"/>
  <c r="H63" i="39" s="1"/>
  <c r="H51" i="39"/>
  <c r="C18" i="31"/>
  <c r="C18" i="35"/>
  <c r="C18" i="22"/>
  <c r="H35" i="22" s="1"/>
  <c r="C18" i="27"/>
  <c r="H37" i="27" s="1"/>
  <c r="H47" i="22"/>
  <c r="H38" i="15"/>
  <c r="H61" i="15"/>
  <c r="C57" i="14"/>
  <c r="H46" i="20"/>
  <c r="C18" i="14"/>
  <c r="H28" i="14" s="1"/>
  <c r="H60" i="18"/>
  <c r="H63" i="18" s="1"/>
  <c r="H45" i="18"/>
  <c r="H47" i="18" s="1"/>
  <c r="H54" i="16"/>
  <c r="H37" i="16"/>
  <c r="H51" i="16"/>
  <c r="H46" i="16"/>
  <c r="H29" i="16"/>
  <c r="H43" i="16"/>
  <c r="H38" i="16"/>
  <c r="H60" i="16"/>
  <c r="H35" i="16"/>
  <c r="H30" i="16"/>
  <c r="H53" i="16"/>
  <c r="H36" i="16"/>
  <c r="F69" i="16"/>
  <c r="H45" i="16"/>
  <c r="H28" i="16"/>
  <c r="H61" i="16"/>
  <c r="H52" i="16"/>
  <c r="H27" i="16"/>
  <c r="H44" i="16"/>
  <c r="C57" i="16"/>
  <c r="H45" i="15"/>
  <c r="C57" i="15"/>
  <c r="H27" i="20"/>
  <c r="H52" i="20"/>
  <c r="H54" i="20"/>
  <c r="H51" i="55"/>
  <c r="H60" i="48"/>
  <c r="H35" i="48"/>
  <c r="H30" i="48"/>
  <c r="C57" i="48"/>
  <c r="H52" i="48"/>
  <c r="H27" i="48"/>
  <c r="H61" i="48"/>
  <c r="H44" i="48"/>
  <c r="H53" i="48"/>
  <c r="H36" i="48"/>
  <c r="H54" i="48"/>
  <c r="H37" i="48"/>
  <c r="F69" i="48"/>
  <c r="H45" i="48"/>
  <c r="H38" i="48"/>
  <c r="H29" i="48"/>
  <c r="H43" i="48"/>
  <c r="H46" i="48"/>
  <c r="H51" i="48"/>
  <c r="H28" i="48"/>
  <c r="F69" i="43"/>
  <c r="H55" i="22"/>
  <c r="H27" i="43"/>
  <c r="H60" i="19"/>
  <c r="H63" i="19" s="1"/>
  <c r="H35" i="19"/>
  <c r="H30" i="19"/>
  <c r="H28" i="19"/>
  <c r="C57" i="19"/>
  <c r="H52" i="19"/>
  <c r="H27" i="19"/>
  <c r="F69" i="19"/>
  <c r="H45" i="19"/>
  <c r="H61" i="19"/>
  <c r="H44" i="19"/>
  <c r="H53" i="19"/>
  <c r="H36" i="19"/>
  <c r="H51" i="19"/>
  <c r="H46" i="19"/>
  <c r="H29" i="19"/>
  <c r="H43" i="19"/>
  <c r="H38" i="19"/>
  <c r="H37" i="19"/>
  <c r="H54" i="19"/>
  <c r="H69" i="47"/>
  <c r="H60" i="46"/>
  <c r="H63" i="46" s="1"/>
  <c r="H35" i="46"/>
  <c r="H30" i="46"/>
  <c r="C57" i="46"/>
  <c r="H52" i="46"/>
  <c r="H27" i="46"/>
  <c r="H61" i="46"/>
  <c r="H44" i="46"/>
  <c r="H53" i="46"/>
  <c r="H36" i="46"/>
  <c r="F69" i="46"/>
  <c r="H45" i="46"/>
  <c r="H28" i="46"/>
  <c r="H37" i="46"/>
  <c r="H51" i="46"/>
  <c r="H54" i="46"/>
  <c r="H38" i="46"/>
  <c r="H43" i="46"/>
  <c r="H29" i="46"/>
  <c r="H46" i="46"/>
  <c r="H70" i="45"/>
  <c r="H69" i="45"/>
  <c r="C57" i="11"/>
  <c r="H52" i="11"/>
  <c r="H27" i="11"/>
  <c r="H61" i="11"/>
  <c r="H44" i="11"/>
  <c r="H53" i="11"/>
  <c r="H36" i="11"/>
  <c r="F69" i="11"/>
  <c r="H45" i="11"/>
  <c r="H28" i="11"/>
  <c r="H43" i="11"/>
  <c r="H35" i="11"/>
  <c r="H38" i="11"/>
  <c r="H60" i="11"/>
  <c r="H46" i="11"/>
  <c r="H29" i="11"/>
  <c r="H30" i="11"/>
  <c r="H51" i="11"/>
  <c r="H37" i="11"/>
  <c r="H54" i="11"/>
  <c r="H61" i="59"/>
  <c r="H44" i="59"/>
  <c r="H53" i="59"/>
  <c r="H36" i="59"/>
  <c r="F69" i="59"/>
  <c r="H45" i="59"/>
  <c r="H28" i="59"/>
  <c r="H54" i="59"/>
  <c r="H37" i="59"/>
  <c r="H51" i="59"/>
  <c r="H46" i="59"/>
  <c r="H29" i="59"/>
  <c r="H60" i="59"/>
  <c r="H35" i="59"/>
  <c r="H30" i="59"/>
  <c r="C57" i="59"/>
  <c r="H43" i="59"/>
  <c r="H52" i="59"/>
  <c r="H27" i="59"/>
  <c r="H38" i="59"/>
  <c r="F69" i="49"/>
  <c r="H45" i="49"/>
  <c r="H28" i="49"/>
  <c r="H54" i="49"/>
  <c r="H37" i="49"/>
  <c r="H51" i="49"/>
  <c r="H46" i="49"/>
  <c r="H29" i="49"/>
  <c r="H43" i="49"/>
  <c r="H38" i="49"/>
  <c r="C57" i="49"/>
  <c r="H52" i="49"/>
  <c r="H27" i="49"/>
  <c r="H36" i="49"/>
  <c r="H61" i="49"/>
  <c r="H30" i="49"/>
  <c r="H53" i="49"/>
  <c r="H60" i="49"/>
  <c r="H35" i="49"/>
  <c r="H44" i="49"/>
  <c r="H30" i="55"/>
  <c r="H28" i="55"/>
  <c r="C18" i="53"/>
  <c r="H35" i="53" s="1"/>
  <c r="H39" i="53" s="1"/>
  <c r="C18" i="57"/>
  <c r="H27" i="57" s="1"/>
  <c r="H31" i="57" s="1"/>
  <c r="H37" i="47"/>
  <c r="H35" i="47"/>
  <c r="C18" i="45"/>
  <c r="H38" i="45" s="1"/>
  <c r="H29" i="43"/>
  <c r="H45" i="47"/>
  <c r="C57" i="47"/>
  <c r="H60" i="38"/>
  <c r="C57" i="38"/>
  <c r="H52" i="38"/>
  <c r="H27" i="38"/>
  <c r="H61" i="38"/>
  <c r="H44" i="38"/>
  <c r="H53" i="38"/>
  <c r="H36" i="38"/>
  <c r="F69" i="38"/>
  <c r="H45" i="38"/>
  <c r="H28" i="38"/>
  <c r="H51" i="38"/>
  <c r="H46" i="38"/>
  <c r="H29" i="38"/>
  <c r="H38" i="38"/>
  <c r="H43" i="38"/>
  <c r="H54" i="38"/>
  <c r="H35" i="38"/>
  <c r="H30" i="38"/>
  <c r="H37" i="38"/>
  <c r="H61" i="36"/>
  <c r="H53" i="36"/>
  <c r="H36" i="36"/>
  <c r="F69" i="36"/>
  <c r="H45" i="36"/>
  <c r="H35" i="36"/>
  <c r="H30" i="36"/>
  <c r="H60" i="36"/>
  <c r="C57" i="36"/>
  <c r="H46" i="36"/>
  <c r="H43" i="36"/>
  <c r="H38" i="36"/>
  <c r="H27" i="36"/>
  <c r="H54" i="36"/>
  <c r="H51" i="36"/>
  <c r="H52" i="36"/>
  <c r="H37" i="36"/>
  <c r="H29" i="36"/>
  <c r="H28" i="36"/>
  <c r="H44" i="36"/>
  <c r="H44" i="45"/>
  <c r="H29" i="45"/>
  <c r="C57" i="39"/>
  <c r="H38" i="39"/>
  <c r="H45" i="39"/>
  <c r="C18" i="21"/>
  <c r="H35" i="21" s="1"/>
  <c r="H39" i="21" s="1"/>
  <c r="C18" i="15"/>
  <c r="H54" i="17"/>
  <c r="H55" i="17" s="1"/>
  <c r="H29" i="17"/>
  <c r="H31" i="17" s="1"/>
  <c r="H37" i="17"/>
  <c r="H36" i="17"/>
  <c r="H35" i="17"/>
  <c r="H45" i="12"/>
  <c r="H47" i="12" s="1"/>
  <c r="H38" i="12"/>
  <c r="H39" i="12" s="1"/>
  <c r="F69" i="29"/>
  <c r="H45" i="29"/>
  <c r="H28" i="29"/>
  <c r="H54" i="29"/>
  <c r="H37" i="29"/>
  <c r="H51" i="29"/>
  <c r="H46" i="29"/>
  <c r="H29" i="29"/>
  <c r="H43" i="29"/>
  <c r="H38" i="29"/>
  <c r="H61" i="29"/>
  <c r="H44" i="29"/>
  <c r="H53" i="29"/>
  <c r="H36" i="29"/>
  <c r="H60" i="29"/>
  <c r="H30" i="29"/>
  <c r="C57" i="29"/>
  <c r="H35" i="29"/>
  <c r="H52" i="29"/>
  <c r="H27" i="29"/>
  <c r="H46" i="15"/>
  <c r="H47" i="15" s="1"/>
  <c r="H36" i="18"/>
  <c r="H39" i="18" s="1"/>
  <c r="H29" i="18"/>
  <c r="H31" i="18" s="1"/>
  <c r="H61" i="14"/>
  <c r="H63" i="14" s="1"/>
  <c r="H43" i="20"/>
  <c r="F69" i="20"/>
  <c r="H36" i="20"/>
  <c r="H51" i="56"/>
  <c r="H46" i="56"/>
  <c r="H29" i="56"/>
  <c r="H43" i="56"/>
  <c r="H38" i="56"/>
  <c r="H60" i="56"/>
  <c r="H35" i="56"/>
  <c r="H30" i="56"/>
  <c r="C57" i="56"/>
  <c r="H52" i="56"/>
  <c r="H27" i="56"/>
  <c r="H61" i="56"/>
  <c r="H44" i="56"/>
  <c r="F69" i="56"/>
  <c r="H45" i="56"/>
  <c r="H28" i="56"/>
  <c r="H37" i="56"/>
  <c r="H36" i="56"/>
  <c r="H53" i="56"/>
  <c r="H54" i="56"/>
  <c r="C57" i="13"/>
  <c r="H52" i="13"/>
  <c r="H27" i="13"/>
  <c r="H61" i="13"/>
  <c r="H44" i="13"/>
  <c r="H53" i="13"/>
  <c r="H36" i="13"/>
  <c r="F69" i="13"/>
  <c r="H45" i="13"/>
  <c r="H28" i="13"/>
  <c r="H46" i="13"/>
  <c r="H29" i="13"/>
  <c r="H51" i="13"/>
  <c r="H37" i="13"/>
  <c r="H35" i="13"/>
  <c r="H54" i="13"/>
  <c r="H60" i="13"/>
  <c r="H30" i="13"/>
  <c r="H43" i="13"/>
  <c r="H38" i="13"/>
  <c r="H51" i="52"/>
  <c r="H46" i="52"/>
  <c r="H60" i="52"/>
  <c r="H54" i="52"/>
  <c r="H35" i="52"/>
  <c r="H30" i="52"/>
  <c r="H27" i="52"/>
  <c r="H44" i="52"/>
  <c r="F69" i="52"/>
  <c r="H52" i="52"/>
  <c r="H36" i="52"/>
  <c r="H37" i="52"/>
  <c r="H61" i="52"/>
  <c r="H45" i="52"/>
  <c r="H38" i="52"/>
  <c r="H29" i="52"/>
  <c r="H43" i="52"/>
  <c r="H53" i="52"/>
  <c r="C57" i="52"/>
  <c r="H28" i="52"/>
  <c r="H60" i="40"/>
  <c r="H35" i="40"/>
  <c r="H30" i="40"/>
  <c r="C57" i="40"/>
  <c r="H52" i="40"/>
  <c r="H27" i="40"/>
  <c r="H61" i="40"/>
  <c r="H44" i="40"/>
  <c r="H53" i="40"/>
  <c r="H36" i="40"/>
  <c r="F69" i="40"/>
  <c r="H45" i="40"/>
  <c r="H28" i="40"/>
  <c r="H51" i="40"/>
  <c r="H46" i="40"/>
  <c r="H29" i="40"/>
  <c r="H37" i="40"/>
  <c r="H54" i="40"/>
  <c r="H43" i="40"/>
  <c r="H38" i="40"/>
  <c r="H70" i="12"/>
  <c r="H69" i="12"/>
  <c r="H71" i="12" s="1"/>
  <c r="H60" i="50"/>
  <c r="H35" i="50"/>
  <c r="H30" i="50"/>
  <c r="C57" i="50"/>
  <c r="H52" i="50"/>
  <c r="H27" i="50"/>
  <c r="H61" i="50"/>
  <c r="H44" i="50"/>
  <c r="H53" i="50"/>
  <c r="H36" i="50"/>
  <c r="H54" i="50"/>
  <c r="H37" i="50"/>
  <c r="F69" i="50"/>
  <c r="H45" i="50"/>
  <c r="H38" i="50"/>
  <c r="H29" i="50"/>
  <c r="H43" i="50"/>
  <c r="H46" i="50"/>
  <c r="H51" i="50"/>
  <c r="H28" i="50"/>
  <c r="C57" i="43"/>
  <c r="C18" i="55"/>
  <c r="H27" i="55" s="1"/>
  <c r="H35" i="55"/>
  <c r="H45" i="55"/>
  <c r="H36" i="43"/>
  <c r="H60" i="42"/>
  <c r="H63" i="42" s="1"/>
  <c r="H35" i="42"/>
  <c r="H30" i="42"/>
  <c r="H61" i="42"/>
  <c r="H44" i="42"/>
  <c r="H53" i="42"/>
  <c r="H36" i="42"/>
  <c r="F69" i="42"/>
  <c r="H45" i="42"/>
  <c r="H52" i="42"/>
  <c r="H43" i="42"/>
  <c r="H38" i="42"/>
  <c r="H28" i="42"/>
  <c r="C57" i="42"/>
  <c r="H46" i="42"/>
  <c r="H29" i="42"/>
  <c r="H54" i="42"/>
  <c r="H51" i="42"/>
  <c r="H37" i="42"/>
  <c r="H27" i="42"/>
  <c r="H46" i="43"/>
  <c r="H27" i="47"/>
  <c r="H31" i="47" s="1"/>
  <c r="H38" i="47"/>
  <c r="H53" i="45"/>
  <c r="H46" i="45"/>
  <c r="H27" i="39"/>
  <c r="H31" i="39" s="1"/>
  <c r="H43" i="39"/>
  <c r="C57" i="26"/>
  <c r="H61" i="26"/>
  <c r="H44" i="26"/>
  <c r="H27" i="26"/>
  <c r="F69" i="26"/>
  <c r="H52" i="26"/>
  <c r="H36" i="26"/>
  <c r="H60" i="26"/>
  <c r="H28" i="26"/>
  <c r="H53" i="26"/>
  <c r="H45" i="26"/>
  <c r="H37" i="26"/>
  <c r="H54" i="26"/>
  <c r="H29" i="26"/>
  <c r="H35" i="26"/>
  <c r="H43" i="26"/>
  <c r="H46" i="26"/>
  <c r="H30" i="26"/>
  <c r="H38" i="26"/>
  <c r="H51" i="26"/>
  <c r="C18" i="24"/>
  <c r="H37" i="24" s="1"/>
  <c r="H54" i="15"/>
  <c r="H29" i="15"/>
  <c r="H31" i="15" s="1"/>
  <c r="H51" i="15"/>
  <c r="H70" i="14"/>
  <c r="H69" i="14"/>
  <c r="H53" i="12"/>
  <c r="H55" i="12" s="1"/>
  <c r="H30" i="15"/>
  <c r="H36" i="15"/>
  <c r="H51" i="20"/>
  <c r="H29" i="20"/>
  <c r="H53" i="20"/>
  <c r="H45" i="17"/>
  <c r="H47" i="17" s="1"/>
  <c r="H44" i="55"/>
  <c r="H60" i="43"/>
  <c r="H63" i="43" s="1"/>
  <c r="C57" i="24"/>
  <c r="H52" i="24"/>
  <c r="H27" i="24"/>
  <c r="H61" i="24"/>
  <c r="H44" i="24"/>
  <c r="H53" i="24"/>
  <c r="H36" i="24"/>
  <c r="F69" i="24"/>
  <c r="H45" i="24"/>
  <c r="H28" i="24"/>
  <c r="H54" i="24"/>
  <c r="H60" i="24"/>
  <c r="H63" i="24" s="1"/>
  <c r="H38" i="24"/>
  <c r="H30" i="24"/>
  <c r="H29" i="24"/>
  <c r="H43" i="24"/>
  <c r="H47" i="24" s="1"/>
  <c r="H46" i="24"/>
  <c r="H51" i="24"/>
  <c r="H35" i="24"/>
  <c r="H61" i="55"/>
  <c r="H51" i="58"/>
  <c r="H46" i="58"/>
  <c r="H29" i="58"/>
  <c r="H43" i="58"/>
  <c r="H38" i="58"/>
  <c r="H60" i="58"/>
  <c r="H63" i="58" s="1"/>
  <c r="H35" i="58"/>
  <c r="H30" i="58"/>
  <c r="C57" i="58"/>
  <c r="H52" i="58"/>
  <c r="H27" i="58"/>
  <c r="H61" i="58"/>
  <c r="H44" i="58"/>
  <c r="F69" i="58"/>
  <c r="H45" i="58"/>
  <c r="H28" i="58"/>
  <c r="H53" i="58"/>
  <c r="H54" i="58"/>
  <c r="H37" i="58"/>
  <c r="H36" i="58"/>
  <c r="F69" i="33"/>
  <c r="H45" i="33"/>
  <c r="H28" i="33"/>
  <c r="H54" i="33"/>
  <c r="H37" i="33"/>
  <c r="H51" i="33"/>
  <c r="H46" i="33"/>
  <c r="H29" i="33"/>
  <c r="H43" i="33"/>
  <c r="H38" i="33"/>
  <c r="H61" i="33"/>
  <c r="H44" i="33"/>
  <c r="H53" i="33"/>
  <c r="H36" i="33"/>
  <c r="H27" i="33"/>
  <c r="H60" i="33"/>
  <c r="H30" i="33"/>
  <c r="C57" i="33"/>
  <c r="H35" i="33"/>
  <c r="H52" i="33"/>
  <c r="H52" i="55"/>
  <c r="C18" i="54"/>
  <c r="H27" i="54" s="1"/>
  <c r="H31" i="54" s="1"/>
  <c r="H60" i="55"/>
  <c r="H52" i="43"/>
  <c r="H44" i="43"/>
  <c r="H51" i="43"/>
  <c r="H55" i="43" s="1"/>
  <c r="H61" i="47"/>
  <c r="H63" i="47" s="1"/>
  <c r="H60" i="34"/>
  <c r="H35" i="34"/>
  <c r="H30" i="34"/>
  <c r="C57" i="34"/>
  <c r="H52" i="34"/>
  <c r="H27" i="34"/>
  <c r="H61" i="34"/>
  <c r="H44" i="34"/>
  <c r="H53" i="34"/>
  <c r="H36" i="34"/>
  <c r="H51" i="34"/>
  <c r="H46" i="34"/>
  <c r="H29" i="34"/>
  <c r="H43" i="34"/>
  <c r="H38" i="34"/>
  <c r="H45" i="34"/>
  <c r="H28" i="34"/>
  <c r="F69" i="34"/>
  <c r="H54" i="34"/>
  <c r="H37" i="34"/>
  <c r="H54" i="37"/>
  <c r="H37" i="37"/>
  <c r="H51" i="37"/>
  <c r="H46" i="37"/>
  <c r="H29" i="37"/>
  <c r="H43" i="37"/>
  <c r="H38" i="37"/>
  <c r="H60" i="37"/>
  <c r="H35" i="37"/>
  <c r="H30" i="37"/>
  <c r="H53" i="37"/>
  <c r="H28" i="37"/>
  <c r="H61" i="37"/>
  <c r="H44" i="37"/>
  <c r="F69" i="37"/>
  <c r="H36" i="37"/>
  <c r="C57" i="37"/>
  <c r="H52" i="37"/>
  <c r="H45" i="37"/>
  <c r="H27" i="37"/>
  <c r="H60" i="44"/>
  <c r="H35" i="44"/>
  <c r="H30" i="44"/>
  <c r="C57" i="44"/>
  <c r="H52" i="44"/>
  <c r="H27" i="44"/>
  <c r="H61" i="44"/>
  <c r="H44" i="44"/>
  <c r="H53" i="44"/>
  <c r="H36" i="44"/>
  <c r="F69" i="44"/>
  <c r="H45" i="44"/>
  <c r="H28" i="44"/>
  <c r="H46" i="44"/>
  <c r="H37" i="44"/>
  <c r="H51" i="44"/>
  <c r="H43" i="44"/>
  <c r="H29" i="44"/>
  <c r="H54" i="44"/>
  <c r="H38" i="44"/>
  <c r="C57" i="45"/>
  <c r="H51" i="45"/>
  <c r="H52" i="39"/>
  <c r="H54" i="25"/>
  <c r="H37" i="25"/>
  <c r="H51" i="25"/>
  <c r="H46" i="25"/>
  <c r="H29" i="25"/>
  <c r="H43" i="25"/>
  <c r="H38" i="25"/>
  <c r="H60" i="25"/>
  <c r="H30" i="25"/>
  <c r="C57" i="25"/>
  <c r="H52" i="25"/>
  <c r="H27" i="25"/>
  <c r="H28" i="25"/>
  <c r="F69" i="25"/>
  <c r="H53" i="25"/>
  <c r="H44" i="25"/>
  <c r="H61" i="25"/>
  <c r="H45" i="25"/>
  <c r="H36" i="25"/>
  <c r="F69" i="31"/>
  <c r="H45" i="31"/>
  <c r="H28" i="31"/>
  <c r="H54" i="31"/>
  <c r="H37" i="31"/>
  <c r="H51" i="31"/>
  <c r="H46" i="31"/>
  <c r="H29" i="31"/>
  <c r="H43" i="31"/>
  <c r="H38" i="31"/>
  <c r="H61" i="31"/>
  <c r="H44" i="31"/>
  <c r="H53" i="31"/>
  <c r="H36" i="31"/>
  <c r="H35" i="31"/>
  <c r="H52" i="31"/>
  <c r="H27" i="31"/>
  <c r="H60" i="31"/>
  <c r="H30" i="31"/>
  <c r="C57" i="31"/>
  <c r="F69" i="35"/>
  <c r="H45" i="35"/>
  <c r="H28" i="35"/>
  <c r="H54" i="35"/>
  <c r="H37" i="35"/>
  <c r="H51" i="35"/>
  <c r="H46" i="35"/>
  <c r="H29" i="35"/>
  <c r="H43" i="35"/>
  <c r="H38" i="35"/>
  <c r="H61" i="35"/>
  <c r="H44" i="35"/>
  <c r="H53" i="35"/>
  <c r="H36" i="35"/>
  <c r="H35" i="35"/>
  <c r="H52" i="35"/>
  <c r="H27" i="35"/>
  <c r="H60" i="35"/>
  <c r="H30" i="35"/>
  <c r="C57" i="35"/>
  <c r="H69" i="22"/>
  <c r="H70" i="22"/>
  <c r="H70" i="17"/>
  <c r="H71" i="17" s="1"/>
  <c r="C18" i="20"/>
  <c r="H35" i="20" s="1"/>
  <c r="H39" i="20" s="1"/>
  <c r="H55" i="18"/>
  <c r="H35" i="15"/>
  <c r="H53" i="15"/>
  <c r="H61" i="20"/>
  <c r="H63" i="20" s="1"/>
  <c r="H39" i="25" l="1"/>
  <c r="H63" i="50"/>
  <c r="H63" i="36"/>
  <c r="H39" i="59"/>
  <c r="H47" i="53"/>
  <c r="H39" i="54"/>
  <c r="H63" i="22"/>
  <c r="H31" i="26"/>
  <c r="H31" i="40"/>
  <c r="H63" i="59"/>
  <c r="H31" i="58"/>
  <c r="H71" i="45"/>
  <c r="H71" i="14"/>
  <c r="H31" i="55"/>
  <c r="H47" i="51"/>
  <c r="H47" i="28"/>
  <c r="H63" i="45"/>
  <c r="H31" i="16"/>
  <c r="H47" i="47"/>
  <c r="H73" i="12"/>
  <c r="H39" i="11"/>
  <c r="H39" i="35"/>
  <c r="H55" i="45"/>
  <c r="H31" i="34"/>
  <c r="H47" i="45"/>
  <c r="H63" i="29"/>
  <c r="H47" i="11"/>
  <c r="H47" i="46"/>
  <c r="H55" i="55"/>
  <c r="H71" i="18"/>
  <c r="H73" i="18" s="1"/>
  <c r="H63" i="52"/>
  <c r="H55" i="38"/>
  <c r="H31" i="38"/>
  <c r="H63" i="49"/>
  <c r="H55" i="11"/>
  <c r="H31" i="19"/>
  <c r="H47" i="43"/>
  <c r="H55" i="26"/>
  <c r="H55" i="19"/>
  <c r="H39" i="51"/>
  <c r="H31" i="27"/>
  <c r="H39" i="41"/>
  <c r="H55" i="40"/>
  <c r="H31" i="45"/>
  <c r="H39" i="36"/>
  <c r="H70" i="47"/>
  <c r="H39" i="22"/>
  <c r="H39" i="31"/>
  <c r="H31" i="14"/>
  <c r="H73" i="14" s="1"/>
  <c r="H39" i="39"/>
  <c r="H63" i="44"/>
  <c r="H63" i="34"/>
  <c r="H55" i="25"/>
  <c r="H39" i="15"/>
  <c r="H47" i="35"/>
  <c r="H55" i="44"/>
  <c r="H63" i="30"/>
  <c r="H47" i="32"/>
  <c r="H31" i="32"/>
  <c r="H63" i="25"/>
  <c r="H55" i="37"/>
  <c r="H39" i="33"/>
  <c r="H39" i="55"/>
  <c r="H47" i="52"/>
  <c r="H70" i="52"/>
  <c r="H69" i="52"/>
  <c r="H55" i="52"/>
  <c r="H55" i="13"/>
  <c r="H55" i="56"/>
  <c r="H31" i="29"/>
  <c r="H55" i="36"/>
  <c r="H47" i="49"/>
  <c r="H70" i="49"/>
  <c r="H69" i="49"/>
  <c r="H70" i="59"/>
  <c r="H69" i="59"/>
  <c r="H71" i="47"/>
  <c r="H39" i="16"/>
  <c r="H55" i="39"/>
  <c r="H70" i="21"/>
  <c r="H69" i="21"/>
  <c r="H71" i="21" s="1"/>
  <c r="H63" i="21"/>
  <c r="H31" i="28"/>
  <c r="H39" i="23"/>
  <c r="H31" i="41"/>
  <c r="H63" i="54"/>
  <c r="H70" i="35"/>
  <c r="H69" i="35"/>
  <c r="H71" i="35" s="1"/>
  <c r="H31" i="37"/>
  <c r="H55" i="58"/>
  <c r="H31" i="44"/>
  <c r="H70" i="11"/>
  <c r="H69" i="11"/>
  <c r="H71" i="11" s="1"/>
  <c r="H63" i="27"/>
  <c r="H47" i="55"/>
  <c r="H70" i="55"/>
  <c r="H71" i="55" s="1"/>
  <c r="H55" i="35"/>
  <c r="H63" i="31"/>
  <c r="H47" i="25"/>
  <c r="H39" i="37"/>
  <c r="H47" i="33"/>
  <c r="H70" i="33"/>
  <c r="H69" i="33"/>
  <c r="H70" i="58"/>
  <c r="H69" i="58"/>
  <c r="H39" i="24"/>
  <c r="H31" i="42"/>
  <c r="H70" i="50"/>
  <c r="H69" i="50"/>
  <c r="H71" i="50" s="1"/>
  <c r="H47" i="40"/>
  <c r="H70" i="40"/>
  <c r="H69" i="40"/>
  <c r="H31" i="52"/>
  <c r="H47" i="13"/>
  <c r="H31" i="13"/>
  <c r="H39" i="56"/>
  <c r="H69" i="20"/>
  <c r="H70" i="20"/>
  <c r="H39" i="29"/>
  <c r="H31" i="36"/>
  <c r="H70" i="38"/>
  <c r="H69" i="38"/>
  <c r="H63" i="38"/>
  <c r="H31" i="59"/>
  <c r="H31" i="46"/>
  <c r="H70" i="43"/>
  <c r="H69" i="43"/>
  <c r="H70" i="48"/>
  <c r="H69" i="48"/>
  <c r="H31" i="20"/>
  <c r="H31" i="53"/>
  <c r="H47" i="21"/>
  <c r="H63" i="51"/>
  <c r="H55" i="51"/>
  <c r="H63" i="15"/>
  <c r="H55" i="32"/>
  <c r="H63" i="57"/>
  <c r="H70" i="57"/>
  <c r="H69" i="57"/>
  <c r="H47" i="54"/>
  <c r="H70" i="39"/>
  <c r="H71" i="39" s="1"/>
  <c r="H31" i="35"/>
  <c r="H39" i="30"/>
  <c r="H70" i="27"/>
  <c r="H69" i="27"/>
  <c r="H71" i="27" s="1"/>
  <c r="H70" i="25"/>
  <c r="H69" i="25"/>
  <c r="H39" i="58"/>
  <c r="H39" i="38"/>
  <c r="H63" i="23"/>
  <c r="H71" i="22"/>
  <c r="H73" i="22" s="1"/>
  <c r="H31" i="31"/>
  <c r="H47" i="31"/>
  <c r="H70" i="31"/>
  <c r="H69" i="31"/>
  <c r="H31" i="25"/>
  <c r="H63" i="37"/>
  <c r="H63" i="33"/>
  <c r="H55" i="24"/>
  <c r="H31" i="24"/>
  <c r="H55" i="20"/>
  <c r="H55" i="15"/>
  <c r="H47" i="26"/>
  <c r="H63" i="26"/>
  <c r="H47" i="39"/>
  <c r="H47" i="42"/>
  <c r="H39" i="40"/>
  <c r="H70" i="56"/>
  <c r="H69" i="56"/>
  <c r="H63" i="56"/>
  <c r="H47" i="20"/>
  <c r="H47" i="29"/>
  <c r="H70" i="29"/>
  <c r="H69" i="29"/>
  <c r="H70" i="36"/>
  <c r="H69" i="36"/>
  <c r="H71" i="36" s="1"/>
  <c r="H47" i="38"/>
  <c r="H55" i="49"/>
  <c r="H55" i="59"/>
  <c r="H63" i="11"/>
  <c r="H47" i="16"/>
  <c r="H39" i="45"/>
  <c r="H47" i="30"/>
  <c r="H31" i="30"/>
  <c r="H39" i="27"/>
  <c r="H31" i="51"/>
  <c r="H70" i="28"/>
  <c r="H69" i="28"/>
  <c r="H55" i="28"/>
  <c r="H47" i="23"/>
  <c r="H63" i="41"/>
  <c r="H47" i="41"/>
  <c r="H39" i="32"/>
  <c r="H39" i="47"/>
  <c r="H73" i="47" s="1"/>
  <c r="H70" i="51"/>
  <c r="H69" i="51"/>
  <c r="H71" i="51" s="1"/>
  <c r="H47" i="34"/>
  <c r="H31" i="50"/>
  <c r="H55" i="46"/>
  <c r="H31" i="48"/>
  <c r="H63" i="16"/>
  <c r="H70" i="23"/>
  <c r="H69" i="23"/>
  <c r="H39" i="57"/>
  <c r="H70" i="54"/>
  <c r="H69" i="54"/>
  <c r="H70" i="44"/>
  <c r="H69" i="44"/>
  <c r="H70" i="37"/>
  <c r="H69" i="37"/>
  <c r="H55" i="34"/>
  <c r="H63" i="55"/>
  <c r="H31" i="33"/>
  <c r="H47" i="58"/>
  <c r="H39" i="26"/>
  <c r="H55" i="42"/>
  <c r="H39" i="42"/>
  <c r="H55" i="50"/>
  <c r="H63" i="40"/>
  <c r="H39" i="52"/>
  <c r="H63" i="13"/>
  <c r="H47" i="36"/>
  <c r="H31" i="49"/>
  <c r="H47" i="59"/>
  <c r="H39" i="19"/>
  <c r="H55" i="48"/>
  <c r="H70" i="16"/>
  <c r="H69" i="16"/>
  <c r="H71" i="16" s="1"/>
  <c r="H39" i="43"/>
  <c r="H47" i="27"/>
  <c r="H55" i="27"/>
  <c r="H39" i="28"/>
  <c r="H31" i="23"/>
  <c r="H70" i="32"/>
  <c r="H69" i="32"/>
  <c r="H63" i="32"/>
  <c r="H39" i="50"/>
  <c r="H70" i="13"/>
  <c r="H69" i="13"/>
  <c r="H47" i="56"/>
  <c r="H70" i="46"/>
  <c r="H69" i="46"/>
  <c r="H47" i="19"/>
  <c r="H39" i="48"/>
  <c r="H55" i="53"/>
  <c r="H55" i="21"/>
  <c r="H31" i="21"/>
  <c r="H63" i="28"/>
  <c r="H47" i="57"/>
  <c r="H55" i="57"/>
  <c r="H55" i="54"/>
  <c r="H71" i="15"/>
  <c r="H39" i="44"/>
  <c r="H47" i="37"/>
  <c r="H70" i="34"/>
  <c r="H69" i="34"/>
  <c r="H39" i="34"/>
  <c r="H55" i="33"/>
  <c r="H63" i="35"/>
  <c r="H55" i="31"/>
  <c r="H47" i="44"/>
  <c r="H69" i="24"/>
  <c r="H70" i="24"/>
  <c r="H70" i="26"/>
  <c r="H69" i="26"/>
  <c r="H70" i="42"/>
  <c r="H69" i="42"/>
  <c r="H47" i="50"/>
  <c r="H39" i="13"/>
  <c r="H31" i="56"/>
  <c r="H55" i="29"/>
  <c r="H39" i="17"/>
  <c r="H73" i="17" s="1"/>
  <c r="H39" i="49"/>
  <c r="H31" i="11"/>
  <c r="H39" i="46"/>
  <c r="H70" i="19"/>
  <c r="H69" i="19"/>
  <c r="H31" i="43"/>
  <c r="H47" i="48"/>
  <c r="H63" i="48"/>
  <c r="H55" i="16"/>
  <c r="H70" i="30"/>
  <c r="H69" i="30"/>
  <c r="H55" i="30"/>
  <c r="H70" i="53"/>
  <c r="H69" i="53"/>
  <c r="H71" i="53" s="1"/>
  <c r="H55" i="23"/>
  <c r="H70" i="41"/>
  <c r="H69" i="41"/>
  <c r="H55" i="41"/>
  <c r="H71" i="54" l="1"/>
  <c r="H71" i="37"/>
  <c r="H73" i="15"/>
  <c r="H73" i="27"/>
  <c r="H71" i="49"/>
  <c r="H71" i="52"/>
  <c r="H73" i="52" s="1"/>
  <c r="H73" i="37"/>
  <c r="H73" i="45"/>
  <c r="H71" i="29"/>
  <c r="H73" i="29" s="1"/>
  <c r="H71" i="24"/>
  <c r="H73" i="24" s="1"/>
  <c r="H73" i="39"/>
  <c r="H73" i="16"/>
  <c r="H73" i="35"/>
  <c r="H71" i="30"/>
  <c r="H73" i="30" s="1"/>
  <c r="H71" i="42"/>
  <c r="H73" i="42" s="1"/>
  <c r="H71" i="32"/>
  <c r="H73" i="32" s="1"/>
  <c r="H73" i="54"/>
  <c r="H73" i="55"/>
  <c r="H73" i="11"/>
  <c r="H73" i="21"/>
  <c r="H71" i="13"/>
  <c r="H73" i="13" s="1"/>
  <c r="H73" i="49"/>
  <c r="H71" i="44"/>
  <c r="H73" i="44" s="1"/>
  <c r="H73" i="51"/>
  <c r="H73" i="36"/>
  <c r="H71" i="40"/>
  <c r="H73" i="40" s="1"/>
  <c r="H71" i="59"/>
  <c r="H73" i="59" s="1"/>
  <c r="H71" i="19"/>
  <c r="H73" i="19" s="1"/>
  <c r="H71" i="56"/>
  <c r="H73" i="56" s="1"/>
  <c r="H71" i="25"/>
  <c r="H73" i="25" s="1"/>
  <c r="H71" i="43"/>
  <c r="H73" i="43" s="1"/>
  <c r="H71" i="33"/>
  <c r="H73" i="33" s="1"/>
  <c r="H71" i="20"/>
  <c r="H73" i="20" s="1"/>
  <c r="H71" i="41"/>
  <c r="H73" i="41" s="1"/>
  <c r="H71" i="26"/>
  <c r="H73" i="26" s="1"/>
  <c r="H71" i="46"/>
  <c r="H73" i="46" s="1"/>
  <c r="H71" i="23"/>
  <c r="H73" i="23" s="1"/>
  <c r="H71" i="57"/>
  <c r="H73" i="57" s="1"/>
  <c r="H73" i="53"/>
  <c r="H73" i="50"/>
  <c r="H71" i="28"/>
  <c r="H73" i="28" s="1"/>
  <c r="H71" i="38"/>
  <c r="H73" i="38" s="1"/>
  <c r="H71" i="34"/>
  <c r="H73" i="34" s="1"/>
  <c r="H71" i="31"/>
  <c r="H73" i="31" s="1"/>
  <c r="H71" i="48"/>
  <c r="H73" i="48" s="1"/>
  <c r="H71" i="58"/>
  <c r="H73" i="58" s="1"/>
  <c r="O64" i="3" l="1"/>
  <c r="O62" i="3"/>
  <c r="N57" i="10"/>
  <c r="N56" i="10"/>
  <c r="B55" i="10"/>
  <c r="L50" i="10"/>
  <c r="L49" i="10"/>
  <c r="B46" i="10"/>
  <c r="B43" i="10"/>
  <c r="M41" i="10"/>
  <c r="N41" i="10"/>
  <c r="O41" i="10" s="1"/>
  <c r="O40" i="10"/>
  <c r="M40" i="10"/>
  <c r="N40" i="10"/>
  <c r="N39" i="10"/>
  <c r="O39" i="10" s="1"/>
  <c r="N38" i="10"/>
  <c r="O38" i="10" s="1"/>
  <c r="N37" i="10"/>
  <c r="O37" i="10" s="1"/>
  <c r="N36" i="10"/>
  <c r="O36" i="10" s="1"/>
  <c r="N35" i="10"/>
  <c r="O35" i="10" s="1"/>
  <c r="N34" i="10"/>
  <c r="O34" i="10" s="1"/>
  <c r="M33" i="10"/>
  <c r="N33" i="10"/>
  <c r="O33" i="10" s="1"/>
  <c r="N32" i="10"/>
  <c r="O32" i="10" s="1"/>
  <c r="M32" i="10"/>
  <c r="N28" i="10"/>
  <c r="B28" i="10"/>
  <c r="N26" i="10"/>
  <c r="O26" i="10" s="1"/>
  <c r="O25" i="10"/>
  <c r="N25" i="10"/>
  <c r="M25" i="10"/>
  <c r="B21" i="10"/>
  <c r="I19" i="10"/>
  <c r="H19" i="10"/>
  <c r="D19" i="10"/>
  <c r="B19" i="10"/>
  <c r="A19" i="10"/>
  <c r="A18" i="10"/>
  <c r="I17" i="10"/>
  <c r="H17" i="10"/>
  <c r="D17" i="10"/>
  <c r="B17" i="10"/>
  <c r="A17" i="10"/>
  <c r="A16" i="10"/>
  <c r="I15" i="10"/>
  <c r="H15" i="10"/>
  <c r="D15" i="10"/>
  <c r="A15" i="10"/>
  <c r="I14" i="10"/>
  <c r="H14" i="10"/>
  <c r="D14" i="10"/>
  <c r="A14" i="10"/>
  <c r="B2" i="10"/>
  <c r="N70" i="9"/>
  <c r="N69" i="9"/>
  <c r="B68" i="9"/>
  <c r="L63" i="9"/>
  <c r="L62" i="9"/>
  <c r="B59" i="9"/>
  <c r="B57" i="9"/>
  <c r="B55" i="9"/>
  <c r="B50" i="9"/>
  <c r="N45" i="9"/>
  <c r="N44" i="9"/>
  <c r="B37" i="9"/>
  <c r="N34" i="9"/>
  <c r="O34" i="9" s="1"/>
  <c r="M34" i="9"/>
  <c r="N33" i="9"/>
  <c r="O33" i="9" s="1"/>
  <c r="O32" i="9"/>
  <c r="N32" i="9"/>
  <c r="O28" i="9"/>
  <c r="N28" i="9"/>
  <c r="M28" i="9"/>
  <c r="M29" i="9" s="1"/>
  <c r="B24" i="9"/>
  <c r="B18" i="9"/>
  <c r="I16" i="9"/>
  <c r="H16" i="9"/>
  <c r="A16" i="9" s="1"/>
  <c r="D16" i="9"/>
  <c r="B16" i="9"/>
  <c r="I14" i="9"/>
  <c r="H14" i="9"/>
  <c r="D14" i="9"/>
  <c r="A14" i="9"/>
  <c r="B2" i="9"/>
  <c r="N257" i="8"/>
  <c r="N256" i="8"/>
  <c r="B255" i="8"/>
  <c r="L250" i="8"/>
  <c r="L249" i="8"/>
  <c r="B246" i="8"/>
  <c r="B244" i="8"/>
  <c r="B242" i="8"/>
  <c r="N240" i="8"/>
  <c r="O240" i="8" s="1"/>
  <c r="N239" i="8"/>
  <c r="O239" i="8" s="1"/>
  <c r="N238" i="8"/>
  <c r="O238" i="8" s="1"/>
  <c r="M238" i="8"/>
  <c r="N237" i="8"/>
  <c r="O237" i="8" s="1"/>
  <c r="N236" i="8"/>
  <c r="O236" i="8" s="1"/>
  <c r="N235" i="8"/>
  <c r="O235" i="8" s="1"/>
  <c r="N234" i="8"/>
  <c r="O234" i="8" s="1"/>
  <c r="N233" i="8"/>
  <c r="O233" i="8" s="1"/>
  <c r="N232" i="8"/>
  <c r="O232" i="8" s="1"/>
  <c r="N231" i="8"/>
  <c r="O231" i="8" s="1"/>
  <c r="O230" i="8"/>
  <c r="N230" i="8"/>
  <c r="N229" i="8"/>
  <c r="O229" i="8" s="1"/>
  <c r="N228" i="8"/>
  <c r="O228" i="8" s="1"/>
  <c r="N227" i="8"/>
  <c r="O227" i="8" s="1"/>
  <c r="N226" i="8"/>
  <c r="O226" i="8" s="1"/>
  <c r="N225" i="8"/>
  <c r="O225" i="8" s="1"/>
  <c r="N224" i="8"/>
  <c r="O224" i="8" s="1"/>
  <c r="N223" i="8"/>
  <c r="O223" i="8" s="1"/>
  <c r="O222" i="8"/>
  <c r="N222" i="8"/>
  <c r="N221" i="8"/>
  <c r="O221" i="8" s="1"/>
  <c r="N220" i="8"/>
  <c r="O220" i="8" s="1"/>
  <c r="N219" i="8"/>
  <c r="O219" i="8" s="1"/>
  <c r="N218" i="8"/>
  <c r="O218" i="8" s="1"/>
  <c r="N217" i="8"/>
  <c r="O217" i="8" s="1"/>
  <c r="N216" i="8"/>
  <c r="O216" i="8" s="1"/>
  <c r="N215" i="8"/>
  <c r="O215" i="8" s="1"/>
  <c r="O214" i="8"/>
  <c r="N214" i="8"/>
  <c r="N213" i="8"/>
  <c r="O213" i="8" s="1"/>
  <c r="N212" i="8"/>
  <c r="O212" i="8" s="1"/>
  <c r="N211" i="8"/>
  <c r="O211" i="8" s="1"/>
  <c r="N210" i="8"/>
  <c r="O210" i="8" s="1"/>
  <c r="N209" i="8"/>
  <c r="O209" i="8" s="1"/>
  <c r="N208" i="8"/>
  <c r="O208" i="8" s="1"/>
  <c r="N207" i="8"/>
  <c r="O207" i="8" s="1"/>
  <c r="M205" i="8"/>
  <c r="N205" i="8" s="1"/>
  <c r="O205" i="8" s="1"/>
  <c r="M204" i="8"/>
  <c r="N204" i="8"/>
  <c r="B199" i="8"/>
  <c r="B197" i="8"/>
  <c r="N196" i="8"/>
  <c r="N195" i="8"/>
  <c r="N194" i="8"/>
  <c r="N193" i="8"/>
  <c r="N192" i="8"/>
  <c r="N191" i="8"/>
  <c r="N190" i="8"/>
  <c r="N197" i="8" s="1"/>
  <c r="B186" i="8"/>
  <c r="N185" i="8"/>
  <c r="O185" i="8" s="1"/>
  <c r="N184" i="8"/>
  <c r="O184" i="8" s="1"/>
  <c r="O183" i="8"/>
  <c r="N183" i="8"/>
  <c r="B179" i="8"/>
  <c r="N178" i="8"/>
  <c r="M178" i="8"/>
  <c r="N177" i="8"/>
  <c r="N176" i="8"/>
  <c r="M176" i="8"/>
  <c r="M177" i="8" s="1"/>
  <c r="N175" i="8"/>
  <c r="M173" i="8"/>
  <c r="M174" i="8" s="1"/>
  <c r="M172" i="8"/>
  <c r="N172" i="8"/>
  <c r="N170" i="8"/>
  <c r="M170" i="8"/>
  <c r="M171" i="8" s="1"/>
  <c r="N171" i="8" s="1"/>
  <c r="M166" i="8"/>
  <c r="N166" i="8"/>
  <c r="N165" i="8"/>
  <c r="N164" i="8"/>
  <c r="M160" i="8"/>
  <c r="N160" i="8" s="1"/>
  <c r="N159" i="8"/>
  <c r="M159" i="8"/>
  <c r="B155" i="8"/>
  <c r="M154" i="8"/>
  <c r="N154" i="8"/>
  <c r="O154" i="8" s="1"/>
  <c r="B144" i="8"/>
  <c r="N142" i="8"/>
  <c r="B142" i="8"/>
  <c r="N141" i="8"/>
  <c r="N137" i="8"/>
  <c r="B137" i="8"/>
  <c r="N136" i="8"/>
  <c r="B132" i="8"/>
  <c r="N131" i="8"/>
  <c r="N132" i="8" s="1"/>
  <c r="B127" i="8"/>
  <c r="N126" i="8"/>
  <c r="N127" i="8" s="1"/>
  <c r="N122" i="8"/>
  <c r="B122" i="8"/>
  <c r="N121" i="8"/>
  <c r="B117" i="8"/>
  <c r="N116" i="8"/>
  <c r="N117" i="8" s="1"/>
  <c r="B112" i="8"/>
  <c r="N111" i="8"/>
  <c r="N110" i="8"/>
  <c r="B106" i="8"/>
  <c r="N105" i="8"/>
  <c r="N104" i="8"/>
  <c r="N103" i="8"/>
  <c r="B99" i="8"/>
  <c r="O98" i="8"/>
  <c r="N98" i="8"/>
  <c r="N99" i="8" s="1"/>
  <c r="O99" i="8" s="1"/>
  <c r="B93" i="8"/>
  <c r="B91" i="8"/>
  <c r="N90" i="8"/>
  <c r="N89" i="8"/>
  <c r="N88" i="8"/>
  <c r="B84" i="8"/>
  <c r="N83" i="8"/>
  <c r="O83" i="8" s="1"/>
  <c r="N82" i="8"/>
  <c r="N77" i="8"/>
  <c r="O77" i="8" s="1"/>
  <c r="N76" i="8"/>
  <c r="B72" i="8"/>
  <c r="O71" i="8"/>
  <c r="N71" i="8"/>
  <c r="N70" i="8"/>
  <c r="O70" i="8" s="1"/>
  <c r="N69" i="8"/>
  <c r="O69" i="8" s="1"/>
  <c r="N68" i="8"/>
  <c r="O68" i="8" s="1"/>
  <c r="N67" i="8"/>
  <c r="O67" i="8" s="1"/>
  <c r="N66" i="8"/>
  <c r="O66" i="8" s="1"/>
  <c r="N63" i="8"/>
  <c r="O63" i="8" s="1"/>
  <c r="N62" i="8"/>
  <c r="O62" i="8" s="1"/>
  <c r="N61" i="8"/>
  <c r="O61" i="8" s="1"/>
  <c r="N60" i="8"/>
  <c r="O60" i="8" s="1"/>
  <c r="M59" i="8"/>
  <c r="N59" i="8" s="1"/>
  <c r="O59" i="8" s="1"/>
  <c r="N58" i="8"/>
  <c r="O58" i="8" s="1"/>
  <c r="N57" i="8"/>
  <c r="O57" i="8" s="1"/>
  <c r="N56" i="8"/>
  <c r="O55" i="8"/>
  <c r="N55" i="8"/>
  <c r="B51" i="8"/>
  <c r="O50" i="8"/>
  <c r="N50" i="8"/>
  <c r="O49" i="8"/>
  <c r="N49" i="8"/>
  <c r="N48" i="8"/>
  <c r="O48" i="8" s="1"/>
  <c r="N47" i="8"/>
  <c r="B43" i="8"/>
  <c r="M42" i="8"/>
  <c r="N42" i="8"/>
  <c r="N41" i="8"/>
  <c r="N40" i="8"/>
  <c r="N39" i="8"/>
  <c r="N38" i="8"/>
  <c r="B32" i="8"/>
  <c r="B30" i="8"/>
  <c r="B24" i="8"/>
  <c r="I23" i="8"/>
  <c r="D23" i="8"/>
  <c r="A23" i="8"/>
  <c r="A22" i="8"/>
  <c r="I21" i="8"/>
  <c r="D21" i="8"/>
  <c r="A21" i="8"/>
  <c r="S20" i="8"/>
  <c r="A20" i="8"/>
  <c r="I19" i="8"/>
  <c r="H19" i="8"/>
  <c r="D19" i="8"/>
  <c r="B19" i="8"/>
  <c r="A19" i="8"/>
  <c r="S18" i="8"/>
  <c r="I18" i="8"/>
  <c r="H18" i="8"/>
  <c r="D18" i="8"/>
  <c r="A18" i="8"/>
  <c r="I17" i="8"/>
  <c r="H17" i="8"/>
  <c r="D17" i="8"/>
  <c r="A17" i="8"/>
  <c r="I16" i="8"/>
  <c r="H16" i="8"/>
  <c r="S16" i="8" s="1"/>
  <c r="D16" i="8"/>
  <c r="A16" i="8"/>
  <c r="I15" i="8"/>
  <c r="H15" i="8"/>
  <c r="D15" i="8"/>
  <c r="A15" i="8"/>
  <c r="B2" i="8"/>
  <c r="I56" i="7"/>
  <c r="I55" i="7"/>
  <c r="B54" i="7"/>
  <c r="F50" i="7"/>
  <c r="E50" i="7"/>
  <c r="C50" i="7"/>
  <c r="B50" i="7"/>
  <c r="F49" i="7"/>
  <c r="E49" i="7"/>
  <c r="C49" i="7"/>
  <c r="B49" i="7"/>
  <c r="A49" i="7"/>
  <c r="F48" i="7"/>
  <c r="B48" i="7"/>
  <c r="E48" i="7" s="1"/>
  <c r="A48" i="7"/>
  <c r="B47" i="7"/>
  <c r="F47" i="7" s="1"/>
  <c r="A47" i="7"/>
  <c r="B46" i="7"/>
  <c r="A46" i="7"/>
  <c r="B45" i="7"/>
  <c r="B44" i="7"/>
  <c r="C44" i="7" s="1"/>
  <c r="A44" i="7"/>
  <c r="B43" i="7"/>
  <c r="F42" i="7"/>
  <c r="E42" i="7"/>
  <c r="C42" i="7"/>
  <c r="B42" i="7"/>
  <c r="F41" i="7"/>
  <c r="E41" i="7"/>
  <c r="C41" i="7"/>
  <c r="B41" i="7"/>
  <c r="F40" i="7"/>
  <c r="E40" i="7"/>
  <c r="B40" i="7"/>
  <c r="C40" i="7" s="1"/>
  <c r="A40" i="7"/>
  <c r="G39" i="7"/>
  <c r="E39" i="7"/>
  <c r="B39" i="7"/>
  <c r="F39" i="7" s="1"/>
  <c r="A39" i="7"/>
  <c r="B38" i="7"/>
  <c r="F38" i="7" s="1"/>
  <c r="A38" i="7"/>
  <c r="H37" i="7"/>
  <c r="B37" i="7"/>
  <c r="G37" i="7" s="1"/>
  <c r="B36" i="7"/>
  <c r="B35" i="7"/>
  <c r="E35" i="7" s="1"/>
  <c r="B34" i="7"/>
  <c r="A34" i="7"/>
  <c r="C33" i="7"/>
  <c r="B33" i="7"/>
  <c r="F32" i="7"/>
  <c r="E32" i="7"/>
  <c r="C32" i="7"/>
  <c r="B32" i="7"/>
  <c r="G31" i="7"/>
  <c r="F31" i="7"/>
  <c r="C31" i="7"/>
  <c r="B31" i="7"/>
  <c r="E31" i="7" s="1"/>
  <c r="F30" i="7"/>
  <c r="E30" i="7"/>
  <c r="C30" i="7"/>
  <c r="B30" i="7"/>
  <c r="B29" i="7"/>
  <c r="F29" i="7" s="1"/>
  <c r="F28" i="7"/>
  <c r="E28" i="7"/>
  <c r="C28" i="7"/>
  <c r="B28" i="7"/>
  <c r="B27" i="7"/>
  <c r="A27" i="7" s="1"/>
  <c r="C26" i="7"/>
  <c r="B26" i="7"/>
  <c r="B25" i="7"/>
  <c r="F24" i="7"/>
  <c r="E24" i="7"/>
  <c r="C24" i="7"/>
  <c r="B24" i="7"/>
  <c r="F23" i="7"/>
  <c r="C23" i="7"/>
  <c r="B23" i="7"/>
  <c r="E23" i="7" s="1"/>
  <c r="B22" i="7"/>
  <c r="E22" i="7" s="1"/>
  <c r="I21" i="7"/>
  <c r="B21" i="7"/>
  <c r="E20" i="7"/>
  <c r="C20" i="7"/>
  <c r="B20" i="7"/>
  <c r="F19" i="7"/>
  <c r="E19" i="7"/>
  <c r="C19" i="7"/>
  <c r="B19" i="7"/>
  <c r="B18" i="7"/>
  <c r="B17" i="7"/>
  <c r="A17" i="7" s="1"/>
  <c r="F16" i="7"/>
  <c r="E16" i="7"/>
  <c r="B16" i="7"/>
  <c r="H206" i="6"/>
  <c r="F206" i="6"/>
  <c r="F205" i="6"/>
  <c r="K204" i="6"/>
  <c r="I204" i="6"/>
  <c r="F204" i="6"/>
  <c r="F203" i="6"/>
  <c r="D202" i="6"/>
  <c r="F201" i="6" s="1"/>
  <c r="F200" i="6"/>
  <c r="K195" i="6"/>
  <c r="K194" i="6"/>
  <c r="K193" i="6"/>
  <c r="K192" i="6"/>
  <c r="K191" i="6"/>
  <c r="K190" i="6"/>
  <c r="K189" i="6"/>
  <c r="K196" i="6" s="1"/>
  <c r="H164" i="6"/>
  <c r="F164" i="6"/>
  <c r="F163" i="6"/>
  <c r="K162" i="6"/>
  <c r="I162" i="6"/>
  <c r="F162" i="6"/>
  <c r="F161" i="6"/>
  <c r="D160" i="6"/>
  <c r="F159" i="6"/>
  <c r="F158" i="6"/>
  <c r="K153" i="6"/>
  <c r="K152" i="6"/>
  <c r="K151" i="6"/>
  <c r="K154" i="6" s="1"/>
  <c r="K150" i="6"/>
  <c r="K149" i="6"/>
  <c r="K148" i="6"/>
  <c r="K147" i="6"/>
  <c r="H122" i="6"/>
  <c r="F122" i="6"/>
  <c r="F121" i="6"/>
  <c r="I120" i="6"/>
  <c r="F120" i="6"/>
  <c r="K120" i="6" s="1"/>
  <c r="F119" i="6"/>
  <c r="D118" i="6"/>
  <c r="F117" i="6"/>
  <c r="F116" i="6"/>
  <c r="K111" i="6"/>
  <c r="K110" i="6"/>
  <c r="K109" i="6"/>
  <c r="K108" i="6"/>
  <c r="K107" i="6"/>
  <c r="K106" i="6"/>
  <c r="K105" i="6"/>
  <c r="K112" i="6" s="1"/>
  <c r="H81" i="6"/>
  <c r="F81" i="6"/>
  <c r="F80" i="6"/>
  <c r="I79" i="6"/>
  <c r="F79" i="6"/>
  <c r="K79" i="6" s="1"/>
  <c r="F78" i="6"/>
  <c r="F76" i="6"/>
  <c r="F75" i="6"/>
  <c r="K71" i="6"/>
  <c r="K70" i="6"/>
  <c r="K69" i="6"/>
  <c r="K68" i="6"/>
  <c r="K67" i="6"/>
  <c r="K66" i="6"/>
  <c r="K65" i="6"/>
  <c r="K64" i="6"/>
  <c r="N54" i="6"/>
  <c r="I49" i="6"/>
  <c r="I48" i="6"/>
  <c r="N45" i="6"/>
  <c r="I44" i="6"/>
  <c r="H44" i="6"/>
  <c r="C44" i="6"/>
  <c r="B44" i="6"/>
  <c r="A44" i="6"/>
  <c r="I43" i="6"/>
  <c r="F43" i="6"/>
  <c r="E43" i="6"/>
  <c r="C43" i="6"/>
  <c r="B43" i="6"/>
  <c r="A43" i="6"/>
  <c r="G42" i="6"/>
  <c r="F42" i="6"/>
  <c r="E42" i="6"/>
  <c r="C42" i="6"/>
  <c r="B42" i="6"/>
  <c r="H42" i="6" s="1"/>
  <c r="G41" i="6"/>
  <c r="F41" i="6"/>
  <c r="E41" i="6"/>
  <c r="C41" i="6"/>
  <c r="B41" i="6"/>
  <c r="A41" i="6"/>
  <c r="I40" i="6"/>
  <c r="H40" i="6"/>
  <c r="C40" i="6"/>
  <c r="B40" i="6"/>
  <c r="A40" i="6"/>
  <c r="B39" i="6"/>
  <c r="G38" i="6"/>
  <c r="E38" i="6"/>
  <c r="B38" i="6"/>
  <c r="A38" i="6" s="1"/>
  <c r="H37" i="6"/>
  <c r="G37" i="6"/>
  <c r="F37" i="6"/>
  <c r="E37" i="6"/>
  <c r="C37" i="6"/>
  <c r="B37" i="6"/>
  <c r="I36" i="6"/>
  <c r="H36" i="6"/>
  <c r="F36" i="6"/>
  <c r="B36" i="6"/>
  <c r="J36" i="6" s="1"/>
  <c r="A36" i="6"/>
  <c r="I35" i="6"/>
  <c r="H35" i="6"/>
  <c r="E35" i="6"/>
  <c r="C35" i="6"/>
  <c r="B35" i="6"/>
  <c r="J35" i="6" s="1"/>
  <c r="A35" i="6"/>
  <c r="G34" i="6"/>
  <c r="F34" i="6"/>
  <c r="E34" i="6"/>
  <c r="C34" i="6"/>
  <c r="B34" i="6"/>
  <c r="A34" i="6"/>
  <c r="G33" i="6"/>
  <c r="F33" i="6"/>
  <c r="E33" i="6"/>
  <c r="C33" i="6"/>
  <c r="B33" i="6"/>
  <c r="H32" i="6"/>
  <c r="G32" i="6"/>
  <c r="B32" i="6"/>
  <c r="A32" i="6" s="1"/>
  <c r="H31" i="6"/>
  <c r="E31" i="6"/>
  <c r="B31" i="6"/>
  <c r="A31" i="6" s="1"/>
  <c r="B30" i="6"/>
  <c r="F29" i="6"/>
  <c r="E29" i="6"/>
  <c r="C29" i="6"/>
  <c r="B29" i="6"/>
  <c r="F28" i="6"/>
  <c r="E28" i="6"/>
  <c r="C28" i="6"/>
  <c r="B28" i="6"/>
  <c r="I27" i="6"/>
  <c r="H27" i="6"/>
  <c r="F27" i="6"/>
  <c r="B27" i="6"/>
  <c r="E27" i="6" s="1"/>
  <c r="I26" i="6"/>
  <c r="F26" i="6"/>
  <c r="E26" i="6"/>
  <c r="C26" i="6"/>
  <c r="B26" i="6"/>
  <c r="A26" i="6" s="1"/>
  <c r="F25" i="6"/>
  <c r="E25" i="6"/>
  <c r="C25" i="6"/>
  <c r="B25" i="6"/>
  <c r="A25" i="6"/>
  <c r="F24" i="6"/>
  <c r="E24" i="6"/>
  <c r="C24" i="6"/>
  <c r="B24" i="6"/>
  <c r="A24" i="6"/>
  <c r="B23" i="6"/>
  <c r="E22" i="6"/>
  <c r="C22" i="6"/>
  <c r="B22" i="6"/>
  <c r="F21" i="6"/>
  <c r="E21" i="6"/>
  <c r="B21" i="6"/>
  <c r="E20" i="6"/>
  <c r="B20" i="6"/>
  <c r="C20" i="6" s="1"/>
  <c r="J19" i="6"/>
  <c r="B19" i="6"/>
  <c r="A19" i="6"/>
  <c r="F18" i="6"/>
  <c r="E18" i="6"/>
  <c r="B18" i="6"/>
  <c r="P12" i="6"/>
  <c r="V50" i="5"/>
  <c r="U50" i="5"/>
  <c r="Y49" i="5"/>
  <c r="V49" i="5"/>
  <c r="U49" i="5"/>
  <c r="Y48" i="5"/>
  <c r="W48" i="5"/>
  <c r="W50" i="5" s="1"/>
  <c r="V48" i="5"/>
  <c r="U48" i="5"/>
  <c r="Y47" i="5"/>
  <c r="W47" i="5"/>
  <c r="W49" i="5" s="1"/>
  <c r="V47" i="5"/>
  <c r="U47" i="5"/>
  <c r="W45" i="5"/>
  <c r="V45" i="5"/>
  <c r="U45" i="5"/>
  <c r="V44" i="5"/>
  <c r="U44" i="5"/>
  <c r="B14" i="9"/>
  <c r="V42" i="5"/>
  <c r="U42" i="5"/>
  <c r="V41" i="5"/>
  <c r="U41" i="5"/>
  <c r="V40" i="5"/>
  <c r="U40" i="5"/>
  <c r="A32" i="7"/>
  <c r="V39" i="5"/>
  <c r="Y39" i="5" s="1"/>
  <c r="U39" i="5"/>
  <c r="V38" i="5"/>
  <c r="U38" i="5"/>
  <c r="W37" i="5"/>
  <c r="W39" i="5" s="1"/>
  <c r="W41" i="5" s="1"/>
  <c r="V37" i="5"/>
  <c r="Y37" i="5" s="1"/>
  <c r="U37" i="5"/>
  <c r="W36" i="5"/>
  <c r="W38" i="5" s="1"/>
  <c r="W40" i="5" s="1"/>
  <c r="W42" i="5" s="1"/>
  <c r="W44" i="5" s="1"/>
  <c r="V36" i="5"/>
  <c r="Y36" i="5" s="1"/>
  <c r="U36" i="5"/>
  <c r="B15" i="8"/>
  <c r="V34" i="5"/>
  <c r="U34" i="5"/>
  <c r="V33" i="5"/>
  <c r="U33" i="5"/>
  <c r="V32" i="5"/>
  <c r="U32" i="5"/>
  <c r="Y31" i="5"/>
  <c r="W31" i="5"/>
  <c r="W33" i="5" s="1"/>
  <c r="V31" i="5"/>
  <c r="U31" i="5"/>
  <c r="Y30" i="5"/>
  <c r="V30" i="5"/>
  <c r="U30" i="5"/>
  <c r="Y28" i="5"/>
  <c r="V28" i="5"/>
  <c r="U28" i="5"/>
  <c r="Y27" i="5"/>
  <c r="V27" i="5"/>
  <c r="U27" i="5"/>
  <c r="Y26" i="5"/>
  <c r="X26" i="5"/>
  <c r="V26" i="5"/>
  <c r="U26" i="5"/>
  <c r="X25" i="5"/>
  <c r="V25" i="5"/>
  <c r="U25" i="5"/>
  <c r="V24" i="5"/>
  <c r="U24" i="5"/>
  <c r="V23" i="5"/>
  <c r="U23" i="5"/>
  <c r="W22" i="5"/>
  <c r="W24" i="5" s="1"/>
  <c r="W26" i="5" s="1"/>
  <c r="W28" i="5" s="1"/>
  <c r="W30" i="5" s="1"/>
  <c r="W32" i="5" s="1"/>
  <c r="W34" i="5" s="1"/>
  <c r="V22" i="5"/>
  <c r="U22" i="5"/>
  <c r="V21" i="5"/>
  <c r="U21" i="5"/>
  <c r="Y19" i="5"/>
  <c r="V19" i="5"/>
  <c r="U19" i="5"/>
  <c r="Y18" i="5"/>
  <c r="V18" i="5"/>
  <c r="U18" i="5"/>
  <c r="V17" i="5"/>
  <c r="U17" i="5"/>
  <c r="V16" i="5"/>
  <c r="U16" i="5"/>
  <c r="A24" i="7"/>
  <c r="V15" i="5"/>
  <c r="Y15" i="5" s="1"/>
  <c r="U15" i="5"/>
  <c r="X15" i="5" s="1"/>
  <c r="G25" i="6"/>
  <c r="V14" i="5"/>
  <c r="U14" i="5"/>
  <c r="W13" i="5"/>
  <c r="W15" i="5" s="1"/>
  <c r="W17" i="5" s="1"/>
  <c r="W19" i="5" s="1"/>
  <c r="W21" i="5" s="1"/>
  <c r="W23" i="5" s="1"/>
  <c r="W25" i="5" s="1"/>
  <c r="W27" i="5" s="1"/>
  <c r="V13" i="5"/>
  <c r="Y13" i="5" s="1"/>
  <c r="U13" i="5"/>
  <c r="X12" i="5"/>
  <c r="V12" i="5"/>
  <c r="U12" i="5"/>
  <c r="A22" i="6"/>
  <c r="W11" i="5"/>
  <c r="V11" i="5"/>
  <c r="U11" i="5"/>
  <c r="V10" i="5"/>
  <c r="U10" i="5"/>
  <c r="W9" i="5"/>
  <c r="V9" i="5"/>
  <c r="Y9" i="5" s="1"/>
  <c r="U9" i="5"/>
  <c r="V8" i="5"/>
  <c r="U8" i="5"/>
  <c r="X8" i="5" s="1"/>
  <c r="T6" i="5"/>
  <c r="W6" i="5" s="1"/>
  <c r="S6" i="5"/>
  <c r="R6" i="5"/>
  <c r="Q6" i="5"/>
  <c r="P6" i="5"/>
  <c r="O6" i="5"/>
  <c r="N6" i="5"/>
  <c r="M6" i="5"/>
  <c r="L6" i="5"/>
  <c r="K6" i="5"/>
  <c r="J6" i="5"/>
  <c r="V6" i="5" s="1"/>
  <c r="I6" i="5"/>
  <c r="U6" i="5" s="1"/>
  <c r="H4" i="5"/>
  <c r="H46" i="7" s="1"/>
  <c r="G4" i="5"/>
  <c r="G38" i="7" s="1"/>
  <c r="K301" i="4"/>
  <c r="G301" i="4"/>
  <c r="C17" i="4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C48" i="4" s="1"/>
  <c r="C49" i="4" s="1"/>
  <c r="C50" i="4" s="1"/>
  <c r="C51" i="4" s="1"/>
  <c r="C52" i="4" s="1"/>
  <c r="C53" i="4" s="1"/>
  <c r="C54" i="4" s="1"/>
  <c r="C55" i="4" s="1"/>
  <c r="C56" i="4" s="1"/>
  <c r="C57" i="4" s="1"/>
  <c r="C58" i="4" s="1"/>
  <c r="C61" i="4" s="1"/>
  <c r="C62" i="4" s="1"/>
  <c r="C63" i="4" s="1"/>
  <c r="C64" i="4" s="1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  <c r="C81" i="4" s="1"/>
  <c r="C82" i="4" s="1"/>
  <c r="C83" i="4" s="1"/>
  <c r="C86" i="4" s="1"/>
  <c r="C87" i="4" s="1"/>
  <c r="C88" i="4" s="1"/>
  <c r="C89" i="4" s="1"/>
  <c r="C90" i="4" s="1"/>
  <c r="C91" i="4" s="1"/>
  <c r="C92" i="4" s="1"/>
  <c r="C93" i="4" s="1"/>
  <c r="C94" i="4" s="1"/>
  <c r="C95" i="4" s="1"/>
  <c r="C96" i="4" s="1"/>
  <c r="C97" i="4" s="1"/>
  <c r="C98" i="4" s="1"/>
  <c r="C99" i="4" s="1"/>
  <c r="C100" i="4" s="1"/>
  <c r="C101" i="4" s="1"/>
  <c r="C102" i="4" s="1"/>
  <c r="C103" i="4" s="1"/>
  <c r="C104" i="4" s="1"/>
  <c r="C105" i="4" s="1"/>
  <c r="C108" i="4" s="1"/>
  <c r="C109" i="4" s="1"/>
  <c r="C110" i="4" s="1"/>
  <c r="C111" i="4" s="1"/>
  <c r="C112" i="4" s="1"/>
  <c r="C113" i="4" s="1"/>
  <c r="C114" i="4" s="1"/>
  <c r="C115" i="4" s="1"/>
  <c r="C116" i="4" s="1"/>
  <c r="C117" i="4" s="1"/>
  <c r="C118" i="4" s="1"/>
  <c r="C119" i="4" s="1"/>
  <c r="C120" i="4" s="1"/>
  <c r="C121" i="4" s="1"/>
  <c r="C122" i="4" s="1"/>
  <c r="C123" i="4" s="1"/>
  <c r="C124" i="4" s="1"/>
  <c r="C125" i="4" s="1"/>
  <c r="C126" i="4" s="1"/>
  <c r="C127" i="4" s="1"/>
  <c r="C128" i="4" s="1"/>
  <c r="C129" i="4" s="1"/>
  <c r="C130" i="4" s="1"/>
  <c r="C131" i="4" s="1"/>
  <c r="C132" i="4" s="1"/>
  <c r="C133" i="4" s="1"/>
  <c r="C134" i="4" s="1"/>
  <c r="C135" i="4" s="1"/>
  <c r="C136" i="4" s="1"/>
  <c r="C137" i="4" s="1"/>
  <c r="C138" i="4" s="1"/>
  <c r="C139" i="4" s="1"/>
  <c r="C142" i="4" s="1"/>
  <c r="C143" i="4" s="1"/>
  <c r="C144" i="4" s="1"/>
  <c r="C145" i="4" s="1"/>
  <c r="C146" i="4" s="1"/>
  <c r="C147" i="4" s="1"/>
  <c r="C148" i="4" s="1"/>
  <c r="C149" i="4" s="1"/>
  <c r="C150" i="4" s="1"/>
  <c r="C151" i="4" s="1"/>
  <c r="C152" i="4" s="1"/>
  <c r="C153" i="4" s="1"/>
  <c r="C154" i="4" s="1"/>
  <c r="C155" i="4" s="1"/>
  <c r="C156" i="4" s="1"/>
  <c r="C157" i="4" s="1"/>
  <c r="C158" i="4" s="1"/>
  <c r="C159" i="4" s="1"/>
  <c r="C160" i="4" s="1"/>
  <c r="C161" i="4" s="1"/>
  <c r="C162" i="4" s="1"/>
  <c r="C163" i="4" s="1"/>
  <c r="C164" i="4" s="1"/>
  <c r="C165" i="4" s="1"/>
  <c r="C166" i="4" s="1"/>
  <c r="C167" i="4" s="1"/>
  <c r="C168" i="4" s="1"/>
  <c r="C171" i="4" s="1"/>
  <c r="C172" i="4" s="1"/>
  <c r="C173" i="4" s="1"/>
  <c r="C174" i="4" s="1"/>
  <c r="C175" i="4" s="1"/>
  <c r="C176" i="4" s="1"/>
  <c r="C177" i="4" s="1"/>
  <c r="C178" i="4" s="1"/>
  <c r="C179" i="4" s="1"/>
  <c r="C180" i="4" s="1"/>
  <c r="C181" i="4" s="1"/>
  <c r="C182" i="4" s="1"/>
  <c r="C183" i="4" s="1"/>
  <c r="C184" i="4" s="1"/>
  <c r="C185" i="4" s="1"/>
  <c r="C186" i="4" s="1"/>
  <c r="C187" i="4" s="1"/>
  <c r="C188" i="4" s="1"/>
  <c r="C189" i="4" s="1"/>
  <c r="C190" i="4" s="1"/>
  <c r="C191" i="4" s="1"/>
  <c r="C192" i="4" s="1"/>
  <c r="C193" i="4" s="1"/>
  <c r="C194" i="4" s="1"/>
  <c r="C195" i="4" s="1"/>
  <c r="C196" i="4" s="1"/>
  <c r="C197" i="4" s="1"/>
  <c r="C198" i="4" s="1"/>
  <c r="C199" i="4" s="1"/>
  <c r="C200" i="4" s="1"/>
  <c r="C201" i="4" s="1"/>
  <c r="C202" i="4" s="1"/>
  <c r="C203" i="4" s="1"/>
  <c r="C204" i="4" s="1"/>
  <c r="C205" i="4" s="1"/>
  <c r="C206" i="4" s="1"/>
  <c r="C207" i="4" s="1"/>
  <c r="C208" i="4" s="1"/>
  <c r="C209" i="4" s="1"/>
  <c r="C210" i="4" s="1"/>
  <c r="C211" i="4" s="1"/>
  <c r="C212" i="4" s="1"/>
  <c r="C213" i="4" s="1"/>
  <c r="C214" i="4" s="1"/>
  <c r="C215" i="4" s="1"/>
  <c r="C216" i="4" s="1"/>
  <c r="C219" i="4" s="1"/>
  <c r="C220" i="4" s="1"/>
  <c r="C221" i="4" s="1"/>
  <c r="C222" i="4" s="1"/>
  <c r="C223" i="4" s="1"/>
  <c r="C224" i="4" s="1"/>
  <c r="C225" i="4" s="1"/>
  <c r="C226" i="4" s="1"/>
  <c r="C227" i="4" s="1"/>
  <c r="C228" i="4" s="1"/>
  <c r="C229" i="4" s="1"/>
  <c r="C230" i="4" s="1"/>
  <c r="C231" i="4" s="1"/>
  <c r="C232" i="4" s="1"/>
  <c r="C233" i="4" s="1"/>
  <c r="C234" i="4" s="1"/>
  <c r="C235" i="4" s="1"/>
  <c r="C236" i="4" s="1"/>
  <c r="C237" i="4" s="1"/>
  <c r="C238" i="4" s="1"/>
  <c r="C239" i="4" s="1"/>
  <c r="C240" i="4" s="1"/>
  <c r="C241" i="4" s="1"/>
  <c r="C242" i="4" s="1"/>
  <c r="C243" i="4" s="1"/>
  <c r="C244" i="4" s="1"/>
  <c r="C245" i="4" s="1"/>
  <c r="C246" i="4" s="1"/>
  <c r="C247" i="4" s="1"/>
  <c r="C248" i="4" s="1"/>
  <c r="C249" i="4" s="1"/>
  <c r="C250" i="4" s="1"/>
  <c r="C251" i="4" s="1"/>
  <c r="C252" i="4" s="1"/>
  <c r="C253" i="4" s="1"/>
  <c r="C254" i="4" s="1"/>
  <c r="C255" i="4" s="1"/>
  <c r="C256" i="4" s="1"/>
  <c r="C257" i="4" s="1"/>
  <c r="C258" i="4" s="1"/>
  <c r="C259" i="4" s="1"/>
  <c r="C260" i="4" s="1"/>
  <c r="C261" i="4" s="1"/>
  <c r="C262" i="4" s="1"/>
  <c r="C265" i="4" s="1"/>
  <c r="C266" i="4" s="1"/>
  <c r="C267" i="4" s="1"/>
  <c r="C268" i="4" s="1"/>
  <c r="C269" i="4" s="1"/>
  <c r="C270" i="4" s="1"/>
  <c r="C273" i="4" s="1"/>
  <c r="C274" i="4" s="1"/>
  <c r="C275" i="4" s="1"/>
  <c r="C276" i="4" s="1"/>
  <c r="C277" i="4" s="1"/>
  <c r="C278" i="4" s="1"/>
  <c r="C279" i="4" s="1"/>
  <c r="C280" i="4" s="1"/>
  <c r="C281" i="4" s="1"/>
  <c r="C282" i="4" s="1"/>
  <c r="C283" i="4" s="1"/>
  <c r="C284" i="4" s="1"/>
  <c r="C285" i="4" s="1"/>
  <c r="C286" i="4" s="1"/>
  <c r="C287" i="4" s="1"/>
  <c r="C290" i="4" s="1"/>
  <c r="C291" i="4" s="1"/>
  <c r="C16" i="4"/>
  <c r="J68" i="3"/>
  <c r="K309" i="4" s="1"/>
  <c r="J67" i="3"/>
  <c r="K308" i="4" s="1"/>
  <c r="P51" i="3"/>
  <c r="P35" i="3"/>
  <c r="P34" i="3"/>
  <c r="P33" i="3"/>
  <c r="P32" i="3"/>
  <c r="P62" i="3" s="1"/>
  <c r="H9" i="2"/>
  <c r="K2" i="2"/>
  <c r="K62" i="3" l="1"/>
  <c r="J181" i="6"/>
  <c r="J139" i="6"/>
  <c r="J6" i="6"/>
  <c r="J97" i="6"/>
  <c r="I25" i="7"/>
  <c r="J25" i="7"/>
  <c r="H25" i="7"/>
  <c r="G25" i="7"/>
  <c r="F25" i="7"/>
  <c r="A25" i="7"/>
  <c r="E25" i="7"/>
  <c r="C25" i="7"/>
  <c r="X39" i="5"/>
  <c r="E5" i="8"/>
  <c r="E99" i="6"/>
  <c r="E6" i="10"/>
  <c r="E141" i="6"/>
  <c r="X45" i="5"/>
  <c r="X44" i="5"/>
  <c r="X17" i="5"/>
  <c r="X9" i="5"/>
  <c r="E6" i="9"/>
  <c r="M23" i="9" s="1"/>
  <c r="E183" i="6"/>
  <c r="E7" i="6"/>
  <c r="X13" i="5"/>
  <c r="X48" i="5"/>
  <c r="X28" i="5"/>
  <c r="X49" i="5"/>
  <c r="X31" i="5"/>
  <c r="X30" i="5"/>
  <c r="X19" i="5"/>
  <c r="X50" i="5"/>
  <c r="X32" i="5"/>
  <c r="X22" i="5"/>
  <c r="X21" i="5"/>
  <c r="X33" i="5"/>
  <c r="X23" i="5"/>
  <c r="X34" i="5"/>
  <c r="X24" i="5"/>
  <c r="X11" i="5"/>
  <c r="E6" i="7"/>
  <c r="X27" i="5"/>
  <c r="H20" i="6"/>
  <c r="X36" i="5"/>
  <c r="X18" i="5"/>
  <c r="X42" i="5"/>
  <c r="J25" i="6"/>
  <c r="E5" i="9"/>
  <c r="E7" i="7"/>
  <c r="E5" i="10"/>
  <c r="E6" i="8"/>
  <c r="Y42" i="5"/>
  <c r="Y41" i="5"/>
  <c r="Y40" i="5"/>
  <c r="Y16" i="5"/>
  <c r="Y8" i="5"/>
  <c r="E140" i="6"/>
  <c r="E182" i="6"/>
  <c r="Y12" i="5"/>
  <c r="E8" i="6"/>
  <c r="H51" i="6" s="1"/>
  <c r="X14" i="5"/>
  <c r="H27" i="7"/>
  <c r="G29" i="6"/>
  <c r="Y25" i="5"/>
  <c r="X38" i="5"/>
  <c r="X41" i="5"/>
  <c r="Y45" i="5"/>
  <c r="B15" i="10"/>
  <c r="A35" i="7"/>
  <c r="S14" i="8"/>
  <c r="S23" i="8" s="1"/>
  <c r="E23" i="6"/>
  <c r="J23" i="6"/>
  <c r="I23" i="6"/>
  <c r="H23" i="6"/>
  <c r="G23" i="6"/>
  <c r="F23" i="6"/>
  <c r="A23" i="6"/>
  <c r="J34" i="6"/>
  <c r="X10" i="5"/>
  <c r="Y11" i="5"/>
  <c r="Y14" i="5"/>
  <c r="Y24" i="5"/>
  <c r="Y34" i="5"/>
  <c r="Y38" i="5"/>
  <c r="C23" i="6"/>
  <c r="J38" i="6"/>
  <c r="E7" i="10"/>
  <c r="E8" i="7"/>
  <c r="E100" i="6"/>
  <c r="E7" i="8"/>
  <c r="E7" i="9"/>
  <c r="E184" i="6"/>
  <c r="E9" i="6"/>
  <c r="W8" i="5"/>
  <c r="W10" i="5" s="1"/>
  <c r="W12" i="5" s="1"/>
  <c r="W14" i="5" s="1"/>
  <c r="E142" i="6"/>
  <c r="Y17" i="5"/>
  <c r="Y23" i="5"/>
  <c r="Y33" i="5"/>
  <c r="B14" i="10"/>
  <c r="A21" i="6"/>
  <c r="J44" i="6"/>
  <c r="E98" i="6"/>
  <c r="G17" i="7"/>
  <c r="F17" i="7"/>
  <c r="H17" i="7"/>
  <c r="J17" i="7"/>
  <c r="I17" i="7"/>
  <c r="E17" i="7"/>
  <c r="K17" i="7" s="1"/>
  <c r="C17" i="7"/>
  <c r="E27" i="7"/>
  <c r="G27" i="7"/>
  <c r="F27" i="7"/>
  <c r="C27" i="7"/>
  <c r="I27" i="7"/>
  <c r="J27" i="7"/>
  <c r="N23" i="9"/>
  <c r="Y10" i="5"/>
  <c r="X16" i="5"/>
  <c r="A26" i="7"/>
  <c r="A28" i="6"/>
  <c r="G28" i="6"/>
  <c r="Y21" i="5"/>
  <c r="Y22" i="5"/>
  <c r="Y32" i="5"/>
  <c r="X37" i="5"/>
  <c r="X40" i="5"/>
  <c r="Y44" i="5"/>
  <c r="Y50" i="5"/>
  <c r="H19" i="6"/>
  <c r="G19" i="6"/>
  <c r="F19" i="6"/>
  <c r="E19" i="6"/>
  <c r="K19" i="6" s="1"/>
  <c r="C19" i="6"/>
  <c r="I19" i="6"/>
  <c r="E18" i="7"/>
  <c r="C18" i="7"/>
  <c r="F18" i="7"/>
  <c r="J18" i="7"/>
  <c r="I18" i="7"/>
  <c r="H18" i="7"/>
  <c r="A18" i="7"/>
  <c r="H19" i="7"/>
  <c r="X47" i="5"/>
  <c r="J40" i="6"/>
  <c r="J43" i="6"/>
  <c r="G21" i="7"/>
  <c r="F21" i="7"/>
  <c r="E21" i="7"/>
  <c r="C21" i="7"/>
  <c r="H21" i="7"/>
  <c r="J21" i="7"/>
  <c r="A21" i="7"/>
  <c r="C18" i="6"/>
  <c r="F20" i="6"/>
  <c r="C21" i="6"/>
  <c r="G22" i="6"/>
  <c r="I24" i="6"/>
  <c r="H25" i="6"/>
  <c r="H26" i="6"/>
  <c r="G27" i="6"/>
  <c r="K27" i="6" s="1"/>
  <c r="C31" i="6"/>
  <c r="F32" i="6"/>
  <c r="G36" i="6"/>
  <c r="F38" i="6"/>
  <c r="G40" i="6"/>
  <c r="G44" i="6"/>
  <c r="I22" i="7"/>
  <c r="J29" i="7"/>
  <c r="I33" i="7"/>
  <c r="J33" i="7"/>
  <c r="H33" i="7"/>
  <c r="G33" i="7"/>
  <c r="F33" i="7"/>
  <c r="E33" i="7"/>
  <c r="A33" i="7"/>
  <c r="H47" i="7"/>
  <c r="O56" i="8"/>
  <c r="N84" i="8"/>
  <c r="O84" i="8" s="1"/>
  <c r="O82" i="8"/>
  <c r="G18" i="6"/>
  <c r="I20" i="6"/>
  <c r="G21" i="6"/>
  <c r="K21" i="6" s="1"/>
  <c r="F22" i="6"/>
  <c r="I25" i="6"/>
  <c r="J27" i="6"/>
  <c r="H28" i="6"/>
  <c r="I31" i="6"/>
  <c r="I32" i="6"/>
  <c r="H33" i="6"/>
  <c r="K33" i="6" s="1"/>
  <c r="I37" i="6"/>
  <c r="K37" i="6" s="1"/>
  <c r="H41" i="6"/>
  <c r="K41" i="6" s="1"/>
  <c r="I16" i="7"/>
  <c r="H16" i="7"/>
  <c r="J16" i="7"/>
  <c r="A16" i="7"/>
  <c r="G19" i="7"/>
  <c r="K19" i="7" s="1"/>
  <c r="I28" i="7"/>
  <c r="H31" i="7"/>
  <c r="K31" i="7" s="1"/>
  <c r="G34" i="7"/>
  <c r="I34" i="7"/>
  <c r="H34" i="7"/>
  <c r="F34" i="7"/>
  <c r="E34" i="7"/>
  <c r="C34" i="7"/>
  <c r="J34" i="7"/>
  <c r="B16" i="8"/>
  <c r="A29" i="7"/>
  <c r="H18" i="6"/>
  <c r="A20" i="6"/>
  <c r="J20" i="6"/>
  <c r="H21" i="6"/>
  <c r="G26" i="6"/>
  <c r="A27" i="6"/>
  <c r="I28" i="6"/>
  <c r="J31" i="6"/>
  <c r="J32" i="6"/>
  <c r="I33" i="6"/>
  <c r="I41" i="6"/>
  <c r="C16" i="7"/>
  <c r="I20" i="7"/>
  <c r="G20" i="7"/>
  <c r="F20" i="7"/>
  <c r="J20" i="7"/>
  <c r="A20" i="7"/>
  <c r="G23" i="7"/>
  <c r="K23" i="7" s="1"/>
  <c r="J28" i="7"/>
  <c r="G46" i="7"/>
  <c r="G48" i="7"/>
  <c r="K50" i="7"/>
  <c r="B17" i="8"/>
  <c r="A30" i="7"/>
  <c r="I18" i="6"/>
  <c r="J21" i="6"/>
  <c r="I22" i="6"/>
  <c r="J37" i="6"/>
  <c r="I38" i="6"/>
  <c r="K38" i="6" s="1"/>
  <c r="H38" i="6"/>
  <c r="J41" i="6"/>
  <c r="H23" i="7"/>
  <c r="A28" i="7"/>
  <c r="H30" i="7"/>
  <c r="M19" i="10"/>
  <c r="M15" i="10"/>
  <c r="J17" i="8"/>
  <c r="L19" i="10"/>
  <c r="L15" i="10"/>
  <c r="M16" i="9"/>
  <c r="M23" i="8"/>
  <c r="J19" i="8"/>
  <c r="N19" i="8" s="1"/>
  <c r="O19" i="8" s="1"/>
  <c r="M16" i="8"/>
  <c r="L16" i="9"/>
  <c r="J19" i="10"/>
  <c r="N19" i="10" s="1"/>
  <c r="O19" i="10" s="1"/>
  <c r="J15" i="10"/>
  <c r="M14" i="10"/>
  <c r="M21" i="8"/>
  <c r="M17" i="10"/>
  <c r="L14" i="10"/>
  <c r="J16" i="9"/>
  <c r="N16" i="9" s="1"/>
  <c r="O16" i="9" s="1"/>
  <c r="M14" i="9"/>
  <c r="J23" i="8"/>
  <c r="L21" i="8"/>
  <c r="J16" i="8"/>
  <c r="M15" i="8"/>
  <c r="L17" i="10"/>
  <c r="L14" i="9"/>
  <c r="J14" i="9"/>
  <c r="N14" i="9" s="1"/>
  <c r="J32" i="7"/>
  <c r="J17" i="10"/>
  <c r="M19" i="8"/>
  <c r="M18" i="8"/>
  <c r="M17" i="8"/>
  <c r="J49" i="7"/>
  <c r="I32" i="7"/>
  <c r="I24" i="7"/>
  <c r="J21" i="8"/>
  <c r="L19" i="8"/>
  <c r="L18" i="8"/>
  <c r="L17" i="8"/>
  <c r="L16" i="8"/>
  <c r="L15" i="8"/>
  <c r="I49" i="7"/>
  <c r="I42" i="7"/>
  <c r="I41" i="7"/>
  <c r="J40" i="7"/>
  <c r="J31" i="7"/>
  <c r="J23" i="7"/>
  <c r="I19" i="7"/>
  <c r="L23" i="8"/>
  <c r="J18" i="8"/>
  <c r="G50" i="7"/>
  <c r="J48" i="7"/>
  <c r="G42" i="7"/>
  <c r="K42" i="7" s="1"/>
  <c r="I40" i="7"/>
  <c r="J39" i="7"/>
  <c r="G32" i="7"/>
  <c r="I31" i="7"/>
  <c r="J30" i="7"/>
  <c r="G24" i="7"/>
  <c r="I23" i="7"/>
  <c r="J15" i="8"/>
  <c r="N15" i="8" s="1"/>
  <c r="G49" i="7"/>
  <c r="K49" i="7" s="1"/>
  <c r="I48" i="7"/>
  <c r="J47" i="7"/>
  <c r="G41" i="7"/>
  <c r="K41" i="7" s="1"/>
  <c r="I39" i="7"/>
  <c r="J38" i="7"/>
  <c r="I47" i="7"/>
  <c r="J46" i="7"/>
  <c r="G40" i="7"/>
  <c r="K40" i="7" s="1"/>
  <c r="I38" i="7"/>
  <c r="I37" i="7"/>
  <c r="J14" i="10"/>
  <c r="G28" i="7"/>
  <c r="K28" i="7" s="1"/>
  <c r="H20" i="7"/>
  <c r="H28" i="7"/>
  <c r="B18" i="8"/>
  <c r="A31" i="7"/>
  <c r="A18" i="6"/>
  <c r="J22" i="6"/>
  <c r="G24" i="6"/>
  <c r="C27" i="6"/>
  <c r="J29" i="6"/>
  <c r="A29" i="6"/>
  <c r="I29" i="6"/>
  <c r="J33" i="6"/>
  <c r="I34" i="6"/>
  <c r="H34" i="6"/>
  <c r="K34" i="6" s="1"/>
  <c r="G35" i="6"/>
  <c r="K35" i="6" s="1"/>
  <c r="F35" i="6"/>
  <c r="E36" i="6"/>
  <c r="K36" i="6" s="1"/>
  <c r="C36" i="6"/>
  <c r="C38" i="6"/>
  <c r="F40" i="6"/>
  <c r="E40" i="6"/>
  <c r="J42" i="6"/>
  <c r="A42" i="6"/>
  <c r="I42" i="6"/>
  <c r="K42" i="6" s="1"/>
  <c r="H43" i="6"/>
  <c r="G43" i="6"/>
  <c r="K43" i="6" s="1"/>
  <c r="F44" i="6"/>
  <c r="E44" i="6"/>
  <c r="K44" i="6" s="1"/>
  <c r="G22" i="7"/>
  <c r="K22" i="7" s="1"/>
  <c r="I26" i="7"/>
  <c r="H26" i="7"/>
  <c r="F26" i="7"/>
  <c r="E26" i="7"/>
  <c r="G29" i="7"/>
  <c r="I30" i="7"/>
  <c r="F43" i="7"/>
  <c r="J43" i="7"/>
  <c r="I43" i="7"/>
  <c r="H43" i="7"/>
  <c r="G43" i="7"/>
  <c r="E43" i="7"/>
  <c r="C43" i="7"/>
  <c r="A43" i="7"/>
  <c r="K19" i="8"/>
  <c r="K19" i="10"/>
  <c r="K15" i="10"/>
  <c r="K16" i="9"/>
  <c r="K23" i="8"/>
  <c r="K18" i="8"/>
  <c r="K14" i="10"/>
  <c r="K17" i="10"/>
  <c r="K21" i="8"/>
  <c r="H50" i="7"/>
  <c r="H32" i="7"/>
  <c r="K32" i="7" s="1"/>
  <c r="H24" i="7"/>
  <c r="K17" i="8"/>
  <c r="K16" i="8"/>
  <c r="K15" i="8"/>
  <c r="H49" i="7"/>
  <c r="H41" i="7"/>
  <c r="H40" i="7"/>
  <c r="H48" i="7"/>
  <c r="H39" i="7"/>
  <c r="K39" i="7" s="1"/>
  <c r="K14" i="9"/>
  <c r="I21" i="6"/>
  <c r="H24" i="6"/>
  <c r="G31" i="6"/>
  <c r="K31" i="6" s="1"/>
  <c r="F31" i="6"/>
  <c r="E32" i="6"/>
  <c r="K32" i="6" s="1"/>
  <c r="C32" i="6"/>
  <c r="G16" i="7"/>
  <c r="K16" i="7" s="1"/>
  <c r="J19" i="7"/>
  <c r="H22" i="7"/>
  <c r="H29" i="7"/>
  <c r="J35" i="7"/>
  <c r="O88" i="8"/>
  <c r="N91" i="8"/>
  <c r="O91" i="8" s="1"/>
  <c r="F22" i="7"/>
  <c r="I35" i="7"/>
  <c r="H42" i="7"/>
  <c r="J44" i="7"/>
  <c r="I50" i="7"/>
  <c r="N51" i="8"/>
  <c r="O51" i="8" s="1"/>
  <c r="O47" i="8"/>
  <c r="N17" i="10"/>
  <c r="O17" i="10" s="1"/>
  <c r="E44" i="7"/>
  <c r="N78" i="8"/>
  <c r="A22" i="7"/>
  <c r="J22" i="7"/>
  <c r="C35" i="7"/>
  <c r="J37" i="7"/>
  <c r="A37" i="7"/>
  <c r="F44" i="7"/>
  <c r="I46" i="7"/>
  <c r="N173" i="8"/>
  <c r="N186" i="8"/>
  <c r="O186" i="8" s="1"/>
  <c r="I29" i="7"/>
  <c r="F35" i="7"/>
  <c r="C37" i="7"/>
  <c r="H38" i="7"/>
  <c r="G44" i="7"/>
  <c r="C46" i="7"/>
  <c r="G47" i="7"/>
  <c r="N106" i="8"/>
  <c r="O204" i="8"/>
  <c r="A33" i="6"/>
  <c r="A37" i="6"/>
  <c r="A19" i="7"/>
  <c r="C22" i="7"/>
  <c r="A23" i="7"/>
  <c r="C29" i="7"/>
  <c r="G30" i="7"/>
  <c r="G35" i="7"/>
  <c r="E37" i="7"/>
  <c r="K37" i="7" s="1"/>
  <c r="C38" i="7"/>
  <c r="J42" i="7"/>
  <c r="H44" i="7"/>
  <c r="E46" i="7"/>
  <c r="K46" i="7" s="1"/>
  <c r="C47" i="7"/>
  <c r="J50" i="7"/>
  <c r="E29" i="7"/>
  <c r="K29" i="7" s="1"/>
  <c r="H35" i="7"/>
  <c r="F37" i="7"/>
  <c r="E38" i="7"/>
  <c r="C39" i="7"/>
  <c r="J41" i="7"/>
  <c r="A41" i="7"/>
  <c r="A42" i="7"/>
  <c r="I44" i="7"/>
  <c r="F46" i="7"/>
  <c r="E47" i="7"/>
  <c r="K47" i="7" s="1"/>
  <c r="C48" i="7"/>
  <c r="A50" i="7"/>
  <c r="N112" i="8"/>
  <c r="N174" i="8"/>
  <c r="N29" i="9"/>
  <c r="M30" i="9"/>
  <c r="M31" i="9" s="1"/>
  <c r="N30" i="9"/>
  <c r="O30" i="9" s="1"/>
  <c r="N43" i="10"/>
  <c r="O15" i="8" l="1"/>
  <c r="O14" i="9"/>
  <c r="N18" i="9"/>
  <c r="K30" i="7"/>
  <c r="G26" i="7"/>
  <c r="H58" i="7"/>
  <c r="E58" i="7"/>
  <c r="N17" i="8"/>
  <c r="O17" i="8" s="1"/>
  <c r="H22" i="6"/>
  <c r="K22" i="6" s="1"/>
  <c r="K21" i="7"/>
  <c r="M241" i="8"/>
  <c r="N241" i="8" s="1"/>
  <c r="O241" i="8" s="1"/>
  <c r="M161" i="8"/>
  <c r="M65" i="8"/>
  <c r="N65" i="8" s="1"/>
  <c r="O65" i="8" s="1"/>
  <c r="M64" i="8"/>
  <c r="N64" i="8" s="1"/>
  <c r="M37" i="8"/>
  <c r="M152" i="8"/>
  <c r="N152" i="8" s="1"/>
  <c r="O152" i="8" s="1"/>
  <c r="M150" i="8"/>
  <c r="N150" i="8" s="1"/>
  <c r="M151" i="8"/>
  <c r="N151" i="8" s="1"/>
  <c r="O151" i="8" s="1"/>
  <c r="M167" i="8"/>
  <c r="M29" i="8"/>
  <c r="N29" i="8" s="1"/>
  <c r="O29" i="8" s="1"/>
  <c r="M153" i="8"/>
  <c r="N153" i="8" s="1"/>
  <c r="O153" i="8" s="1"/>
  <c r="J55" i="7"/>
  <c r="K55" i="7" s="1"/>
  <c r="J60" i="7"/>
  <c r="J57" i="7"/>
  <c r="K57" i="7" s="1"/>
  <c r="J58" i="7"/>
  <c r="J59" i="7"/>
  <c r="J56" i="7"/>
  <c r="K56" i="7" s="1"/>
  <c r="E60" i="7"/>
  <c r="K44" i="7"/>
  <c r="K43" i="7"/>
  <c r="K40" i="6"/>
  <c r="K48" i="7"/>
  <c r="K25" i="6"/>
  <c r="W16" i="5"/>
  <c r="J24" i="6"/>
  <c r="K24" i="6" s="1"/>
  <c r="I158" i="6"/>
  <c r="K158" i="6" s="1"/>
  <c r="I76" i="6"/>
  <c r="K76" i="6" s="1"/>
  <c r="I206" i="6"/>
  <c r="K206" i="6" s="1"/>
  <c r="I161" i="6"/>
  <c r="K161" i="6" s="1"/>
  <c r="I121" i="6"/>
  <c r="K121" i="6" s="1"/>
  <c r="I201" i="6"/>
  <c r="K201" i="6" s="1"/>
  <c r="I164" i="6"/>
  <c r="K164" i="6" s="1"/>
  <c r="I119" i="6"/>
  <c r="K119" i="6" s="1"/>
  <c r="I80" i="6"/>
  <c r="K80" i="6" s="1"/>
  <c r="I75" i="6"/>
  <c r="K75" i="6" s="1"/>
  <c r="K82" i="6" s="1"/>
  <c r="K84" i="6" s="1"/>
  <c r="I117" i="6"/>
  <c r="K117" i="6" s="1"/>
  <c r="I203" i="6"/>
  <c r="K203" i="6" s="1"/>
  <c r="I163" i="6"/>
  <c r="K163" i="6" s="1"/>
  <c r="I159" i="6"/>
  <c r="K159" i="6" s="1"/>
  <c r="I81" i="6"/>
  <c r="K81" i="6" s="1"/>
  <c r="I78" i="6"/>
  <c r="K78" i="6" s="1"/>
  <c r="I200" i="6"/>
  <c r="K200" i="6" s="1"/>
  <c r="K208" i="6" s="1"/>
  <c r="K210" i="6" s="1"/>
  <c r="I122" i="6"/>
  <c r="K122" i="6" s="1"/>
  <c r="I116" i="6"/>
  <c r="K116" i="6" s="1"/>
  <c r="I205" i="6"/>
  <c r="K205" i="6" s="1"/>
  <c r="K25" i="7"/>
  <c r="E8" i="10"/>
  <c r="K20" i="7"/>
  <c r="E8" i="9"/>
  <c r="M54" i="9"/>
  <c r="N54" i="9" s="1"/>
  <c r="H29" i="6"/>
  <c r="K29" i="6" s="1"/>
  <c r="K38" i="7"/>
  <c r="N18" i="8"/>
  <c r="O18" i="8" s="1"/>
  <c r="K34" i="7"/>
  <c r="M28" i="8"/>
  <c r="N28" i="8" s="1"/>
  <c r="E8" i="8"/>
  <c r="J18" i="6"/>
  <c r="K18" i="6" s="1"/>
  <c r="N144" i="8"/>
  <c r="N14" i="10"/>
  <c r="K64" i="3"/>
  <c r="M35" i="9"/>
  <c r="N35" i="9" s="1"/>
  <c r="O35" i="9" s="1"/>
  <c r="M36" i="9"/>
  <c r="N36" i="9" s="1"/>
  <c r="O36" i="9" s="1"/>
  <c r="N31" i="9"/>
  <c r="O31" i="9" s="1"/>
  <c r="N16" i="8"/>
  <c r="O16" i="8" s="1"/>
  <c r="K33" i="7"/>
  <c r="N15" i="10"/>
  <c r="O15" i="10" s="1"/>
  <c r="G18" i="7"/>
  <c r="K18" i="7" s="1"/>
  <c r="G20" i="6"/>
  <c r="K20" i="6" s="1"/>
  <c r="H59" i="7"/>
  <c r="E59" i="7"/>
  <c r="H53" i="6"/>
  <c r="O29" i="9"/>
  <c r="H60" i="7"/>
  <c r="K35" i="7"/>
  <c r="N21" i="8"/>
  <c r="O21" i="8" s="1"/>
  <c r="N23" i="8"/>
  <c r="O23" i="8" s="1"/>
  <c r="N24" i="9"/>
  <c r="O23" i="9"/>
  <c r="K27" i="7"/>
  <c r="K23" i="6"/>
  <c r="J52" i="6"/>
  <c r="H52" i="6" s="1"/>
  <c r="J49" i="6"/>
  <c r="K49" i="6" s="1"/>
  <c r="J50" i="6"/>
  <c r="K50" i="6" s="1"/>
  <c r="J53" i="6"/>
  <c r="J51" i="6"/>
  <c r="K51" i="6" s="1"/>
  <c r="J48" i="6"/>
  <c r="K48" i="6" s="1"/>
  <c r="N37" i="9" l="1"/>
  <c r="O14" i="10"/>
  <c r="N21" i="10"/>
  <c r="N46" i="10" s="1"/>
  <c r="K124" i="6"/>
  <c r="K126" i="6" s="1"/>
  <c r="N55" i="9"/>
  <c r="O54" i="9"/>
  <c r="K166" i="6"/>
  <c r="K168" i="6" s="1"/>
  <c r="O64" i="8"/>
  <c r="N72" i="8"/>
  <c r="O72" i="8" s="1"/>
  <c r="M43" i="9"/>
  <c r="N43" i="9" s="1"/>
  <c r="M48" i="9"/>
  <c r="N48" i="9" s="1"/>
  <c r="M41" i="9"/>
  <c r="M46" i="9"/>
  <c r="M49" i="9"/>
  <c r="N49" i="9" s="1"/>
  <c r="M168" i="8"/>
  <c r="N167" i="8"/>
  <c r="O28" i="8"/>
  <c r="N30" i="8"/>
  <c r="O30" i="8" s="1"/>
  <c r="W18" i="5"/>
  <c r="J26" i="6"/>
  <c r="K26" i="6" s="1"/>
  <c r="J24" i="7"/>
  <c r="K24" i="7" s="1"/>
  <c r="K59" i="7"/>
  <c r="M162" i="8"/>
  <c r="N162" i="8" s="1"/>
  <c r="M163" i="8"/>
  <c r="N163" i="8" s="1"/>
  <c r="N161" i="8"/>
  <c r="K58" i="7"/>
  <c r="K61" i="7" s="1"/>
  <c r="N155" i="8"/>
  <c r="O155" i="8" s="1"/>
  <c r="O150" i="8"/>
  <c r="M206" i="8"/>
  <c r="N206" i="8" s="1"/>
  <c r="N37" i="8"/>
  <c r="K53" i="6"/>
  <c r="O17" i="6"/>
  <c r="O20" i="6" s="1"/>
  <c r="S8" i="6"/>
  <c r="O18" i="6"/>
  <c r="K52" i="6"/>
  <c r="K54" i="6" s="1"/>
  <c r="O54" i="6" s="1"/>
  <c r="K60" i="7"/>
  <c r="N24" i="8"/>
  <c r="N32" i="8" s="1"/>
  <c r="S12" i="6" l="1"/>
  <c r="E6" i="6"/>
  <c r="K85" i="6" s="1"/>
  <c r="M169" i="8"/>
  <c r="N169" i="8" s="1"/>
  <c r="N168" i="8"/>
  <c r="N179" i="8" s="1"/>
  <c r="N199" i="8" s="1"/>
  <c r="N49" i="10"/>
  <c r="N50" i="10"/>
  <c r="N53" i="10" s="1"/>
  <c r="S11" i="6"/>
  <c r="E181" i="6" s="1"/>
  <c r="K211" i="6" s="1"/>
  <c r="K213" i="6" s="1"/>
  <c r="N43" i="8"/>
  <c r="N93" i="8" s="1"/>
  <c r="O37" i="8"/>
  <c r="M47" i="9"/>
  <c r="N47" i="9" s="1"/>
  <c r="N46" i="9"/>
  <c r="N41" i="9"/>
  <c r="N50" i="9" s="1"/>
  <c r="N57" i="9" s="1"/>
  <c r="N59" i="9" s="1"/>
  <c r="M42" i="9"/>
  <c r="N42" i="9" s="1"/>
  <c r="O19" i="6"/>
  <c r="O7" i="6" s="1"/>
  <c r="Q7" i="6" s="1"/>
  <c r="J28" i="6"/>
  <c r="K28" i="6" s="1"/>
  <c r="K45" i="6" s="1"/>
  <c r="J26" i="7"/>
  <c r="K26" i="7" s="1"/>
  <c r="K51" i="7" s="1"/>
  <c r="K63" i="7" s="1"/>
  <c r="K56" i="6" s="1"/>
  <c r="O206" i="8"/>
  <c r="N242" i="8"/>
  <c r="O45" i="6" l="1"/>
  <c r="K58" i="6"/>
  <c r="K59" i="6" s="1"/>
  <c r="K87" i="6" s="1"/>
  <c r="N244" i="8"/>
  <c r="N246" i="8" s="1"/>
  <c r="O242" i="8"/>
  <c r="N63" i="9"/>
  <c r="N66" i="9" s="1"/>
  <c r="N62" i="9"/>
  <c r="S10" i="6"/>
  <c r="E139" i="6" s="1"/>
  <c r="K169" i="6" s="1"/>
  <c r="K171" i="6" s="1"/>
  <c r="L48" i="10"/>
  <c r="K217" i="6"/>
  <c r="N249" i="8" l="1"/>
  <c r="S9" i="6"/>
  <c r="E97" i="6" s="1"/>
  <c r="K127" i="6" s="1"/>
  <c r="K129" i="6" s="1"/>
  <c r="N250" i="8"/>
  <c r="N253" i="8" s="1"/>
  <c r="K91" i="6"/>
  <c r="J66" i="3"/>
  <c r="L61" i="9"/>
  <c r="K175" i="6"/>
  <c r="N48" i="10"/>
  <c r="L51" i="10"/>
  <c r="N51" i="10" s="1"/>
  <c r="N55" i="10" s="1"/>
  <c r="K307" i="4" l="1"/>
  <c r="K310" i="4" s="1"/>
  <c r="J69" i="3"/>
  <c r="K69" i="3" s="1"/>
  <c r="K71" i="3" s="1"/>
  <c r="L248" i="8"/>
  <c r="K133" i="6"/>
  <c r="N61" i="9"/>
  <c r="L64" i="9"/>
  <c r="N64" i="9" s="1"/>
  <c r="N68" i="9" s="1"/>
  <c r="O11" i="6"/>
  <c r="Q11" i="6" s="1"/>
  <c r="T11" i="6" s="1"/>
  <c r="K75" i="3"/>
  <c r="K291" i="4" l="1"/>
  <c r="K286" i="4"/>
  <c r="K281" i="4"/>
  <c r="K273" i="4"/>
  <c r="K287" i="4"/>
  <c r="K279" i="4"/>
  <c r="K282" i="4"/>
  <c r="K283" i="4"/>
  <c r="K275" i="4"/>
  <c r="K270" i="4"/>
  <c r="K290" i="4"/>
  <c r="K292" i="4" s="1"/>
  <c r="K285" i="4"/>
  <c r="K280" i="4"/>
  <c r="K268" i="4"/>
  <c r="K255" i="4"/>
  <c r="K247" i="4"/>
  <c r="K239" i="4"/>
  <c r="K231" i="4"/>
  <c r="K223" i="4"/>
  <c r="K210" i="4"/>
  <c r="K202" i="4"/>
  <c r="K194" i="4"/>
  <c r="K186" i="4"/>
  <c r="K178" i="4"/>
  <c r="K165" i="4"/>
  <c r="K157" i="4"/>
  <c r="K149" i="4"/>
  <c r="K258" i="4"/>
  <c r="K266" i="4"/>
  <c r="K261" i="4"/>
  <c r="K253" i="4"/>
  <c r="K245" i="4"/>
  <c r="K237" i="4"/>
  <c r="K229" i="4"/>
  <c r="K221" i="4"/>
  <c r="K216" i="4"/>
  <c r="K208" i="4"/>
  <c r="K200" i="4"/>
  <c r="K192" i="4"/>
  <c r="K184" i="4"/>
  <c r="K176" i="4"/>
  <c r="K163" i="4"/>
  <c r="K155" i="4"/>
  <c r="K147" i="4"/>
  <c r="K134" i="4"/>
  <c r="K126" i="4"/>
  <c r="K118" i="4"/>
  <c r="K110" i="4"/>
  <c r="K105" i="4"/>
  <c r="K284" i="4"/>
  <c r="K277" i="4"/>
  <c r="K256" i="4"/>
  <c r="K248" i="4"/>
  <c r="K240" i="4"/>
  <c r="K232" i="4"/>
  <c r="K224" i="4"/>
  <c r="K211" i="4"/>
  <c r="K203" i="4"/>
  <c r="K195" i="4"/>
  <c r="K187" i="4"/>
  <c r="K179" i="4"/>
  <c r="K171" i="4"/>
  <c r="K166" i="4"/>
  <c r="K158" i="4"/>
  <c r="K150" i="4"/>
  <c r="K142" i="4"/>
  <c r="K137" i="4"/>
  <c r="K129" i="4"/>
  <c r="K121" i="4"/>
  <c r="K113" i="4"/>
  <c r="K269" i="4"/>
  <c r="K259" i="4"/>
  <c r="K251" i="4"/>
  <c r="K243" i="4"/>
  <c r="K235" i="4"/>
  <c r="K227" i="4"/>
  <c r="K219" i="4"/>
  <c r="K214" i="4"/>
  <c r="K206" i="4"/>
  <c r="K198" i="4"/>
  <c r="K190" i="4"/>
  <c r="K182" i="4"/>
  <c r="K174" i="4"/>
  <c r="K161" i="4"/>
  <c r="K153" i="4"/>
  <c r="K145" i="4"/>
  <c r="K132" i="4"/>
  <c r="K124" i="4"/>
  <c r="K116" i="4"/>
  <c r="K108" i="4"/>
  <c r="K278" i="4"/>
  <c r="K276" i="4"/>
  <c r="K274" i="4"/>
  <c r="K265" i="4"/>
  <c r="K260" i="4"/>
  <c r="K252" i="4"/>
  <c r="K244" i="4"/>
  <c r="K236" i="4"/>
  <c r="K228" i="4"/>
  <c r="K262" i="4"/>
  <c r="K230" i="4"/>
  <c r="K225" i="4"/>
  <c r="K209" i="4"/>
  <c r="K207" i="4"/>
  <c r="K193" i="4"/>
  <c r="K191" i="4"/>
  <c r="K177" i="4"/>
  <c r="K175" i="4"/>
  <c r="K164" i="4"/>
  <c r="K162" i="4"/>
  <c r="K148" i="4"/>
  <c r="K146" i="4"/>
  <c r="K138" i="4"/>
  <c r="K136" i="4"/>
  <c r="K111" i="4"/>
  <c r="K250" i="4"/>
  <c r="K222" i="4"/>
  <c r="K220" i="4"/>
  <c r="K119" i="4"/>
  <c r="K115" i="4"/>
  <c r="K109" i="4"/>
  <c r="K103" i="4"/>
  <c r="K242" i="4"/>
  <c r="K213" i="4"/>
  <c r="K204" i="4"/>
  <c r="K197" i="4"/>
  <c r="K188" i="4"/>
  <c r="K181" i="4"/>
  <c r="K172" i="4"/>
  <c r="K168" i="4"/>
  <c r="K159" i="4"/>
  <c r="K152" i="4"/>
  <c r="K127" i="4"/>
  <c r="K123" i="4"/>
  <c r="K117" i="4"/>
  <c r="K234" i="4"/>
  <c r="K143" i="4"/>
  <c r="K135" i="4"/>
  <c r="K131" i="4"/>
  <c r="K125" i="4"/>
  <c r="K101" i="4"/>
  <c r="K93" i="4"/>
  <c r="K80" i="4"/>
  <c r="K72" i="4"/>
  <c r="K64" i="4"/>
  <c r="K51" i="4"/>
  <c r="K43" i="4"/>
  <c r="K35" i="4"/>
  <c r="K30" i="4"/>
  <c r="K22" i="4"/>
  <c r="K226" i="4"/>
  <c r="K215" i="4"/>
  <c r="K201" i="4"/>
  <c r="K199" i="4"/>
  <c r="K185" i="4"/>
  <c r="K183" i="4"/>
  <c r="K156" i="4"/>
  <c r="K154" i="4"/>
  <c r="K139" i="4"/>
  <c r="K133" i="4"/>
  <c r="K96" i="4"/>
  <c r="K88" i="4"/>
  <c r="K83" i="4"/>
  <c r="K75" i="4"/>
  <c r="K67" i="4"/>
  <c r="K54" i="4"/>
  <c r="K46" i="4"/>
  <c r="K38" i="4"/>
  <c r="K25" i="4"/>
  <c r="K17" i="4"/>
  <c r="K249" i="4"/>
  <c r="K267" i="4"/>
  <c r="K238" i="4"/>
  <c r="K233" i="4"/>
  <c r="K144" i="4"/>
  <c r="K130" i="4"/>
  <c r="K128" i="4"/>
  <c r="K120" i="4"/>
  <c r="K94" i="4"/>
  <c r="K79" i="4"/>
  <c r="K77" i="4"/>
  <c r="K34" i="4"/>
  <c r="K28" i="4"/>
  <c r="K48" i="4"/>
  <c r="K254" i="4"/>
  <c r="K114" i="4"/>
  <c r="K160" i="4"/>
  <c r="K104" i="4"/>
  <c r="K92" i="4"/>
  <c r="K90" i="4"/>
  <c r="K73" i="4"/>
  <c r="K47" i="4"/>
  <c r="K45" i="4"/>
  <c r="K41" i="4"/>
  <c r="K173" i="4"/>
  <c r="K97" i="4"/>
  <c r="K95" i="4"/>
  <c r="K91" i="4"/>
  <c r="K61" i="4"/>
  <c r="K18" i="4"/>
  <c r="K16" i="4"/>
  <c r="K76" i="4"/>
  <c r="K74" i="4"/>
  <c r="K70" i="4"/>
  <c r="K29" i="4"/>
  <c r="K27" i="4"/>
  <c r="K212" i="4"/>
  <c r="K87" i="4"/>
  <c r="K241" i="4"/>
  <c r="K180" i="4"/>
  <c r="K122" i="4"/>
  <c r="K99" i="4"/>
  <c r="K86" i="4"/>
  <c r="K71" i="4"/>
  <c r="K69" i="4"/>
  <c r="K58" i="4"/>
  <c r="K56" i="4"/>
  <c r="K26" i="4"/>
  <c r="K24" i="4"/>
  <c r="K20" i="4"/>
  <c r="K13" i="4"/>
  <c r="K14" i="4" s="1"/>
  <c r="K63" i="4"/>
  <c r="K189" i="4"/>
  <c r="K44" i="4"/>
  <c r="K196" i="4"/>
  <c r="K112" i="4"/>
  <c r="K82" i="4"/>
  <c r="K78" i="4"/>
  <c r="K65" i="4"/>
  <c r="K52" i="4"/>
  <c r="K39" i="4"/>
  <c r="K37" i="4"/>
  <c r="K50" i="4"/>
  <c r="K31" i="4"/>
  <c r="K205" i="4"/>
  <c r="K151" i="4"/>
  <c r="K40" i="4"/>
  <c r="K257" i="4"/>
  <c r="K246" i="4"/>
  <c r="K167" i="4"/>
  <c r="K102" i="4"/>
  <c r="K100" i="4"/>
  <c r="K98" i="4"/>
  <c r="K81" i="4"/>
  <c r="K68" i="4"/>
  <c r="K66" i="4"/>
  <c r="K62" i="4"/>
  <c r="K55" i="4"/>
  <c r="K53" i="4"/>
  <c r="K49" i="4"/>
  <c r="K36" i="4"/>
  <c r="K21" i="4"/>
  <c r="K19" i="4"/>
  <c r="K57" i="4"/>
  <c r="K89" i="4"/>
  <c r="K42" i="4"/>
  <c r="K23" i="4"/>
  <c r="K299" i="4"/>
  <c r="E75" i="3"/>
  <c r="L251" i="8"/>
  <c r="N251" i="8" s="1"/>
  <c r="N255" i="8" s="1"/>
  <c r="N248" i="8"/>
  <c r="O10" i="6"/>
  <c r="Q10" i="6" s="1"/>
  <c r="T10" i="6" s="1"/>
  <c r="K74" i="3"/>
  <c r="O8" i="6"/>
  <c r="K59" i="4" l="1"/>
  <c r="K271" i="4"/>
  <c r="K217" i="4"/>
  <c r="K263" i="4"/>
  <c r="K288" i="4"/>
  <c r="K32" i="4"/>
  <c r="K293" i="4" s="1"/>
  <c r="K295" i="4" s="1"/>
  <c r="K84" i="4"/>
  <c r="K106" i="4"/>
  <c r="K140" i="4"/>
  <c r="K169" i="4"/>
  <c r="O12" i="6"/>
  <c r="Q8" i="6"/>
  <c r="O9" i="6"/>
  <c r="Q9" i="6" s="1"/>
  <c r="T9" i="6" s="1"/>
  <c r="K73" i="3"/>
  <c r="K298" i="4"/>
  <c r="E74" i="3"/>
  <c r="T8" i="6" l="1"/>
  <c r="T12" i="6" s="1"/>
  <c r="Q12" i="6"/>
  <c r="K297" i="4"/>
  <c r="K303" i="4" s="1"/>
  <c r="K76" i="3"/>
  <c r="K80" i="3" s="1"/>
  <c r="E73" i="3"/>
  <c r="K82" i="3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<sst xmlns="http://schemas.openxmlformats.org/spreadsheetml/2006/main" count="9285" uniqueCount="1135">
  <si>
    <t>Consultoría</t>
  </si>
  <si>
    <t>HOY</t>
  </si>
  <si>
    <t>Contrato Consultoría:</t>
  </si>
  <si>
    <t>DE</t>
  </si>
  <si>
    <t>Objeto contrato consultoría:</t>
  </si>
  <si>
    <t>Interventoría</t>
  </si>
  <si>
    <t>Contrato Interventoría:</t>
  </si>
  <si>
    <t>Objeto contrato Interventoría:</t>
  </si>
  <si>
    <t>Entidad Contratante</t>
  </si>
  <si>
    <t>FONDO DE DESARROLLO LOCAL DE SUBA</t>
  </si>
  <si>
    <t>Versión:</t>
  </si>
  <si>
    <t>Marzo-2023 (V.3.0)</t>
  </si>
  <si>
    <t>Fecha</t>
  </si>
  <si>
    <t>Mes</t>
  </si>
  <si>
    <t>Año</t>
  </si>
  <si>
    <t>SMMLV / Sud. Transp. / IVA vigente</t>
  </si>
  <si>
    <t>Versión</t>
  </si>
  <si>
    <t>Marzo</t>
  </si>
  <si>
    <t>RÉCORD DE MODIFICACIÓN</t>
  </si>
  <si>
    <t>VERSIÓN</t>
  </si>
  <si>
    <t>DESCRIPCIÓN - CAMBIOS</t>
  </si>
  <si>
    <t>FECHA</t>
  </si>
  <si>
    <t>ELABORÓ</t>
  </si>
  <si>
    <t>REVISÓ</t>
  </si>
  <si>
    <t>V.1.0</t>
  </si>
  <si>
    <t>INFORMACIÓN INICIAL JUSTIFICACIÓN PRESUPUESTO DEL PROYECTO CON UTILIZACIÓN DE PRECIOS UNITARIOS IDU (08/02/2023)</t>
  </si>
  <si>
    <t>DAHP</t>
  </si>
  <si>
    <t>FG</t>
  </si>
  <si>
    <t>V.2.0</t>
  </si>
  <si>
    <t>CALCULO A DETALLE PRESUPUESTO INTERVENTORÍA PROCESO DE CONSERVACIÓN MALLA VIAL 2023</t>
  </si>
  <si>
    <t>V.3.0</t>
  </si>
  <si>
    <t>ACTUALIZACION PRECIOS IDU MARZO 03 DE 2023 Y AJUSTE A PROCESO OBRA CONSERVACIÓN</t>
  </si>
  <si>
    <t/>
  </si>
  <si>
    <t>Formulario 1 - Propuesta económica  - Documento tipo de licitación de obra pública de infraestructura de transporte - versión 3</t>
  </si>
  <si>
    <t>Código</t>
  </si>
  <si>
    <t>CCE-EICP-FM-14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</si>
  <si>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</si>
  <si>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</si>
  <si>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</si>
  <si>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</si>
  <si>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</si>
  <si>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</si>
  <si>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</si>
  <si>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</si>
  <si>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</si>
  <si>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</si>
  <si>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</si>
  <si>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</si>
  <si>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</si>
  <si>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</si>
  <si>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01. PRELIMINARES</t>
  </si>
  <si>
    <t>IDU</t>
  </si>
  <si>
    <t>REPLANTEO GENERAL</t>
  </si>
  <si>
    <t>M2</t>
  </si>
  <si>
    <t>Subtotal</t>
  </si>
  <si>
    <t>02.EXPLANACIONES</t>
  </si>
  <si>
    <t>EXCAVACIÓN MECÁNICA EN MATERIAL COMÚN (INCLUYE CARGUE)</t>
  </si>
  <si>
    <t>M3</t>
  </si>
  <si>
    <t>TRANSPORTE Y DISPOSICIÓN FINAL DE ESCOMBROS EN SITIO AUTORIZADO (DISTANCIA DE TRANSPORTE 21 KM). A DISTANCIA MAYOR DEL ACARREO LIBRE (90 M) EN SITIO AUTORIZADO POR LA ENTIDAD AMBIENTAL COMPETENTE.</t>
  </si>
  <si>
    <t>TRANSPORTE DE ESCOMBROS EN SITIO AUTORIZADO (DISTANCIA DE TRANSPORTE 1 KM). A DISTANCIA MAYOR DEL ACARREO LIBRE (90 M) EN SITIO AUTORIZADO POR LA ENTIDAD AMBIENTAL COMPETENTE.</t>
  </si>
  <si>
    <t>M3-KM</t>
  </si>
  <si>
    <t>DEMOLICIÓN PISOS DE CONCRETO (INCLUYE CARGUE). NO INCLUYE TRANSPORTE Y DISPOSICIÓN FINAL DE SOBRANTES.</t>
  </si>
  <si>
    <t>DEMOLICION DE POZOS, CAJAS Y CAMARAS DE EMPRESAS DE SERVICIOS PÚBLICOS (INCLUYE MARTILLO NEUMÁTICO DE 60 LB, COMPRESOR Y CARGUE).</t>
  </si>
  <si>
    <t>DEMOLICION MANUAL SARDINEL EXISTENTE (INCLUYE CARGUE). NO INCLUYE TRANSPORTE Y DISPOSICIÓN FINAL DE SOBRANTES.</t>
  </si>
  <si>
    <t>ML</t>
  </si>
  <si>
    <t>DEMOLICIÓN PISOS DE CONCRETO (ESPESOR VARIABLE HASTA 0.10 M. INCLUYE CARGUE). NO INCLUYE TRANSPORTE Y DISPOSICIÓN FINAL DE SOBRANTES.</t>
  </si>
  <si>
    <t>DEMOLICION PAVIMENTO ASFALTICO (ESPESOR VARIABLE. INCLUYE CARGUE). NO INCLUYE TRANSPORTE Y DISPOSICIÓN FINAL DE SOBRANTES.</t>
  </si>
  <si>
    <t>DEMOLICIÓN MANUAL DE CAJA DOBLE CS 276 (INCLUYE DEMOLICIÓN DE PLACA PISO, TAPA, MUROS Y CAÑUELAS Y CARGUE).</t>
  </si>
  <si>
    <t>UN</t>
  </si>
  <si>
    <t>DEMOLICION DE TUBERIAS DE ACUEDUCTO Y ALCANTARILLADO Ø &lt; 36" (INCLUYE MARTILLO NEUMÁTICO DE 60 LB Y CARGUE).</t>
  </si>
  <si>
    <t>DEMOLICION O RETIRO MANUAL DE TUBERIAS DE AC Ø &lt; 12" (INCLUYE CARGUE).</t>
  </si>
  <si>
    <t>DEMOLICION DE CANALIZACION DE REDES DE COMUNICACIONES DUCTOS PVC-TDP (INCLUYE RETIRO Y DISPOSICION DE ESCOMBROS)</t>
  </si>
  <si>
    <t>DEMOLICION DE POZO, DIAMETRO INTERIOR D=1.20M, DIAMETRO EXTERIOR D=1.70M, H=1.50M (INCLUYE CARGUE, RETIRO DE MATERIAL, TRANSPORTE Y DISPOSICIÓN FINAL DE ESCOMBROS EN SITIO AUTORIZADO).</t>
  </si>
  <si>
    <t>DEMOLICIÓN DE PLACA (INCLUYE CARGUE, RETIRO DE MATERIAL, TRANSPORTE Y DISPOSICIÓN FINAL DE ESCOMBROS EN SITIO AUTORIZADO).</t>
  </si>
  <si>
    <t>EXCAVACIÓN MECÁNICA EN MATERIAL COMÚN PARA CONFORMACIÓN DE LA SUBRASANTE CON RETROEXCAVADORA (EXCAVACIÓN, REMOCIÓN Y CARGUE)</t>
  </si>
  <si>
    <t>03.BASES Y SUBBASES</t>
  </si>
  <si>
    <t>BASE GRANULAR CLASE A (BGA_BG38) o (BGB_BG25) (Suministro, Extendido, Nivelación, Humedecimiento y Compactación con vibrocompactador)</t>
  </si>
  <si>
    <t>AGREGADOS RECICLADOS PARA SUBBASE GRANULAR (AR_SBG50) (Suministro, Extendido, Nivelación, Humedecimiento y Compactación con vibrocompactador)</t>
  </si>
  <si>
    <t>GRAVILLA DE 3/4" - SUMINISTRO E INSTALACIÓN.</t>
  </si>
  <si>
    <t>RELLENO EN RECEBO COMUN (SUMINISTRO E INSTALACIÓN EXTENDIDO MECANICO, HUMEDECIMIENTO, COMPACTACIÓN Y TRANSPORTE A 28 KM).</t>
  </si>
  <si>
    <t>SUBBASE GRANULAR CLASE C (SBG_C) (SUMINISTRO, EXTENDIDO MANUAL, NIVELACIÓN, HUMEDECIMIENTO Y COMPACTACIÓN CON VIBROCOMPACTADOR BENITÍN DE 1 TONELADA).</t>
  </si>
  <si>
    <t>ESTABILIZACIÓN DE SUBRASANTE CON RECICLADO DE CONCRETO (INCLUYE DEMOLICIÓN, EXTENDIDO, NIVELACIÓN Y COMPACTACIÓN CON RETROEXCAVADORA SOBRE ORUGA Y COMPACTADOR)</t>
  </si>
  <si>
    <t>ESTABILIZACIÓN CON RCD. INCLUYE TRASIEGO INTERNO, NIVELACIÓN Y COMPACTACIÓN.</t>
  </si>
  <si>
    <t>SUBBASE GRANULAR PEATONAL SBG_PEA. SUMINISTRO, EXTENDIDO MANUAL, NIVELACIÓN, HUMEDECIMIENTO Y COMPACTACIÓN CON VIBROCOMPACTADOR BENITÍN DE 1 TONELADA INCLUYE OPERARIO Y COMBUSTIBLE.</t>
  </si>
  <si>
    <t>ESTABILIZACIÓN DE SUBRASANTE CON RAJÓN, INCLUYE EQUIPO DE COMPACTACIÓN (SUMINISTRO, EXTENDIDO A MANO, NIVELACIÓN Y COMPACTACIÓN CON RETROEXCAVADORA SOBRE ORUGA Y BENITÍN DE 1 TONELADA INCLUYEN OPERARIO Y COMBUSTIBLE.</t>
  </si>
  <si>
    <t>RELLENO EN TRITURADO DE 3/4`` (INCLUYE TRANSPORTE, SUMINISTRO, EXTENDIDO MANUAL Y COLOCACIÓN)</t>
  </si>
  <si>
    <t>RELLENO EN ARENA DE PEÑA (INCLUYE TRANSPORTE, SUMINISTRO, EXTENDIDO MANUAL Y COMPACTACIÓN).</t>
  </si>
  <si>
    <t>RELLENO EN ARENA DE RIO. INCLUYE TRANSPORTE, SUMINISTRO, EXTENDIDO MANUAL Y COMPACTACION.</t>
  </si>
  <si>
    <t>SUBBASE GRANULAR CLASE A (SBG_A) ESTABILIZADA CON CEMENTO AL 4% (SUMINISTRO, EXTENDIDO, NIVELACIÓN, HUMEDECIMIENTO Y COMPACTACIÓN CON VIBROCOMPACTADOR)</t>
  </si>
  <si>
    <t>ESTABILIZACIÓN DE BASE GRANULAR CON EMULSIÓN + CEMENTO 5% E= 0.20M</t>
  </si>
  <si>
    <t>SUBBASE GRANULAR CLASE B (SBG_B) CON RECICLADO DE CONCRETO HIDRAULICO (SUMINISTRO, EXTENDIDO MANUAL, HUMEDECIMIENTO Y COMPACTACIÓN)</t>
  </si>
  <si>
    <t>SUBBASE GRANULAR CLASE C (SBG_C) CON RECICLADO DE CONCRETO HIDRAULICO (SUMINISTRO, EXTENDIDO MANUAL, HUMEDECIMIENTO Y COMPACTACIÓN)</t>
  </si>
  <si>
    <t>NIVELACION Y COMPACTACIÓN DE SUBRASANTE</t>
  </si>
  <si>
    <t>CAPA DE SUELO DE SUBRASANTE ESTABILIZADA CON CAL HIDRATADA TIPO N, IN SITU AL 4%. (SUMINISTRO, EXTENDIDO, NIVELACION, HUMEDECIMIENTO Y COMPACTACION).</t>
  </si>
  <si>
    <t>MATERIAL SELECCIONADO. SUMINISTRO, EXTENDIDO MANUAL, NIVELACIÓN, HUMEDECIMIENTO Y COMPACTACIÓN.</t>
  </si>
  <si>
    <t>GEOCELDA HDPE PERFORADA, ALTURA 15 CM (SUMINISTRO E INSTALACIÓN).</t>
  </si>
  <si>
    <t>GEOTEXTIL T, RESIST. ULTIMA (TIRA ANCHA)=40 KN/M PARA SEPARACION SUBRASANTE/CAPAS GRANULARES (INC. SUMIN. E INSTALACIÓN)</t>
  </si>
  <si>
    <t>GEOTEXTIL NT 3000 PARA SUBDRENES/FILTROS (INCLUYE SUMINISTRO E INSTALACIÓN)</t>
  </si>
  <si>
    <t>GEOTEXTIL NT 4000 PARA SUBDRENES/FILTROS (INCLUYE SUMINISTRO E INSTALACIÓN)</t>
  </si>
  <si>
    <t>GEOTEXTIL T, RESIST. ULTIMA (TIRA ANCHA)=30 KN/M PARA SEPARACION SUBRASANTE/CAPAS GRANULARES (INC. SUMIN. E INSTALACIÓN)</t>
  </si>
  <si>
    <t>04.PAVIMENTO RIGIDO</t>
  </si>
  <si>
    <t>LOSA DE CONCRETO MR43 (SUMINISTRO, FORMALETEADO, COLOCACIÓN Y ACABADO. NO INCLUYE ACERO, CURADO, JUNTAS)</t>
  </si>
  <si>
    <t>LOSA DE CONCRETO MR41 (SUMINISTRO, FORMALETEADO, COLOCACIÓN Y ACABADO. NO INCLUYE ACERO, CURADO, JUNTAS)</t>
  </si>
  <si>
    <t>LOSA DE CONCRETO MR45 (SUMINISTRO, FORMALETEADO, COLOCACIÓN Y ACABADO. NO INCLUYE ACERO, CURADO, JUNTAS)</t>
  </si>
  <si>
    <t>CURADO DE LOSAS DE CONCRETO (SUMINISTRO Y APLICACIÓN)</t>
  </si>
  <si>
    <t>CORTE DE PAVIMENTO - INCLUYE EQUIPO: CORTADORA DE CONCRETO INCLUYE OPERARIO Y COMBUSTIBLE. INCLUYE DISCO DIAMANTADO ASFALTO-CONCRETO 350 MM, AGUA Y MANO DE OBRA</t>
  </si>
  <si>
    <t>SELLADO DE JUNTAS EN PAVIMENTO DE CONCRETO HIDRAULICO (INCLUYE LIMPIEZA, SUMINISTRO E INSTALACIÓN DE FONDO Y SELLANTE)</t>
  </si>
  <si>
    <t>LOSA DE CONCRETO MR39 (SUMINISTRO, FORMALETEADO, COLOCACIÓN Y ACABADO. NO INCLUYE ACERO, CURADO, JUNTAS)</t>
  </si>
  <si>
    <t>LOSA DE CONCRETO MR36 (SUMINISTRO, FORMALETEADO, COLOCACIÓN Y ACABADO. NO INCLUYE ACERO, CURADO, JUNTAS)</t>
  </si>
  <si>
    <t>LOSA DE PAVIMENTO EN CONCRETO HIDRAULICO MR50 CON FORMALETA FIJA, HIERROS DE TRANSFERENCIA, HIERROS DE AMARRE, ADITIVOS</t>
  </si>
  <si>
    <t>CONCRETO GRAVA COMUN DE 3000 PSI (210 KG/CM2) PARA RAMPAS DE EMPALME E= 0.20M PROMEDIO, SUMINISTRO Y COLOCACIÓN (INCLUYE EQUIPOS, SUMINISTRO E INSTALACIÓN DE FORMALETA, CURADO DE CONCRETO, MANO DE OBRA).</t>
  </si>
  <si>
    <t>JUNTA DE DILATACIÓN ELASTOMÉRICA 250 TAMAÑO 64 X 70 MM (INCLUYE SUMINISTRO E INSTALACIÓN Y TODOS LOS COSTOS DE SUMINISTRO E INSTALACIÓN DE MATERIAL PARA ANCLAJE..</t>
  </si>
  <si>
    <t>CONCRETO GRAVA COMÚN 4000 PSI (280 KG/CM2) PARA PLACAS DE ACCESO. SUMINISTRO Y COLOCACIÓN. (INCLUYE EQUIPOS, SUMINISTRO E INSTALACIÓN DE FORMALETA, CURADO DEL CONCRETO, MANO DE OBRA).</t>
  </si>
  <si>
    <t>PISO EN CONCRETO MR43 (315 KG/CM2) GRAVA COMÚN ACELERADO A 7 DÍAS, ESTAMPADO PARA POMPEYANOS, E=0.20M (INCLUYE SUMINISTRO Y COLOCACIÓN DE CONCRETO, JUEGO DE MOLDES, DESMOLDANTE EN POLVO, CURADOR PARA CONCRETO, CORTE Y SELLADO DE JUNTAS.</t>
  </si>
  <si>
    <t>PISO EN CONCRETO COLOR GRIS MR41 (280 Kg/Cm2) GRAVA 1" 28 DIAS  ESTAMPADO e=0.10m (INCLUYE SUMINISTRO Y COLOCACIÓN DE CONCRETO, JUEGO DE MOLDES,  DESMOLDANTE EN POLVO, CURADOR PARA CONCRETO, INCLUYE CORTE Y SELLADO DE JUNTAS.</t>
  </si>
  <si>
    <t>IMPRIMANTE Y PUENTE DE ADHERENCIA ENTRE CONCRETO FRESCO Y ENDURECIDO DE FRAGUADO LENTO. EPÓXICO DE PEGA CONCRETO NUEVO A VIEJO QUE CUMPLA CON LA NORMA ASTM C - 881 TIPO 5 GRADO II, Y LA COLOCACIÓN EN EL SITIO ESPECIFICADO EN LOS DISEÑOS. INCLUYE TODOS LOS COSTOS DE SUMINISTRO DE MATERIALES, EQUIPOS, TRANSPORTES, MANEJO, ALMACENAMIENTO, MANEJO DE DESPERDICIOS Y MANO DE OBRA.</t>
  </si>
  <si>
    <t>CORTE DE VARILLA DE DIÁMETRO VARIADO ENTRE 1/2" A 1 1/4".</t>
  </si>
  <si>
    <t>CANASTILLA PASAJUNTAS (INCLUYE SUMINISTRO Y FIJACIÓN)</t>
  </si>
  <si>
    <t>KG</t>
  </si>
  <si>
    <t>(DOVELAS) ACERO LISO PARA TRANSFERENCIA DE LOSAS D= 1 1/2" (NO INCLUYE CANASTILLA). SUMINISTRO E INSTALACIÓN.</t>
  </si>
  <si>
    <t>(DOVELAS) ACERO LISO PARA TRANSFERENCIA DE LOSAS D= 1" (NO INCLUYE CANASTILLA). SUMINISTRO E INSTALACIÓN.</t>
  </si>
  <si>
    <t>MALLA ELECTROSOLDADA 0.15X0.15M, D=5MM, 5MM (INCLUYE SUMINISTRO, FIJACIÓN E INSTALACIÓN)</t>
  </si>
  <si>
    <t>MALLA ELECTROSOLDADA 0.15X0.15M, D=6MM, 6MM (INCLUYE SUMINISTRO, FIJACIÓN E INSTALACIÓN)</t>
  </si>
  <si>
    <t>MALLA ELECTROSOLDADA 0.15X0.15M, D=7MM, 7MM (INCLUYE SUMINISTRO, FIJACIÓN E INSTALACIÓN)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</si>
  <si>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</si>
  <si>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05.PAVIMENTO FLEXIBLE</t>
  </si>
  <si>
    <t>8621P</t>
  </si>
  <si>
    <t>NOTA 4</t>
  </si>
  <si>
    <t>MEZCLA ASFÁLTICA EN CALIENTE DENSA MD25 CON CEMENTO ASFÁLTICO (Suministro, Extendido, Nivelación y Compactación mecanica con vibrocompactador y compactador de llantas)</t>
  </si>
  <si>
    <t>8613P</t>
  </si>
  <si>
    <t>MEZCLA ASFÁLTICA EN CALIENTE TIPO DENSO MD19 (Suministro, Extendido y Nivelación Manual y Compactación Mecanica)  Incluye: VIBRO COMPACTADOR BENITIN DE 1 TONELADA - INCLUYE OPERARIO Y COMBUSTIBLE</t>
  </si>
  <si>
    <t>6466P</t>
  </si>
  <si>
    <t>ATENCIÓN DE EMERGENCIAS CON MEZCLA ASFÁLTICA EN CALIENTE TIPO DENSO MD12 ASFALTO CONVENCIONAL 80-100 CON EMULSIÓN CRR-1 (CEMENTO ASFÁLTICO 80-100) (SUMINISTRO, EXTENDIDO, NIVELACIÓN Y COMPACTACIÓN MECANICA CON VIBROCOMPACTADOR Y COMPACTADOR DE LLANTAS) JORNADA NOCTURNA INCLUYE CARGUE Y DISPOSICIÓN DE ESCOMBROS.</t>
  </si>
  <si>
    <t>6472P</t>
  </si>
  <si>
    <t>MEZCLA ASFÁLTICA EN CALIENTE TIPO DENSO MD20 ASFALTO CONVENCIONAL 80-100 (SUMINISTRO, EXTENDIDO Y NIVELACIÓN MANUAL Y COMPACTACIÓN  MECANICA CON VIBROCOMPACTADOR BENITÍN DE 1 TONELADA Y COMPACTADOR DE LLANTAS INCLUYEN OPERARIO Y COMBUSTIBLE.</t>
  </si>
  <si>
    <t>FRESADO PAVIMENTO ASFÁLTICO (INCLUYE CARGUE) INCLUYE AGUA, PUNTAS. NO INCLUYE TRANSPORTE DE MAQUINARIA, TRANSPORTE DEL FRESADO NI DISPOSICIÓN FINAL).</t>
  </si>
  <si>
    <t>6315P</t>
  </si>
  <si>
    <t>MEZCLA ASFÁLTICA EN CALIENTE TIPO DENSO MD10 ASF CONVENCIONAL (CEMENTO ASFÁLTICO 60-70) (SUMINISTRO, EXTENDIDO Y NIVELACIÓN MANUAL Y COMPACTACIÓN MECANICA CON VIBROCOMPACTADOR BENITIN DE 1 TONELADA)</t>
  </si>
  <si>
    <t>6316P</t>
  </si>
  <si>
    <t>MEZCLA ASFALTICA EN CALIENTE TIPO DENSO MD12 ASF CONVENCIONAL CON CEMENTO ASFÁLTICO 60-70 (SUMINISTRO, EXTENDIDO Y NIVELACIÓN MANUAL Y COMPACTACIÓN MECANICA CON VIBROCOMPACTADOR BENITIN DE 1 TONELADA INCLUYE OPERARIO Y COMBUSTIBLE)</t>
  </si>
  <si>
    <t>FRESADO ESTABILIZADO AL 5% CON EMULSIÓN CRL-1 PARA ACCIÓN DE MOVILIDAD (INCLUYE MATERIAL PÉTREO DE ADICIÓN (ARENA DE RIO) - DISTANCIA A 28 KM.</t>
  </si>
  <si>
    <t>FRESADO ESTABILIZADO AL 5% CON EMULSIÓN CRL-1 PARA ACCION DE MOVILIDAD (INCLUYE MATERIAL PETREO DE ADICION (ARENA LAVADA) - DISTACIO A 28 KM.</t>
  </si>
  <si>
    <t>FRESADO ESTABILIZADO AL 5% CON EMULSIÓN CRL-1 PARA ACCIÓN DE MOVILIDAD (INCLUYE MATERIAL PÉTREO DE ADICIÓN (SUBBASE GRANULAR TIPO A - SBG A)) - DISTANCIA A 28 KM.</t>
  </si>
  <si>
    <t>PARCHEO CON PAVIMENTO ASFALTICO RECICLADO ESTABILIZADO AL 5% CON EMULSION CRL-1 PARA ACCION DE MOVILIDAD. SIN CORTE NI DEMOLICIÓN EXTENDIDO MANUAL. HASTA 28KM. HORARIO DIURNO.</t>
  </si>
  <si>
    <t>4712P</t>
  </si>
  <si>
    <t>MEZCLA ASFALTICA CON ASFALTO CAUCHO (SUMINISTRO, EXTENDIDO, NIVELACIÓN Y COMPACTACIÓN MECANICA)</t>
  </si>
  <si>
    <t>4857P</t>
  </si>
  <si>
    <t>IMPRIMACIÓN CON EMULSIÓN ASFÁLTICA CRL-1 (INCLUYE SUMINISTRO, BARRIDO DE SUPERFICIE Y RIEGO MECANICO).</t>
  </si>
  <si>
    <t>4486P</t>
  </si>
  <si>
    <t>MEZCLA ASFÁLTICA EN CALIENTE TIPO DENSO MD10 ASF CONVENCIONAL (CEMENTO ASFÁLTICO 80-100) (SUMINISTRO, EXTENDIDO Y NIVELACIÓN MANUAL Y COMPACTACIÓN MECANICA CON VIBROCOMPACTADOR BENITIN DE 1 TONELADA)</t>
  </si>
  <si>
    <t>4567P</t>
  </si>
  <si>
    <t>MEZCLA ASFÁLTICA EN CALIENTE TIPO DENSO MD12 ASF CONVENCIONAL CON CEMENTO ASFÁLTICO 80-100 (SUMINISTRO, EXTENDIDO Y NIVELACIÓN MANUAL Y COMPACTACIÓN MECANICA CON VIBROCOMPACTADOR BENITIN DE 1 TONELADA INCLUYE OPERARIO Y COMBUSTIBLE)</t>
  </si>
  <si>
    <t>3864P</t>
  </si>
  <si>
    <t>IMPRIMACION CON EMULSION ASFALTICA CRL-0 (SUMINISTRO, BARRIDO SUPERFICIE Y RIEGO MECANICO)</t>
  </si>
  <si>
    <t>3866P</t>
  </si>
  <si>
    <t>RIEGO DE LIGA CON EMULSION ASFALTICA CRR-1 (SUMINISTRO, BARRIDO SUPERFICIE Y RIEGO MECANICO)</t>
  </si>
  <si>
    <t>3867P</t>
  </si>
  <si>
    <t>RIEGO DE LIGA CON EMULSION ASFALTICA CRR-2 (SUMINISTRO, BARRIDO SUPERFICIE Y RIEGO MECANICO)</t>
  </si>
  <si>
    <t>4197P</t>
  </si>
  <si>
    <t>RIEGO DE LIGA CON EMULSION MODIFICADA CON POLIMEROS CRR-1M (SUMINISTRO, BARRIDO SUPERFICIE Y RIEGO MECANICO)</t>
  </si>
  <si>
    <t>4198P</t>
  </si>
  <si>
    <t>RIEGO DE LIGA CON EMULSION MODIFICADA CON POLIMEROS CRR-2M (SUMINISTRO, BARRIDO SUPERFICIE Y RIEGO MECANICO)</t>
  </si>
  <si>
    <t>06.URBANISMO Y ESPACIO PUBLICO</t>
  </si>
  <si>
    <t>CENEFA LINEAL EN LOSETA PREFABRICADA TÁCTIL ALERTA Y GUÍA A55 / A56 ANCHO 0.40m (SUMINISTRO E INSTALACIÓN. INCLUYE BASE EN ARENA DE NIVELACIÓN e= 4cm Y ARENA DE SELLO).</t>
  </si>
  <si>
    <t>BARANDA METALICA M-82 PREFABRICADA (INCLUYE INSTALACIÓN, DADOS DE CONCRETO 3000 PSI GRAVA COMÚN DE 0.20 X 0.20 MT Y PINTURA). SUMINISTRO E INSTALACION.</t>
  </si>
  <si>
    <t>CENEFA LINEAL EN LOSETA PREFABRICADA TÁCTIL ALERTA A57 / A58 ANCHO 0.20M COLOR AMARILLO. (SUMINISTRO E INSTALACIÓN. INCLUYE BASE EN ARENA DE NIVELACIÓN E= 4CM Y ARENA DE SELLO).</t>
  </si>
  <si>
    <t>CONCRETO PARA ANDENES, ESCOBEADO Y FUNDIDO EN SITIO E= 0,10 M. SUMINISTRO Y COLOCACIÓN.</t>
  </si>
  <si>
    <t>CENEFA EN LOSETA PREFABRICADA A58 GUIA (20X20X6) CM. SUMINISTRO E INSTALACIÓN. (INCLUYE 4CM DE MORTERO 1:5 HECHO EN OBRA PARA BASE Y ARENA DE PEÑA PARA SELLO)</t>
  </si>
  <si>
    <t>TAPA (REJILLA) PARA CAÑUELA A-124. DIMENSIONES: 600X300X100MM. (INCLUYE SUMINISTRO DE MATERIALES E INSTALACIÓN)</t>
  </si>
  <si>
    <t>PIEZA DE REMATE CURVA A115 PARA RAMPA VEHICULAR TIPO C (600X400X450MM). INCLUYE SUMINISTRO E INSTALACIÓN. INCLUYE 3CM DE MORTERO 1:5.</t>
  </si>
  <si>
    <t>CENEFA EN LOSETA PREFABRICADA A57 TÁCTIL ALERTA (20X20X6) CM. SUMINISTRO E INSTALACIÓN. (INCLUYE 4CM DE MORTERO 1:5 HECHO EN OBRA PARA BASE Y ARENA DE PEÑA PARA SELLO)</t>
  </si>
  <si>
    <t>CONSTRUCCIÓN DE BORDILLO EN CONCRETO MR36 FUNDIDO IN SITU. INCLUYE LA PREPARACIÓN DE LA SUPERFICIE DE APOYO</t>
  </si>
  <si>
    <t>ARENA DE RÍO PARA EMBOQUILLADO (INCLUYE SUMINISTRO, BARRIDO PARA SELLADO DE JUNTAS Y COMPACTACIÓN)</t>
  </si>
  <si>
    <t>PIEZA REMATE A105 PARA RAMPA TIPO A (SUMINISTRO E INSTALACIÓN. INCLUYE 3CM MORTERO 2000 PSI)</t>
  </si>
  <si>
    <t>SARDINEL ESPECIAL A 110 PARA RAMPA TIPO B (SUMINISTRO E INSTALACION. INCLUYE 3CM MORTERO 2000 PSI)</t>
  </si>
  <si>
    <t>CONSTRUCCIÓN DE ESCALERAS EN CONCRETO 3000 PSI GRAVA COMÚN. INCLUYE EXCAVACIÓN MANUAL, SUBBASE GRANULAR CLASE B, ACERO DE REFUERZO Y TRANSPORTE Y DISPOSICIÓN FINAL DE ESCOMBROS.</t>
  </si>
  <si>
    <t>ACERO LISO PARA TRANSFERENCIA DE LOSAS D= 1 1/4" (NO INCLUYE CANASTILLA). SUMINISTRO E INSTALACIÓN.</t>
  </si>
  <si>
    <t>SUBBASE GRANULAR PEATONAL SBG_PEA. SUMINISTRO, EXTENDIDO MANUAL, NIVELACIÓN, HUMEDECIMIENTO Y COMPACTACIÓN</t>
  </si>
  <si>
    <t>PISOS EN LOSETA PREFABRICADA A55 TÁCTIL ALERTA O A56 GUIA 40X40X6 CM. SUMINISTRO E INSTALACIÓN. (INCLUYE 4CM DE MORTERO 1:5 HECHO EN OBRA PARA BASE Y ARENA DE PEÑA PARA SELLO).</t>
  </si>
  <si>
    <t>SARDINEL ESPECIAL A100 PARA RAMPA TIPO A (SUMINISTRO E INSTALACIÓN. INCLUYE 3CM MORTERO 1:5)</t>
  </si>
  <si>
    <t>SARDINEL BAJO A85 PARA RAMPAS (SUMINISTRO E INSTALACIÓN. INCLUYE 3CM MORTERO 2000 PSI)</t>
  </si>
  <si>
    <t>CONSTRUCCIÓN DE FRANJA DE AJUSTE EN CONCRETO PREMEZCLADO GRAVA COMÚN 3000 PSI, ESPESOR PROMEDIO 10 CM..</t>
  </si>
  <si>
    <t>CAÑUELA TIPO A120 (SUMINISTRO E INSTALACIÓN. INCLUYE 3CM MORTERO 1:5)</t>
  </si>
  <si>
    <t>ADOQUIN DE CONCRETO TR. PESADO 20X10X8CM (SUMINISTRO E INSTALACIÓN. INCLUYE BASE 4CM ARENA NIVELACIÓN Y ARENA DE SELLO)</t>
  </si>
  <si>
    <t>CONCRETO 3000 PSI (HECHO EN OBRA 1:2:2 CON ARENA DE RÍO Y TRITURADO DE 3/4")</t>
  </si>
  <si>
    <t>BOLARDO EN HIERRO TIPO M63 (SUMINISTRO E INSTALACIÓN. INCLUYE BASE EN CONCRETO 1500 PSI, HECHO EN OBRA)</t>
  </si>
  <si>
    <t>CONCRETO 4000 PSI (HECHO EN OBRA CON ARENA DE RÍO Y TRITURADO DE 3/4")</t>
  </si>
  <si>
    <t>BORDILLO PREFABRICADO A80 (SUMINISTRO E INSTALACIÓN. INCLUYE 3CM MORTERO DE NIVELACIÓN 2000 PSI)</t>
  </si>
  <si>
    <t>CONCRETO 2000 PSI (HECHO EN OBRA 1:3:3 CON ARENA DE RÍO Y TRITURADO DE 3/4")</t>
  </si>
  <si>
    <t>SARDINEL TIPO A10 (SUMINISTRO E INSTALACIÓN. INCLUYE 3CM MORTERO 1:5)</t>
  </si>
  <si>
    <t>07.REDES DE ACUEDUCTO</t>
  </si>
  <si>
    <t>TAPON HD EXTREMO LISO D=4" (SUMINISTRO E INSTALACIÓN)</t>
  </si>
  <si>
    <t>TUBERIA PVC D=3" TIPO U.M. RDE 21 (SUMINISTRO E INSTALACIÓN)</t>
  </si>
  <si>
    <t>UNION GIBAULT D=4" (SUMINISTRO E INSTALACIÓN)</t>
  </si>
  <si>
    <t>TEE HD EXTREMO JUNTA HIDRÁULICA 8"X 4" (SUMINISTRO E INSTALACIÓN)</t>
  </si>
  <si>
    <t>EMPATE ORTOGONAL PVC - PVC 4"X4" (INCLUYE SUMINISTRO E INSTALACIÓN DE TEE HD, 3 UNIONES RÁPIDAS, TUBERÍA RDE 21)</t>
  </si>
  <si>
    <t>TUBERIA PVC D=6" TIPO U.M. RDE 21 (SUMINISTRO E INSTALACIÓN)</t>
  </si>
  <si>
    <t>VÁLVULA COMPUERTA ELÁSTICA HD DN Ø 4" PVC L.F. SUMINISTRO E INSTALACIÓN</t>
  </si>
  <si>
    <t>UNION DE REPARACION PVC TIPO U.M. D=4" (SUMINISTRO E INSTALACIÓN)</t>
  </si>
  <si>
    <t>VÁLVULA COMPUERTA ELÁSTICA HD DN Ø 8" PVC L.F. SUMINISTRO E INSTALACIÓN</t>
  </si>
  <si>
    <t>RELLENO PARA REDES EN ARENA DE PEÑA (SUMINISTRO, EXTENDIDO, HUMEDECIMIENTO Y COMPACTACIÓN)</t>
  </si>
  <si>
    <t>ACOMETIDA DOMICILIARIA DE 1/2" CON COLLAR DE DERIVACION DE 4" X 1/2". SUMINISTRO E INSTALACION. (INCLUYE TUBERIA PF, REGISTROS Y ACCESORIOS, LONGITUD PROMEDIO DE 6.5M, INCLUYE CAJILLA EN POLIPROPILENO PARA MEDIDOR)</t>
  </si>
  <si>
    <t>REDUCCION HD 4"X 3" J.H. (SUMINISTRO E INSTALACIÓN).</t>
  </si>
  <si>
    <t>UNION PVC TIPO U.M. D= 4" (SUMINISTRO E INSTALACIÓN)</t>
  </si>
  <si>
    <t>CODO HD 45° EXTREMO LISO PARA PVC D=4" (SUMINISTRO E INSTALACIÓN)</t>
  </si>
  <si>
    <t>ACOPLE UNIVERSAL, UNION ALFA O MULTIUSOS D=4" (SUMINISTRO E INSTALACIÓN)</t>
  </si>
  <si>
    <t>TEE HD EXTREMO LISO 4"X4" (SUMINISTRO E INSTALACIÓN)</t>
  </si>
  <si>
    <t>CODO HD 90° EXTREMO LISO PARA PVC D=4" (SUMINISTRO E INSTALACIÓN)</t>
  </si>
  <si>
    <t>VALVULA COMPUERTA ELASTICA VASTAGO NO ASCENDENTE EXTREMO LISO D=4" (SUMINISTRO E INSTALACIÓN)</t>
  </si>
  <si>
    <t>TUBERIA PVC D=3" TIPO U.M. RDE 32.5 (SUMINISTRO E INSTALACIÓN)</t>
  </si>
  <si>
    <t>EXCAVACION MECANICA PARA REDES PROFUNDIDAD 0M - 3.5M (INCLUYE CARGUE)</t>
  </si>
  <si>
    <t>UNION DE REPARACION HD EL D=3" (SUMINISTRO E INSTALACIÓN)</t>
  </si>
  <si>
    <t>CAJA PARA VALVULA 0.4X0.4M H=0.8M (INCLUYE MARCO Y TAPA)</t>
  </si>
  <si>
    <t>UNION PVC TIPO U.M. D= 3" (SUMINISTRO E INSTALACIÓN)</t>
  </si>
  <si>
    <t>VALVULA COMPUERTA ELASTICA VASTAGO NO ASCENDENTE EXTREMO LISO D=8" (SUMINISTRO E INSTALACIÓN)</t>
  </si>
  <si>
    <t>TUBERIA PVC D=4" TIPO U.M. RDE 21 (SUMINISTRO E INSTALACIÓN)</t>
  </si>
  <si>
    <t>08.REDES ALCANTARILLADO SANITARIO</t>
  </si>
  <si>
    <t>REHABILITACIÓN RED DE ALCANTARILLADO CON TECNOLOGÍA CIPP, CON RESINA DE GRP CURADA CON RAYOS UV, INCLUYE EQUIPOS, MATERIALES, TRANSPORTES Y PERSONAL. DIÁMETRO 18”. ESPESOR 4.20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</si>
  <si>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10”.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</si>
  <si>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20”. ESPESOR 4.90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</si>
  <si>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12”.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</si>
  <si>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24”. ESPESOR 5.60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</si>
  <si>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14”. ESPESOR 3,50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</si>
  <si>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8”.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</si>
  <si>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REHABILITACIÓN RED DE ALCANTARILLADO CON TECNOLOGÍA CIPP, CON RESINA DE GRP CURADA CON RAYOS UV, INCLUYE EQUIPOS, MATERIALES, TRANSPORTES Y PERSONAL. DIÁMETRO 16”. ESPESOR 4.20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</si>
  <si>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TAPAS PARA POZO DE INSPECCIÓN. SUMINISTRO E INSTALACIÓN.</t>
  </si>
  <si>
    <t>INSPECCIÓN DE REDES DE ALCANTARILLADO CON SISTEMAS CCTV PARA DIÁMETROS ENTRE 6" A 36"</t>
  </si>
  <si>
    <t>EXCAVACION MECANICA PARA REDES PROFUNDIDAD MAYORES A 3.5M (INCLUYE CARGUE).</t>
  </si>
  <si>
    <t>TUBERIA PVC U.M. EXT CORRUGADO/INT LISO U.M. NORMA NTC 3722-1 D=10" (INCLUYE SUMINISTRO E INSTALACIÓN)</t>
  </si>
  <si>
    <t>TRITURADO 3/4" E=0.1M. SUMINISTRO E INSTALACION.</t>
  </si>
  <si>
    <t>Proyecto: factibilidad, estudios y diseños de aceras, ciclorutas y conexiones peatonales en la ciudad de Bogotá D.C. Procesos de contratación vigencia 2020. ALQUILER DE ENTIBADO METÁLICO TIPO CAJÓN (E1A-E1B) O DESLIZANTE (E2) SEGÚN NORMA EAAB (Incluye colocación y transporte)</t>
  </si>
  <si>
    <t>M2/MES</t>
  </si>
  <si>
    <t>YEE PVC SANITARIA D=6"X 8" (INCLUYE SUMINISTRO E INSTALACIÓN).</t>
  </si>
  <si>
    <t>CONO POZO INSPECCIÓN PREFABRICADO D= 1.20M X 0.60M E=0.10M H= 0.75M (INC. SUMINISTRO E INST. NO INC. ARO DE AJUSTE, ARO-TAPA Y TAPA)</t>
  </si>
  <si>
    <t>TUBERIA PVC U.M. EXT/INT LISO NORMA NTC 5070 D=39" (INCLUYE SUMINISTRO E INSTALACIÓN)</t>
  </si>
  <si>
    <t>LIMPIEZA DE POZOS (INCLUYE CARGUE, RETIRO Y DISPOSICIÓN FINAL DE SOBRANTES)</t>
  </si>
  <si>
    <t>LIMPIEZA DE SUMIDEROS (INCLUYE CARGUE, RETIRO Y DISPOSICIÓN FINAL DE SOBRANTES)</t>
  </si>
  <si>
    <t>TUBERIA PVC SANITARIA D=6" TIPO U.S. (INCLUYE SUMINISTRO E INSTALACIÓN)</t>
  </si>
  <si>
    <t>RELLENO EN RECEBO COMUN (SUMINISTRO E INSTALACIÓN EXTENDIDO MANUAL, HUMEDECIMIENTO Y COMPACTACIÓN TRANSPORTE A 28 KM).</t>
  </si>
  <si>
    <t>ENTIBADO TIPO ED1, DISCONTINUO EN MADERA (INCLUYE SUMINISTRO E INSTALACIÓN)</t>
  </si>
  <si>
    <t>TUBERIA PVC U.M. EXT/INT LISO NORMA NTC 5070 D=33" (INCLUYE SUMINISTRO E INSTALACIÓN)</t>
  </si>
  <si>
    <t>EXCAVACION MANUAL PARA REDES PROFUNDIDAD 2M - 3.50M (INCLUYE CARGUE)</t>
  </si>
  <si>
    <t>TUBERIA PVC U.M. EXT/INT LISO NORMA NTC 5070 D=27" (INCLUYE SUMINISTRO E INSTALACIÓN)</t>
  </si>
  <si>
    <t>CILINDRO POZO INSPECCION PREFABRICADO D=1.2M, H=0.25M, E=0.10M (INCLUYE SUMINISTRO E INSTALACIÓN. NO INC. ARO DE AJUSTE)</t>
  </si>
  <si>
    <t>BASE GRANULAR CLASE A (BG_A) (SUMINISTRO, EXTENDIDO, NIVELACIÓN, HUMEDECIMIENTO Y COMPACTACIÓN CON VIBROCOMPACTADOR)</t>
  </si>
  <si>
    <t>CILINDRO POZO INSPECCION PREFABRICADO D=1.2M, H=0.5M, E=0.10M (INCLUYE SUMINISTRO E INSTALACIÓN. NO INC. ARO DE AJUSTE)</t>
  </si>
  <si>
    <t>PLACA FONDO D=1.70M POZO INSPEC. (PREFABRICADA. INCL. SUMIN, INST.)</t>
  </si>
  <si>
    <t>PLACA CUBIERTA D=1.70M POZO INSPEC. (PREFABRICADA. INCLUYE SUMINISTRO E INSTALACIÓN. INCLUYE TAPA)</t>
  </si>
  <si>
    <t>CAJA DE INSPECCIÓN DE 0.6X0.6M (H=0.6M. INCLUYE SUMINISTRO Y CONSTRUCCIÓN. INCLUYE MARCO Y TAPA. NO INC. BASE Y CAÑUELA)</t>
  </si>
  <si>
    <t>CILINDRO POZO INSPECCION PREFABRICADO D=1.2M, H=1M, E=0.10M (INCLUYE SUMINISTRO E INSTALACIÓN. NO INC. ARO DE AJUSTE)</t>
  </si>
  <si>
    <t>CILINDRO POZO INSP. EN MAMPOSTERIA E=0.25M (INC. SUMIN. Y CONST, ACERO PARA ESCALERAS, GEOTEXTIL Y PAÑETE IMPERMEAB.)</t>
  </si>
  <si>
    <t>RELLENO PARA REDES EN SUBBASE GRANULAR B-400 (SUMINISTRO, EXTENDIDO, HUMEDECIMIENTO Y COMPACTACIÓN)</t>
  </si>
  <si>
    <t>TUBERIA PVC D=10" TIPO U.M. RDE 21 (SUMINISTRO E INSTALACIÓN)</t>
  </si>
  <si>
    <t>RELLENO EN MATERIAL SELECCIONADO PROVENIENTE DE LA EXCAVACIÓN (EXTENDIDO MANUAL, HUMEDECIMIENTO Y COMPACTACIÓN)</t>
  </si>
  <si>
    <t>TUBERIA PVC U.M. EXT CORRUGADO/INT LISO U.M. NORMA NTC 3722-1 D=20" (INCLUYE SUMINISTRO E INSTALACIÓN)</t>
  </si>
  <si>
    <t>TUBERIA PVC U.M. EXT CORRUGADO/INT LISO U.M. NORMA NTC 3722-1 D=16" (INCLUYE SUMINISTRO E INSTALACIÓN)</t>
  </si>
  <si>
    <t>TUBERIA PVC U.M. EXT CORRUGADO/INT LISO U.M. NORMA NTC 3722-1 D=12" (INCLUYE SUMINISTRO E INSTALACIÓN)</t>
  </si>
  <si>
    <t>TUBERIA PVC U.M. EXT CORRUGADO/INT LISO U.M. NORMA NTC 3722-1 D=8" (INCLUYE SUMINISTRO E INSTALACIÓN)</t>
  </si>
  <si>
    <t>EXCAVACION MANUAL PARA REDES PROFUNDIDAD 0M - 2M (INCLUYE CARGUE)</t>
  </si>
  <si>
    <t>09.REDES ALCANTARILLADO PLUVIAL</t>
  </si>
  <si>
    <t>SUMIDERO ALCANTARILLADO PLUVIAL EN VIA NS-047-1V4 EAAB</t>
  </si>
  <si>
    <t>SEÑAL DOBLE DE 60 CM, REFLECTIVO ALTA DENSIDAD TIPO IV EN LAMINA GALVANIZADA, PEDESTAL EN ANGULO SP/SR/SI. (INCLUYE SUMINISTRO E INSTALACIÓN)</t>
  </si>
  <si>
    <t>RETIRO DE CANECAS, SEÑALES DE TRANSITO PROTECTORES DE ARBOLES. INCLUYE REPARACION DEL SITIO EN CONCRETO DE 1500 PSI HECHO EN OBRA Y SUBBASE GRANULAR B-200 E=0.35M DISTANCIA DE TRANSPORTE 21KM.</t>
  </si>
  <si>
    <t>MARCO REJILLA SUMIDERO LATERAL 100 X 65 (SUMINISTRO E INSTALACIÓN)</t>
  </si>
  <si>
    <t>MARCO Y TAPA PARA SUMIDERO 0.52M X 0.90M EAAB NP-023. SUMINISTRO E INSTALACIÓN</t>
  </si>
  <si>
    <t>SUMIDERO LATERAL SL-150A, H=1.7M (FUNDIDO EN SITIO, CONCRETO PREMEZCLADO. INCL. SUMIN, FORM, REF. Y CONSTR. INCL. TAPA)</t>
  </si>
  <si>
    <t>CONSTRUCCIÓN CANALETA DE AGUAS LLUVIAS DE 0.4 X 0.4 MT EN CONCRETO DE 3000 PSI GRAVA COMÚN INCLUYE REJILLA PREFABRICADA.</t>
  </si>
  <si>
    <t>TUBERIA PVC U.M. EXT/INT LISO NORMA NTC 5070 D=24" (INCLUYE SUMINISTRO E INSTALACIÓN)</t>
  </si>
  <si>
    <t>TUBERIA PVC U.M. EXT CORRUGADO/INT LISO U.M. NORMA NTC 3722-1 D=36" (INCLUYE SUMINISTRO E INSTALACIÓN)</t>
  </si>
  <si>
    <t>SUMIDERO LATERAL SL-100, H=1.25M (FUNDIDO EN SITIO, CONCRETO PREMEZCLADO. INCL. SUMIN, FORM, REF. Y CONSTR. INCL. TAPA)</t>
  </si>
  <si>
    <t>TUBERIA PVC U.M. EXT CORRUGADO/INT LISO U.M. NORMA NTC 3722-1 D=14" (INCLUYE SUMINISTRO E INSTALACIÓN)</t>
  </si>
  <si>
    <t>TUBERIA PVC U.M. EXT CORRUGADO/INT LISO U.M. NORMA NTC 3722-1 D=18" (INCLUYE SUMINISTRO E INSTALACIÓN)</t>
  </si>
  <si>
    <t>10.REDES SECAS</t>
  </si>
  <si>
    <t>CAMARA TIPO "D" COLOMBIA TELECOMUNICACIONES DIBUJO CT-042</t>
  </si>
  <si>
    <t>CAMARA TIPO "2XA" COLOMBIA TELECOMUNICACIONES DIBUJO CT-040</t>
  </si>
  <si>
    <t>CONSTRUCCION DE CAJA DE INSPECCION DOBLE PARA CANALIZACION DE M.T. Y B.T. TIPO CS 276  (Norma 2018) (Incluye concreto de base, muro de espesor 0.25m, pañete, recebo comun, escalera de gato, concreto para viga de soporte de marco y marco y tapa. No incluye tuberia). Medidas Externas: 1.69 x 1.99m. Medidas Internas: 1.19 x 1.49m. Altura total: 1.85m</t>
  </si>
  <si>
    <t>CAMARA DE INSPECCIÓN T-18A ETB (H=2.3M. INCLUYE BASE, MUROS, CUBIERTA, ARO-BASE Y ARO-TAPA)</t>
  </si>
  <si>
    <t>BAJANTE GALVANIZADA TIPO PESADO CONDUIT L=6M, Ø=2". (SUMINISTRO E INSTALACIÓN)</t>
  </si>
  <si>
    <t>CAJA DE PASO DOBLE EN CALZADA ETB (INCLUYE BASE, MUROS, PAÑETE, BORDILLO PERIMETRAL, MARCO Y TAPA). MEDIDAS EXTERNAS: 1.80 X 1.01M. MEDIDAS INTERNAS: 1.30 X 0.50M. ALTURA: 1.33M.</t>
  </si>
  <si>
    <t>11.SEÑALIZACION Y DEMARCACIÓN</t>
  </si>
  <si>
    <t>SEÑAL VERTICAL GRUPO DE REGLAMENTARIAS TIPO CIRCULO (D= 60CM). CON PLAQUETA INCLUYE POSTE. SUMINISTRO E INSTALACIÓN.</t>
  </si>
  <si>
    <t>SEÑAL VERTICAL GRUPO DE REGLAMENTARIAS SR-01 TIPO OCTAGONO CON ALTURA DE 75CM. INCLUYE SUMINISTRO E INSTALACION.</t>
  </si>
  <si>
    <t>DEMARCACION DE LINEA SENDERO PEATONAL. AREA: 0.30 M2. (E= 2.3 MILS, TERMOPLASTICA. SUMINISTRO Y APLICACION CON EQUIPO. INCLUYE MICROESFERAS.</t>
  </si>
  <si>
    <t>DEMARCACION DE LINEA DE PARE. AREA: 0.60 M2. (E= 2.3 MILS, TERMOPLASTICA. SUMINISTRO Y APLICACION CON EQUIPO. INCLUYE MICROESFERAS.</t>
  </si>
  <si>
    <t>FLECHA DIRECCIONAL "DE FRENTE A LA DERECHA" (E=2.3MM,TERMOPLÁSTICA. INC. SUMIN. Y APLIC. CON EQUIPO. INC. MICROESFERAS). MARCA VIAL PARA VELOCIDADES MENORES O IGUALES A 60 KM/H AREA DE LA MARCA: 2.18M2</t>
  </si>
  <si>
    <t>ESTOPEROLES METÁLICOS CON ESPIGO. INCLUYE SUMINISTRO E INSTALACIÓN.</t>
  </si>
  <si>
    <t>DEMARCACION TEXTO VEL MAX 30 KM/H AREA: 4.80 M2. (E=2.3 MM, TERMOPLASTICA INCLUYE SUMINISTRO Y APLICACIÓN CON EQUIPO. INCLUYE MICROESFERAS).</t>
  </si>
  <si>
    <t>SEÑAL VERTICAL GRUPO DE INFORMATIVAS TIPO RECTANGULO (60CM X 75CM). INCLUYE SUMINISTRO E INSTALACION.</t>
  </si>
  <si>
    <t>DEMARCACION METROS LINEALES EN PINTURA TIPO TRAFICO BASE SOLVENTE COLOR BLANCO Y/O AMARILLA. LINEA 0.12M Y 16 MILS (INCLUYE SUMINISTRO Y APLICACION CON EQUIPO. INCLUYE MICROESFERAS TIPO DROP ON PARA LINEAS DE BORDE Y DE CARRIL). HORARIO NOCTURNO</t>
  </si>
  <si>
    <t>TACHA REFLECTIVA BIDIRECCIONAL (INCLUYE SUMINISTRO E INSTALACIÓN).</t>
  </si>
  <si>
    <t>FLECHA DIRECCIONAL "DE FRENTE" (E=2.3MM,TERMOPLÁSTICA. INC. SUMINISTRO Y APLICACIÓN CON EQUIPO. INC MICROESFERAS). MARCA VIAL PARA VELOCIDADES MENORES O IGUALES A 60 KM/H AREA DE LA MARCA: 1.20 M2.</t>
  </si>
  <si>
    <t>LAVADO Y MANTENIMIENTO DE SEÑAL VERTICAL (SP-SR-SI), SENCILLA O DUPLEX.</t>
  </si>
  <si>
    <t>DEMARCACION LINEA DISCONTINUA A=0.12M (E=15 MILS, ACRÍLICA BASE AGUA. INC. SUMIN. Y APLIC. CON EQUIPO. INC MICROESFERAS)</t>
  </si>
  <si>
    <t>11.ESTRUCTURAS</t>
  </si>
  <si>
    <t>MURO DE CONTENCIÓN EN CONCRETO 4000 PSI PREMEZCLADO, GRAVA COMÚN.  (Incluye suministro, formaleteo, bombeo, colocación y curado. No incl. Refuerzo). Para trabajos en altura mayor a 1.50m.</t>
  </si>
  <si>
    <t xml:space="preserve">SUBTOTAL OBRAS </t>
  </si>
  <si>
    <t>SUBTOTAL OBRAS</t>
  </si>
  <si>
    <t>COMPONENTE GESTIÓN AMBIENTAL Y SST (INCLUYE A.I.U.) - VALOR NO OFERTABLE</t>
  </si>
  <si>
    <t>GLB</t>
  </si>
  <si>
    <t>COMPONENTE GESTIÓN SOCIAL (INCLUYE A.I.U.) - VALOR NO OFERTABLE</t>
  </si>
  <si>
    <t>COMPONENTE PLAN DE MANEJO DE TRAFICO - PMT (INCLUYE A.I.U.) - VALOR NO OFERTABLE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</si>
  <si>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</si>
  <si>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</si>
  <si>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</si>
  <si>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</si>
  <si>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</si>
  <si>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</si>
  <si>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</si>
  <si>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</si>
  <si>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</si>
  <si>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</si>
  <si>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PRECIO AJUSTADO POR ACTUALIZACIÓN PRECIOS DE LISTA VENTA DE ASFALTO PUBLICADO POR ECOPETROL EL 14/02/2023</t>
    </r>
  </si>
  <si>
    <t xml:space="preserve">UTILIDAD
</t>
  </si>
  <si>
    <t>U=</t>
  </si>
  <si>
    <t>TOTAL A.I.U</t>
  </si>
  <si>
    <t>A.I.U.=</t>
  </si>
  <si>
    <t>No.</t>
  </si>
  <si>
    <t>CIV</t>
  </si>
  <si>
    <t>FICHA</t>
  </si>
  <si>
    <t>TRAMO</t>
  </si>
  <si>
    <t>DESDE</t>
  </si>
  <si>
    <t>HASTA</t>
  </si>
  <si>
    <t>ELEMENTO</t>
  </si>
  <si>
    <t>PK-ID</t>
  </si>
  <si>
    <t>TIPO DE INTERVENCIÓN</t>
  </si>
  <si>
    <t>SUPERFICIE</t>
  </si>
  <si>
    <t>COSTO</t>
  </si>
  <si>
    <t>TIPO VIA</t>
  </si>
  <si>
    <t>Elem Principal</t>
  </si>
  <si>
    <t>ANCHO</t>
  </si>
  <si>
    <t>LONGITUD</t>
  </si>
  <si>
    <t>ÁREA</t>
  </si>
  <si>
    <t>Si</t>
  </si>
  <si>
    <t>CLL 161 C</t>
  </si>
  <si>
    <t>KR 59</t>
  </si>
  <si>
    <t>KR 62</t>
  </si>
  <si>
    <t>CALZADA</t>
  </si>
  <si>
    <t>Rehabilitación</t>
  </si>
  <si>
    <t>Rígido</t>
  </si>
  <si>
    <t>Local</t>
  </si>
  <si>
    <t>Vía</t>
  </si>
  <si>
    <t>TV 127 C</t>
  </si>
  <si>
    <t>DG 139 A BIS</t>
  </si>
  <si>
    <t>DG 139 B</t>
  </si>
  <si>
    <t>Flexible</t>
  </si>
  <si>
    <t>DG 140</t>
  </si>
  <si>
    <t>CLL 152 B</t>
  </si>
  <si>
    <t>KR 114B</t>
  </si>
  <si>
    <t>KR 114D</t>
  </si>
  <si>
    <t>Reconstrucción</t>
  </si>
  <si>
    <t>KR 51</t>
  </si>
  <si>
    <t>CLL 128</t>
  </si>
  <si>
    <t>CLL 128 A</t>
  </si>
  <si>
    <t>CLL 148</t>
  </si>
  <si>
    <t>CRA 102 B</t>
  </si>
  <si>
    <t>CRA 103 B</t>
  </si>
  <si>
    <t>KR 98</t>
  </si>
  <si>
    <t>CLL 136</t>
  </si>
  <si>
    <t>CLL 137A</t>
  </si>
  <si>
    <t>Mantenimiento Periodico</t>
  </si>
  <si>
    <t>KR 156A</t>
  </si>
  <si>
    <t>CLL 132 A</t>
  </si>
  <si>
    <t>CLL 132 D</t>
  </si>
  <si>
    <t>CLL 132 BIS</t>
  </si>
  <si>
    <t>CLL 132</t>
  </si>
  <si>
    <t>KR 54D</t>
  </si>
  <si>
    <t>CLL 167 A</t>
  </si>
  <si>
    <t>CLL 168</t>
  </si>
  <si>
    <t>CLL 132 B BIS A</t>
  </si>
  <si>
    <t>CRA 126 D</t>
  </si>
  <si>
    <t>TV 127</t>
  </si>
  <si>
    <t>TV 126 D</t>
  </si>
  <si>
    <t>CLL 133</t>
  </si>
  <si>
    <t>CLL 135</t>
  </si>
  <si>
    <t>Mantenimiento Rutinario</t>
  </si>
  <si>
    <t>CLL 137 BIS</t>
  </si>
  <si>
    <t>CRA 103</t>
  </si>
  <si>
    <t>CRA 103 C</t>
  </si>
  <si>
    <t>CLL 145 A</t>
  </si>
  <si>
    <t>CRA 90 A</t>
  </si>
  <si>
    <t>CRA 91</t>
  </si>
  <si>
    <t>KR 90 A</t>
  </si>
  <si>
    <t>LINDERO NORTE</t>
  </si>
  <si>
    <t>LINDERO SUR</t>
  </si>
  <si>
    <t>KR 57 B</t>
  </si>
  <si>
    <t>CLL 131 B</t>
  </si>
  <si>
    <t>CLL 142</t>
  </si>
  <si>
    <t>KR 109</t>
  </si>
  <si>
    <t>KRA 109 A</t>
  </si>
  <si>
    <t>BAHÍA</t>
  </si>
  <si>
    <t>KRA 109 B</t>
  </si>
  <si>
    <t>KRA 109 C</t>
  </si>
  <si>
    <t>CLL 129 D</t>
  </si>
  <si>
    <t>KR 121 C</t>
  </si>
  <si>
    <t>KR 121</t>
  </si>
  <si>
    <t>TRV 120 A</t>
  </si>
  <si>
    <t>KR 120</t>
  </si>
  <si>
    <t>CLL 141</t>
  </si>
  <si>
    <t>KR 101 B</t>
  </si>
  <si>
    <t>KR 101 C</t>
  </si>
  <si>
    <t>KR 102</t>
  </si>
  <si>
    <t>KR 102 A</t>
  </si>
  <si>
    <t>CLL 168 A</t>
  </si>
  <si>
    <t>KR 73 A</t>
  </si>
  <si>
    <t>KR 74 A</t>
  </si>
  <si>
    <t>CLL 143 A</t>
  </si>
  <si>
    <t>KR 127 D</t>
  </si>
  <si>
    <t>KR 128</t>
  </si>
  <si>
    <t>KR 98 B</t>
  </si>
  <si>
    <t>CLL 147</t>
  </si>
  <si>
    <t>CLL 147 C</t>
  </si>
  <si>
    <t>KR 114</t>
  </si>
  <si>
    <t>CLL 147 A</t>
  </si>
  <si>
    <t>AV SUBA</t>
  </si>
  <si>
    <t>KR 111</t>
  </si>
  <si>
    <t>CLL 142 C</t>
  </si>
  <si>
    <t>CLL 143</t>
  </si>
  <si>
    <t>CLL 142 B</t>
  </si>
  <si>
    <t>CLL 142 A</t>
  </si>
  <si>
    <t>CLL 169 A</t>
  </si>
  <si>
    <t>KR 67</t>
  </si>
  <si>
    <t>KR 68</t>
  </si>
  <si>
    <t>CLL 146 A</t>
  </si>
  <si>
    <t>CALLE 146</t>
  </si>
  <si>
    <t>KR 81 BIS</t>
  </si>
  <si>
    <t>KR 81 A</t>
  </si>
  <si>
    <t>LINDERO</t>
  </si>
  <si>
    <t>KR 70 D</t>
  </si>
  <si>
    <t>CLL 98 A</t>
  </si>
  <si>
    <t>CLL 98 B</t>
  </si>
  <si>
    <t>KR 99</t>
  </si>
  <si>
    <t>ANDÉN</t>
  </si>
  <si>
    <t>Anden</t>
  </si>
  <si>
    <t>Total</t>
  </si>
  <si>
    <t>COSTO DIRECTO OBRA</t>
  </si>
  <si>
    <t>ADMINISTRACIÓN (A)</t>
  </si>
  <si>
    <t>IMPREVISTOS (I)</t>
  </si>
  <si>
    <t>UTILIDAD (U)</t>
  </si>
  <si>
    <t>AIU</t>
  </si>
  <si>
    <t>SUBTOTAL COMPONENTE OBRA</t>
  </si>
  <si>
    <t>SUBTOTAL COMPONENTES DIFERENTES A OBRA</t>
  </si>
  <si>
    <t>PROVISIÓN PARA ACCIONES DE MOVILIDAD Y ATENCIONES DE EMERGENCIA</t>
  </si>
  <si>
    <t>TOTAL CONTRATO OBRA</t>
  </si>
  <si>
    <t>A</t>
  </si>
  <si>
    <t>VALOR CONTRATO CONSERVACION OBRA</t>
  </si>
  <si>
    <t>B</t>
  </si>
  <si>
    <t>C= A+B</t>
  </si>
  <si>
    <t>D</t>
  </si>
  <si>
    <t>E=D-C</t>
  </si>
  <si>
    <t>ÍTEM</t>
  </si>
  <si>
    <t>COD IDU</t>
  </si>
  <si>
    <t>CARGO</t>
  </si>
  <si>
    <t>CANT</t>
  </si>
  <si>
    <t>CATEGORÍA</t>
  </si>
  <si>
    <t>INICIO</t>
  </si>
  <si>
    <t>OBRA</t>
  </si>
  <si>
    <t>RECIBO</t>
  </si>
  <si>
    <t>DED INICIO</t>
  </si>
  <si>
    <t>DED OBR</t>
  </si>
  <si>
    <t>DED RECB</t>
  </si>
  <si>
    <t>Promedio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</si>
  <si>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</si>
  <si>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</si>
  <si>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</si>
  <si>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</si>
  <si>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</si>
  <si>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</si>
  <si>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</si>
  <si>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</si>
  <si>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</si>
  <si>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</si>
  <si>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</si>
  <si>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</si>
  <si>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Inicio</t>
  </si>
  <si>
    <t>PERSONAL PROFESIONAL (Ingenieros y Otros)</t>
  </si>
  <si>
    <t>TARIFA MES - PROFESIONAL CATEGORÍA 4 (NO INCLUYE FACTOR DE PRESTACIONES)</t>
  </si>
  <si>
    <t>DIRECTOR DE OBRA</t>
  </si>
  <si>
    <t>TARIFA MES - PROFESIONAL CATEGORÍA 6 (NO INCLUYE FACTOR DE PRESTACIONES)</t>
  </si>
  <si>
    <t>RESIDENTE DE OBRA</t>
  </si>
  <si>
    <t>ESPECIALISTA EN DISEÑO GEOMETRICO</t>
  </si>
  <si>
    <t>ESPECIALISTA EN URBANISMO Y ESPACIO PÚBLICO</t>
  </si>
  <si>
    <t>ARQUITECTO APOYO EN DISEÑO URBANO</t>
  </si>
  <si>
    <t>ESPECIALISTA EN GEOTECNIA</t>
  </si>
  <si>
    <t>ESPECIALISTA EN PAVIMENTOS</t>
  </si>
  <si>
    <t>ESPECIALISTA REDES HIDROSANITARIAS</t>
  </si>
  <si>
    <t>ESPECIALISTA EN ESTRUCTURAS</t>
  </si>
  <si>
    <t>PROFESIONAL EN PRESUPUESTO Y PROGRAMACIÓN</t>
  </si>
  <si>
    <t>PROFESIONAL EN REDES SECAS</t>
  </si>
  <si>
    <t>INGENIERO ESPECIALISTA EN SIG-CAD</t>
  </si>
  <si>
    <t>PERSONAL TÉCNICO Y PERSONAL AUXILIAR</t>
  </si>
  <si>
    <t>TARIFA MES - PERSONAL TÉCNICO - AUXILIAR DE INGENIERÍA (NO INCLUYE FACTOR DE PRESTACIONES)</t>
  </si>
  <si>
    <t>AUXILIAR DE INGENIERÍA</t>
  </si>
  <si>
    <t>N/A</t>
  </si>
  <si>
    <t>TARIFA MES - PERSONAL TÉCNICO - INSPECTOR 1 (NO INCLUYE FACTOR DE PRESTACIONES)</t>
  </si>
  <si>
    <t>TÉCNICO INSPECTOR</t>
  </si>
  <si>
    <t>TARIFA MES - PERSONAL TÉCNICO - TOPÓGRAFO INSPECTOR (NO INCLUYE FACTOR DE PRESTACIONES)</t>
  </si>
  <si>
    <t>TOPOGRAFO INSPECTOR</t>
  </si>
  <si>
    <t>TARIFA MES - PERSONAL AUXILIAR TÉCNICO - CADENERO 1 (NO INCLUYE FACTOR DE PRESTACIONES)</t>
  </si>
  <si>
    <t>CADENERO 1</t>
  </si>
  <si>
    <t>TARIFA MES - PERSONAL AUXILIAR TÉCNICO - CADENERO 2 (NO INCLUYE FACTOR DE PRESTACIONES)</t>
  </si>
  <si>
    <t>CADENERO 2</t>
  </si>
  <si>
    <t>TARIFA MES - PERSONAL TÉCNICO - LABORATORISTA INSPECTOR (NO INCLUYE FACTOR DE PRESTACIONES)</t>
  </si>
  <si>
    <t>LABORATORISTA INSPECTOR</t>
  </si>
  <si>
    <t>TARIFA MES - PERSONAL TÉCNICO - DIBUJANTE 1 (NO INCLUYE FACTOR DE PRESTACIONES)</t>
  </si>
  <si>
    <t>DIBUJANTE</t>
  </si>
  <si>
    <t>NA</t>
  </si>
  <si>
    <t>TARIFA MES - PERSONAL AUXILIAR TÉCNICO - CONDUCTOR O MOTORISTA (NO INCLUYE FACTOR DE PRESTACIONES)</t>
  </si>
  <si>
    <t>CONDUCTOR</t>
  </si>
  <si>
    <t>PERSONAL ADMINISTRATIVO</t>
  </si>
  <si>
    <t>TARIFA MES - PERSONAL ADMINISTRATIVO - ADMINISTRADOR (NO INCLUYE FACTOR DE PRESTACIONES)</t>
  </si>
  <si>
    <t>ADMINISTRADOR</t>
  </si>
  <si>
    <t>TARIFA MES - PERSONAL ADMINISTRATIVO - AUXILIAR ADMINISTRATIVO-ALMACENISTA (NO INCLUYE FACTOR DE PRESTACIONES)</t>
  </si>
  <si>
    <t>ALMACENISTA</t>
  </si>
  <si>
    <t>TARIFA MES - PERSONAL ADMINISTRATIVO - SECRETARIA 1 (NO INCLUYE FACTOR DE PRESTACIONES)</t>
  </si>
  <si>
    <t>SECRETARIA 1</t>
  </si>
  <si>
    <t>TARIFA MES - PERSONAL ADMINISTRATIVO - SECRETARIA 2 (NO INCLUYE FACTOR DE PRESTACIONES)</t>
  </si>
  <si>
    <t>SECRETARIA 2</t>
  </si>
  <si>
    <t>TARIFA MES - PERSONAL TÉCNICO - CELADOR ARMADO (24 horas por 30 dias dividos en 3 turnos de 8 horas diarias. Incluye prestaciones de ley, Administraciòn y servicios).</t>
  </si>
  <si>
    <t>CELADOR ARMADO 24 HORAS</t>
  </si>
  <si>
    <t>1 Amb</t>
  </si>
  <si>
    <t>COMPONENTE AMBIENTAL</t>
  </si>
  <si>
    <t>A1.1.1</t>
  </si>
  <si>
    <t>PROFESIONAL AMBIENTAL</t>
  </si>
  <si>
    <t>A1.1.2</t>
  </si>
  <si>
    <t xml:space="preserve">RESIDENTE FORESTAL </t>
  </si>
  <si>
    <t>A1.1.3</t>
  </si>
  <si>
    <t>BIÓLOGO O ECÓLOGO</t>
  </si>
  <si>
    <t>A1.1.4</t>
  </si>
  <si>
    <t>TARIFA MES - PROFESIONAL CATEGORÍA 7 (NO INCLUYE FACTOR DE PRESTACIONES)</t>
  </si>
  <si>
    <t>RESIDENTE SST</t>
  </si>
  <si>
    <t>A1.1.5</t>
  </si>
  <si>
    <t>RESIDENTE MAQUINARIA Y EQUIPOS</t>
  </si>
  <si>
    <t>A1.2.1</t>
  </si>
  <si>
    <t>TARIFA MES - PERSONAL TÉCNICO - INSPECTOR 2 (NO INCLUYE FACTOR DE PRESTACIONES)</t>
  </si>
  <si>
    <t>PERSONAL TÉCNICO Y PERSONAL AUXILIAR (PERSONAL DE APOYO, INPECTOR AMBIENTAL O SST)</t>
  </si>
  <si>
    <t>A1.3.1</t>
  </si>
  <si>
    <t>TARIFA MES - PERSONAL DE OBRA - AYUDANTE (NO INCLUYE FACTOR DE PRESTACIONES)</t>
  </si>
  <si>
    <t>PERSONAL TÉCNICO Y PERSONAL AUXILIAR (CUADRILLA ORDEN Y ASEO)</t>
  </si>
  <si>
    <t>1 Soc</t>
  </si>
  <si>
    <t>COMPONENTE SOCIAL</t>
  </si>
  <si>
    <t>A1.1-S</t>
  </si>
  <si>
    <t>RESIDENTE SOCIAL</t>
  </si>
  <si>
    <t>A2.1-S</t>
  </si>
  <si>
    <t>PERSONAL TÉCNICO Y PERSONAL AUXILIAR - GUIA CIVICO</t>
  </si>
  <si>
    <t>1 PMT</t>
  </si>
  <si>
    <t>COMPONENTE PMT</t>
  </si>
  <si>
    <t>A1.1T</t>
  </si>
  <si>
    <t>ESPECIALISTA EN TRÁNSITO Y TRANSPORTE</t>
  </si>
  <si>
    <t>A1.2T</t>
  </si>
  <si>
    <t>RESIDENTE EN TRÁNSITO Y TRANSPORTE</t>
  </si>
  <si>
    <t>A2.1T</t>
  </si>
  <si>
    <t>BANDEREROS</t>
  </si>
  <si>
    <t>A3.1T</t>
  </si>
  <si>
    <t>AYUDANTES PMT</t>
  </si>
  <si>
    <t>ALCALDIA LOCAL DE SUBA</t>
  </si>
  <si>
    <t>MATRIZ DE CÁLCULO DE AIU OBRA</t>
  </si>
  <si>
    <t>COSTO DIRECTO ESTIMADO DE OBRA (CD)</t>
  </si>
  <si>
    <t>FECHA:</t>
  </si>
  <si>
    <t>Codigo</t>
  </si>
  <si>
    <t>Componente</t>
  </si>
  <si>
    <t>Costo real</t>
  </si>
  <si>
    <t>Estimación costo total</t>
  </si>
  <si>
    <t>Diferencia</t>
  </si>
  <si>
    <t>Costo directo</t>
  </si>
  <si>
    <t>Primera aproximación</t>
  </si>
  <si>
    <t>TERMINO ESTIMADO DE ETAPA DE DIAGNOSTICO</t>
  </si>
  <si>
    <t>MESES</t>
  </si>
  <si>
    <t>CONTRATO No.</t>
  </si>
  <si>
    <t>TERMINO ESTIMADO DE EJECUCIÓN DE OBRA</t>
  </si>
  <si>
    <t>TERMINO ESTIMADO DE ETAPA DE ENTREGA</t>
  </si>
  <si>
    <t>AMBIENTAL</t>
  </si>
  <si>
    <t>SOCIAL</t>
  </si>
  <si>
    <t>A. ADMINISTRACIÓN</t>
  </si>
  <si>
    <t>PPMT</t>
  </si>
  <si>
    <t>1. COSTOS MENSUALES DE PERSONAL</t>
  </si>
  <si>
    <t>TOTAL</t>
  </si>
  <si>
    <t>TOPE SALARIO (MES)</t>
  </si>
  <si>
    <t>FACTOR PRESTACIONAL</t>
  </si>
  <si>
    <t>TOTAL DEDICACIÓN POR ETAPA (MES)</t>
  </si>
  <si>
    <t>SALARIO + PRESTACIONES</t>
  </si>
  <si>
    <t>C</t>
  </si>
  <si>
    <t>F=A*B*C*D*E</t>
  </si>
  <si>
    <t>Costo directo calculado APU</t>
  </si>
  <si>
    <t>Costo directo Calculado AIU</t>
  </si>
  <si>
    <t>Diferencia Calculada</t>
  </si>
  <si>
    <t>Costo directo para calculo</t>
  </si>
  <si>
    <t>SUBTOTAL COSTOS MENSUALES DE PERSONAL</t>
  </si>
  <si>
    <t>GASTOS OPERACIONALES MENSUALES</t>
  </si>
  <si>
    <t>CANT.</t>
  </si>
  <si>
    <t>AREA (M2)</t>
  </si>
  <si>
    <t>COSTO ($/M2.MES)</t>
  </si>
  <si>
    <t>DEDICACIÓN MES</t>
  </si>
  <si>
    <t>DEDICACIÓN X ÁREA (M2)</t>
  </si>
  <si>
    <t>N. MESES</t>
  </si>
  <si>
    <t>VALOR ($)</t>
  </si>
  <si>
    <t>ALQUILER MES - ARRIENDO OFICINA INCL. ADMINISTRACIÓN, SERVICIOS PÚBLICOS, COMUNICACIONES</t>
  </si>
  <si>
    <t>ALQUILER MES - CAMPAMENTOS INCL. SERVICIOS PÚBLICOS PROVISIONALES</t>
  </si>
  <si>
    <t>GASTOS OFICINA (PAPELERIA, FOTOCOPIAS Y OTROS)</t>
  </si>
  <si>
    <t>EQUIPO COMPLETO DE LABORATORIO - ESTUDIOS - MES</t>
  </si>
  <si>
    <t>EQUIPO DE TOPOGRAFÍA. INCLUYE TRÁNSITO, NIVEL Y ELEMENTOS COMPLEMENTARIOS - MES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</si>
  <si>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</si>
  <si>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SUBTOTAL GASTOS OPERACIONALES MENSUALES</t>
  </si>
  <si>
    <t>COSTOS NETOS ETAPA DE DIAGNOSTICO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</si>
  <si>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</si>
  <si>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</si>
  <si>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 ESTIMADAS</t>
  </si>
  <si>
    <t>IMPUESTOS</t>
  </si>
  <si>
    <t>IMPUESTO</t>
  </si>
  <si>
    <t>Contribución Especial (Impuesto de Guerra Ley 1738 DIC18-2014 prorroga 4 años)</t>
  </si>
  <si>
    <t>ICA (Ley 14 6jul1983, Res 219 25feb2004)</t>
  </si>
  <si>
    <t>GMF (Ley 1739 23dic2014 modifica el Estatuto Tributario)</t>
  </si>
  <si>
    <t>Estampilla Universidad Distrital (Acuerdo 696 de 2017)</t>
  </si>
  <si>
    <t>Estampilla procultura (Acuerdo 187  20 dic 2005)</t>
  </si>
  <si>
    <t>Estampilla pro personas Mayores (Acuerdo 645 de 9 de junio de 2016)</t>
  </si>
  <si>
    <t>Estampilla Unipedagógica (Dec 584 de 19 dic 2014)</t>
  </si>
  <si>
    <t>SUBTOTAL IMPUESTOS</t>
  </si>
  <si>
    <t>GARANTIAS ESTIMADAS</t>
  </si>
  <si>
    <t>VR. BASE</t>
  </si>
  <si>
    <t>% ASEGURADO</t>
  </si>
  <si>
    <t>VIGENCIA AMPARO (MESES)</t>
  </si>
  <si>
    <t>TASA ASEGURADORA</t>
  </si>
  <si>
    <t>Cumplimiento</t>
  </si>
  <si>
    <t>GARANTIA UNICA</t>
  </si>
  <si>
    <t>Buen Manejo de Anticipo</t>
  </si>
  <si>
    <t>Anticipo</t>
  </si>
  <si>
    <t>Salarios y Prestaciones Sociales</t>
  </si>
  <si>
    <t>Estabilidad de la Obra</t>
  </si>
  <si>
    <t>Predios, labores y Operaciones- Vigencia (Decreto 1082 de 2015 Sección III)</t>
  </si>
  <si>
    <t>RESPONSABILIDAD CIVIL EXTRACONTRACTUAL</t>
  </si>
  <si>
    <t>Colocación de elemento de publicidad exterior tipo vaya de construcción (Resolución 931 de 2008, numeral 7 del artículo 7)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</si>
  <si>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</si>
  <si>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</si>
  <si>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</si>
  <si>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</si>
  <si>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</si>
  <si>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</si>
  <si>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</si>
  <si>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MATRIZ DE CÁLCULO DE AIU AMBIENTAL</t>
  </si>
  <si>
    <t>COSTO DIRECTO ESTIMADO DE COMPONENTE DE GESTIÓN AMBIENTAL</t>
  </si>
  <si>
    <t>MATRIZ DE CÁLCULO DE AIU SOCIAL</t>
  </si>
  <si>
    <t>COSTO DIRECTO ESTIMADO DE COMPONENTE DE GESTIÓN SOCIAL</t>
  </si>
  <si>
    <t>MATRIZ DE PRESUPUESTO ETAPA DE DIAGNOSTICO</t>
  </si>
  <si>
    <t>DIAGNOSTICO</t>
  </si>
  <si>
    <t>GASTOS OPERACIONALES MENSUALES.</t>
  </si>
  <si>
    <t>Indicador</t>
  </si>
  <si>
    <t>Col_1</t>
  </si>
  <si>
    <t>Col_2</t>
  </si>
  <si>
    <t>Col_3</t>
  </si>
  <si>
    <t>Col_4</t>
  </si>
  <si>
    <t>Col_5</t>
  </si>
  <si>
    <t>Col_6</t>
  </si>
  <si>
    <t>Col_7</t>
  </si>
  <si>
    <t>Col_8</t>
  </si>
  <si>
    <t>Col_9</t>
  </si>
  <si>
    <t>Col_10</t>
  </si>
  <si>
    <t>Col_11</t>
  </si>
  <si>
    <t>Col_12</t>
  </si>
  <si>
    <t>Valor</t>
  </si>
  <si>
    <t>Filtro</t>
  </si>
  <si>
    <t>PRESUPUESTO GESTIÓN AMBIENTAL, SEGURIDAD Y SALUD EN EL TRABAJO (SST - SGA)</t>
  </si>
  <si>
    <t>Dur_Prelim</t>
  </si>
  <si>
    <t>Dur_Obra</t>
  </si>
  <si>
    <t>Dur_Recibo</t>
  </si>
  <si>
    <t>TERMINO ESTIMADO TOTAL DE OBRA</t>
  </si>
  <si>
    <t>CÓD. IDU</t>
  </si>
  <si>
    <t>COMPONENTE A. CUMPLIMIENTO A OBLIGACIONES AMBIENTALES Y SST CONTRACTUALES</t>
  </si>
  <si>
    <t>A1</t>
  </si>
  <si>
    <t>PERSONAL TÉCNICO Y PROFESIONAL</t>
  </si>
  <si>
    <t>TARIFA (MES)</t>
  </si>
  <si>
    <t>DEDICACIÓN FASE DE OBRA (MES)</t>
  </si>
  <si>
    <t>DEDICACIÓN FASE DE RECIBO (MES)</t>
  </si>
  <si>
    <t>Tipo de personal</t>
  </si>
  <si>
    <t>Cantidad</t>
  </si>
  <si>
    <t>Replanteo</t>
  </si>
  <si>
    <t>E</t>
  </si>
  <si>
    <t>F</t>
  </si>
  <si>
    <t>G</t>
  </si>
  <si>
    <t>H = A*D*E*(B*F+C*G)</t>
  </si>
  <si>
    <t>Num_pers_Prel</t>
  </si>
  <si>
    <t>Numero de Personas Preliminares</t>
  </si>
  <si>
    <t>Movimiento de tierras</t>
  </si>
  <si>
    <t>A1.1</t>
  </si>
  <si>
    <t>Num_Pers_Adm_O</t>
  </si>
  <si>
    <t>Numero de personas Administración Obra</t>
  </si>
  <si>
    <t>Uso de maquinaria</t>
  </si>
  <si>
    <t>Num_Per_Reci</t>
  </si>
  <si>
    <t>Numero de personas Administración Recibo</t>
  </si>
  <si>
    <t>Cimentaciones profundas</t>
  </si>
  <si>
    <t>Num_Pers_Amb_O</t>
  </si>
  <si>
    <t>Numero de Personas Gestión ambiental Obra</t>
  </si>
  <si>
    <t>Trabajo en alturas</t>
  </si>
  <si>
    <t>Num_Pers_Amb_Recibo</t>
  </si>
  <si>
    <t>Numero de Personas Gestión ambiental Recibo</t>
  </si>
  <si>
    <t>Num_Pers_Soc_O</t>
  </si>
  <si>
    <t>Numero de Personas Gestión Social Obra</t>
  </si>
  <si>
    <t>Num_Pers_Soc_R</t>
  </si>
  <si>
    <t>Numero de Personas Gestión Social recibo</t>
  </si>
  <si>
    <t>1.2</t>
  </si>
  <si>
    <t>Num_Pers_PMT_O</t>
  </si>
  <si>
    <t>Numero de Personas PMT Obra</t>
  </si>
  <si>
    <t>Num_Pers_PMT_R</t>
  </si>
  <si>
    <t>Numero de Personas PMT Recibo</t>
  </si>
  <si>
    <t>1.3</t>
  </si>
  <si>
    <t>Num_per_Obra</t>
  </si>
  <si>
    <t>Numero de Personas Obra</t>
  </si>
  <si>
    <t>Num_tot_Obra</t>
  </si>
  <si>
    <t>Número de Personas Totales Obra</t>
  </si>
  <si>
    <t>Num_tot_Reci</t>
  </si>
  <si>
    <t>Número personas Totales Recibo</t>
  </si>
  <si>
    <t>A2</t>
  </si>
  <si>
    <t>CAPACITACIÓN AMBIENTAL AL PERSONAL DE OBRA</t>
  </si>
  <si>
    <t>ESPECIFICACIÓN</t>
  </si>
  <si>
    <t>UM</t>
  </si>
  <si>
    <t>A2.1</t>
  </si>
  <si>
    <t>VÍDEO BEAM - ALQUILER POR DIA</t>
  </si>
  <si>
    <t>DIA</t>
  </si>
  <si>
    <t>IMPRESIÓN HOJA CARTA, A 1X0 TINTAS EN PAPEL BOND DE 75 GR.</t>
  </si>
  <si>
    <t xml:space="preserve">COMPONENTE B. MANEJO AMBIENTAL EN LA EJECUCION DE ACTIVIDADES CONSTRUCTIVAS </t>
  </si>
  <si>
    <t>B1</t>
  </si>
  <si>
    <t>MANEJO INTEGRAL DE CAMPAMENTOS FIJOS O TEMPORALES</t>
  </si>
  <si>
    <t>B1.1</t>
  </si>
  <si>
    <t>ALQUILER BAÑOS</t>
  </si>
  <si>
    <t>BAÑO TIPO FLUSHING</t>
  </si>
  <si>
    <t>UN/MES</t>
  </si>
  <si>
    <t>B1.2</t>
  </si>
  <si>
    <t>ADECUACIÓN DE CENTRO DE ACOPIO DE MATERIALES</t>
  </si>
  <si>
    <t>TELA VERDE DE CERRAMIENTO (2.10mx250)</t>
  </si>
  <si>
    <t>B1.3</t>
  </si>
  <si>
    <t>VARA DE CORREDOR 6.0 M</t>
  </si>
  <si>
    <t>B1.5</t>
  </si>
  <si>
    <t>PLASTICO NEGRO CALIBRE 6</t>
  </si>
  <si>
    <t>B1.6</t>
  </si>
  <si>
    <t>ALAMBRE RECOCIDO No.18</t>
  </si>
  <si>
    <t>B1.7</t>
  </si>
  <si>
    <t>TEJA DE ZINC 800 x 2438</t>
  </si>
  <si>
    <t>B2</t>
  </si>
  <si>
    <t>MANEJO DE MATERIALES DE CONSTRUCCIÓN</t>
  </si>
  <si>
    <t>B2.1</t>
  </si>
  <si>
    <t>DEMARCACIÓN Y CONTROL DE SEDIMENTOS PARA ZANJAS Y EXCAVACIONES CERRAMIENTO Y DEMARCACIÓN DE ACOPIOS TEMPORALES DE MATERIALES</t>
  </si>
  <si>
    <t>SEÑALIZACION TUBULAR COLOMBINA PLASTICA</t>
  </si>
  <si>
    <t>Ins_001</t>
  </si>
  <si>
    <t>ESTIBAS DE MADERA</t>
  </si>
  <si>
    <t>CINTA DE SEÑALIZACION CAL 4 (ROLLO 500mx0.10m)</t>
  </si>
  <si>
    <t>B3</t>
  </si>
  <si>
    <t xml:space="preserve">MANEJO INTEGRAL DE RESIDUOS SÓLIDOS </t>
  </si>
  <si>
    <t>B3.1</t>
  </si>
  <si>
    <t>PUNTOS DE RECICLAJE DE RESIDUOS (FRENTES DE OBRA)</t>
  </si>
  <si>
    <t>CANECA PLÁSTICA NEGRA DE 55 GALONES CON TAPA PLANA.</t>
  </si>
  <si>
    <t>B3.2</t>
  </si>
  <si>
    <t>B3.3</t>
  </si>
  <si>
    <t>B3.4</t>
  </si>
  <si>
    <t>B3.5</t>
  </si>
  <si>
    <t>KIT DE BRIGADA, ORDEN, ASEO Y LIMPIEZA</t>
  </si>
  <si>
    <t>PALA REDONDA No.  2 CON CABO</t>
  </si>
  <si>
    <t>B3.6</t>
  </si>
  <si>
    <t>CARRETILLA  RUEDA NEUMATICA PLATON METALICO CAPACIDAD CINCO PIES CUBICOS MANGO MADERA TIPO BUGGY</t>
  </si>
  <si>
    <t>B3.7</t>
  </si>
  <si>
    <t>CEPILLO INDUSTRIAL DE NYLON CON CABO DE 35CM A 42CM X 9CM X 17CM</t>
  </si>
  <si>
    <t>B3.8</t>
  </si>
  <si>
    <t>BARRA DE 18LB CON PUNTA Y PALA 150CM X 10CM</t>
  </si>
  <si>
    <t>B3.10</t>
  </si>
  <si>
    <t>SERRUCHO DE 20" DIENTE ENDURECIDO</t>
  </si>
  <si>
    <t>B3.11</t>
  </si>
  <si>
    <t>BOLSA PARA BASURA TIPO INDUSTRIAL NEGRA DE 60 x 90 Cm CALIBRE 2 (PAQUETE DE 30 UNIDADES)</t>
  </si>
  <si>
    <t>B3.12</t>
  </si>
  <si>
    <t>CINTA DE DEMARCACION Cal. 3 (ROLLO 500mx0.10m)</t>
  </si>
  <si>
    <t>B3.13</t>
  </si>
  <si>
    <t>SECADO DE LODOS</t>
  </si>
  <si>
    <t>B3.14</t>
  </si>
  <si>
    <t>B3.15</t>
  </si>
  <si>
    <t>B3.16</t>
  </si>
  <si>
    <t>BOLSA DE LONA</t>
  </si>
  <si>
    <t>B3.17</t>
  </si>
  <si>
    <t>B3.18</t>
  </si>
  <si>
    <t>TUBERIA CONCRETO CL.2 D=12" (30cm)</t>
  </si>
  <si>
    <t>B4</t>
  </si>
  <si>
    <t xml:space="preserve">CONTROL DE EMISIONES ATMOSFÉRICAS </t>
  </si>
  <si>
    <t>B4.1</t>
  </si>
  <si>
    <t xml:space="preserve">CERRAMIENTO PERIMETRAL OBRA </t>
  </si>
  <si>
    <t>POLISOMBRA VERDE PARA CERRAMIENTO. SUMINISTRO E INSTALACION.</t>
  </si>
  <si>
    <t>B4.2</t>
  </si>
  <si>
    <t xml:space="preserve">HUMEDECIMIENTO ÁREAS DE TRABAJO </t>
  </si>
  <si>
    <t>CARROTANQUE IRRIGADOR DE AGUA - VIAJE</t>
  </si>
  <si>
    <t>VIAJE</t>
  </si>
  <si>
    <t>B5</t>
  </si>
  <si>
    <t>MANEJO INTEGRAL DE CUERPOS DE AGUA Y SUMIDEROS</t>
  </si>
  <si>
    <t>B5.1</t>
  </si>
  <si>
    <t>PROTECCIÓN DE TABLONES DE MADERA</t>
  </si>
  <si>
    <t>FORMALETA MADERA SUMIDEROS</t>
  </si>
  <si>
    <t>B5.2</t>
  </si>
  <si>
    <t>PROTECCIÓN DE POZOS Y SUMIDEROS</t>
  </si>
  <si>
    <t>PROTECCION A SUMIDEROS (INCLUYE SUMINISTRO Y COLOCACIÓN DE BOLSAS DE LONA Y GEOTEXTIL NT 1600 O SIMILAR).</t>
  </si>
  <si>
    <t>B6</t>
  </si>
  <si>
    <t>MANEJO DE COMBUSTIBLES Y ACEITES Y/O SUSTANCIAS PELIGROSAS</t>
  </si>
  <si>
    <t>B6.1</t>
  </si>
  <si>
    <t xml:space="preserve">POLIETILENO NEGRO </t>
  </si>
  <si>
    <t>Ins_002</t>
  </si>
  <si>
    <t>B6.2</t>
  </si>
  <si>
    <t xml:space="preserve">KIT CON ABSORVENTES DE EMERGENCIA </t>
  </si>
  <si>
    <t>KIT AMBIENTAL DE 40 GALON ANTI DERRAMES</t>
  </si>
  <si>
    <t>Ins_003</t>
  </si>
  <si>
    <t>B6.3</t>
  </si>
  <si>
    <t>PALETA/TARIMA DE CONTENCION DE DERRAMES</t>
  </si>
  <si>
    <t>BANDEJA DE 100 LITROS CON REJILLA</t>
  </si>
  <si>
    <t xml:space="preserve">COMPONENTE C. MANEJO DE LA VEGETACION Y PAISAJISMO </t>
  </si>
  <si>
    <t>C1</t>
  </si>
  <si>
    <t xml:space="preserve">REVENCIÓN DE DAÑO A LA VEGETACIÓN </t>
  </si>
  <si>
    <t>C1.1</t>
  </si>
  <si>
    <t>PROTECCIÓN DE VEGETECIÓN</t>
  </si>
  <si>
    <t>PROTECCIÓN A ÁRBOLES (INCLUYE SUMINISTRO Y COLOCACIÓN DE DURMIENTES DE 2.90M X 0.04M X 0.04M Y POLISOMBRA AL 47% DE TAL MANERA QUE GARANTICE LA PROTECCIÓN AL INDIVIDUO VEGETAL.</t>
  </si>
  <si>
    <t>C2</t>
  </si>
  <si>
    <t xml:space="preserve">PROCEDIMIENTO DE TALA </t>
  </si>
  <si>
    <t>C2.1</t>
  </si>
  <si>
    <r>
      <t xml:space="preserve">TALA DE ARBOLES CLASE I (H&lt;5m)
</t>
    </r>
    <r>
      <rPr>
        <b/>
        <sz val="10"/>
        <rFont val="Arial"/>
        <family val="2"/>
      </rPr>
      <t>*INCLUIDO EN PRESUPUESTO DE OBRA</t>
    </r>
  </si>
  <si>
    <t>C2.2</t>
  </si>
  <si>
    <r>
      <t xml:space="preserve">TALA DE ARBOLES CLASE II (5m &lt; H &lt; 10m)
</t>
    </r>
    <r>
      <rPr>
        <b/>
        <sz val="10"/>
        <rFont val="Arial"/>
        <family val="2"/>
      </rPr>
      <t>*INCLUIDO EN PRESUPUESTO DE OBRA</t>
    </r>
  </si>
  <si>
    <t>C2.3</t>
  </si>
  <si>
    <r>
      <t xml:space="preserve">TALA DE ARBOLES CLASE III (10m &lt; H &lt;  20 m)
</t>
    </r>
    <r>
      <rPr>
        <b/>
        <sz val="10"/>
        <rFont val="Arial"/>
        <family val="2"/>
      </rPr>
      <t>*INCLUIDO EN PRESUPUESTO DE OBRA</t>
    </r>
  </si>
  <si>
    <t>C3</t>
  </si>
  <si>
    <t>PROCEDIMIENTO DE TRASLADO Y BLOQUEO</t>
  </si>
  <si>
    <t>C3.1</t>
  </si>
  <si>
    <r>
      <t xml:space="preserve">BLOQUEO Y TRASLADO DE ARBOLES ENTRE 1 Y 5M DE ALTO
</t>
    </r>
    <r>
      <rPr>
        <b/>
        <sz val="10"/>
        <rFont val="Arial"/>
        <family val="2"/>
      </rPr>
      <t>*INCLUIDO EN PRESUPUESTO DE OBRA</t>
    </r>
  </si>
  <si>
    <t>C3.2</t>
  </si>
  <si>
    <r>
      <t xml:space="preserve">BLOQUEO Y TRASLADO DE ARBOLES ENTRE 5 Y 10M DE ALTO
</t>
    </r>
    <r>
      <rPr>
        <b/>
        <sz val="10"/>
        <rFont val="Arial"/>
        <family val="2"/>
      </rPr>
      <t>*INCLUIDO EN PRESUPUESTO DE OBRA</t>
    </r>
  </si>
  <si>
    <t>C4</t>
  </si>
  <si>
    <t xml:space="preserve">PROCEDIMIENTO DE PODA AÉREA </t>
  </si>
  <si>
    <t>C4.1</t>
  </si>
  <si>
    <r>
      <t xml:space="preserve">PODA AEREA
</t>
    </r>
    <r>
      <rPr>
        <b/>
        <sz val="10"/>
        <rFont val="Arial"/>
        <family val="2"/>
      </rPr>
      <t>*BAJO CONSIDERACIÓN DE SDA AL MOMENTO DE EJECUCIÓN DE OBRA</t>
    </r>
  </si>
  <si>
    <t>C5</t>
  </si>
  <si>
    <t xml:space="preserve">PROCEDIMIENTO DE PODA RADICULAR </t>
  </si>
  <si>
    <t>C5.1</t>
  </si>
  <si>
    <r>
      <t xml:space="preserve">PODA RADICULAR
</t>
    </r>
    <r>
      <rPr>
        <b/>
        <sz val="10"/>
        <rFont val="Arial"/>
        <family val="2"/>
      </rPr>
      <t>*BAJO CONSIDERACIÓN DE SDA AL MOMENTO DE EJECUCIÓN DE OBRA</t>
    </r>
  </si>
  <si>
    <t>C6</t>
  </si>
  <si>
    <t>REMOCIÓN DE CÉSPED Y RECONFORMACIÓN DE ÁREAS AFECTADAS</t>
  </si>
  <si>
    <t>C6.1</t>
  </si>
  <si>
    <r>
      <t xml:space="preserve">REMOCIÓN DE CESPED Y RECONFORMACIÓN DE ÁREAS AFECTADAS
</t>
    </r>
    <r>
      <rPr>
        <b/>
        <sz val="10"/>
        <rFont val="Arial"/>
        <family val="2"/>
      </rPr>
      <t>*INCLUIDO EN PRESUPUESTO DE OBRA</t>
    </r>
  </si>
  <si>
    <t>C7</t>
  </si>
  <si>
    <t>MANEJO DE AVIFAUNA</t>
  </si>
  <si>
    <t>C7.1</t>
  </si>
  <si>
    <r>
      <t xml:space="preserve">MANEJO DE AVIFAUNA
</t>
    </r>
    <r>
      <rPr>
        <b/>
        <sz val="10"/>
        <rFont val="Arial"/>
        <family val="2"/>
      </rPr>
      <t>*ACTIVIDADES A CARGO DE BIOLOGO DEL PROYECTO</t>
    </r>
  </si>
  <si>
    <t>C8</t>
  </si>
  <si>
    <t xml:space="preserve">MANEJO DE FAUNA </t>
  </si>
  <si>
    <t>C8.1</t>
  </si>
  <si>
    <r>
      <t xml:space="preserve">MANEJO DE FAUNA
</t>
    </r>
    <r>
      <rPr>
        <b/>
        <sz val="10"/>
        <rFont val="Arial"/>
        <family val="2"/>
      </rPr>
      <t>*ACTIVIDADES A CARGO DE BIOLOGO DEL PROYECTO</t>
    </r>
  </si>
  <si>
    <t>C9</t>
  </si>
  <si>
    <t>MANEJO DE EPÍFITAS VASCULARES Y NO VASCULARES</t>
  </si>
  <si>
    <t>C9.1</t>
  </si>
  <si>
    <r>
      <t xml:space="preserve">MANEJO DE EPÍFITAS VASCULARES Y NO VASCULARES
</t>
    </r>
    <r>
      <rPr>
        <b/>
        <sz val="10"/>
        <rFont val="Arial"/>
        <family val="2"/>
      </rPr>
      <t>*ACTIVIDADES A CARGO DE BIOLOGO DEL PROYECTO</t>
    </r>
  </si>
  <si>
    <t>COMPONENTE D. GESTIÓN EN SEGURIDAD Y SALUD EN EL TRABAJO</t>
  </si>
  <si>
    <t>COMPONENTE D1. GESTIÓN EN SEGURIDAD Y SALUD EN EL TRABAJO</t>
  </si>
  <si>
    <t>D1.1</t>
  </si>
  <si>
    <t>PROGRAMA DE MEDICINA PREVENTIVA</t>
  </si>
  <si>
    <t>D1.1.1</t>
  </si>
  <si>
    <t>Examenes de ingreso y egreso</t>
  </si>
  <si>
    <t>EXÁMEN MÉDICO OCUPACIONAL DE INGRESO O RETIRO</t>
  </si>
  <si>
    <t>D1.1.2</t>
  </si>
  <si>
    <t>EXAMEN DE AUDIOMETRÍA DE INGRESO O EGRESO</t>
  </si>
  <si>
    <t>D1.1.3</t>
  </si>
  <si>
    <t>EXAMEN DE OPTOMETRÍA DE INGRESO O EGRESO</t>
  </si>
  <si>
    <t>D1.1.4</t>
  </si>
  <si>
    <t>EXAMEN DE ESPIROMETRÍA DE INGRESO O EGRESO</t>
  </si>
  <si>
    <t>D1.1.5</t>
  </si>
  <si>
    <t>EXÁMEN DE APTITUD PSICOFÍSICA PARA TRABAJO EN ALTURA (Incluye perfíl lipídico, glicemia pre y post.)</t>
  </si>
  <si>
    <t>D1.2</t>
  </si>
  <si>
    <t xml:space="preserve"> GESTIÓN EN SEGURIDAD Y SALUD EN EL TRABAJO - DOTACIÓN Y ELEMENTOS DE PROTECCIÓN PERSONAL</t>
  </si>
  <si>
    <t>D1.2.1</t>
  </si>
  <si>
    <r>
      <t xml:space="preserve">ELEMENTOS DE DOTACIÓN Y PROTECCIÓN PERSONAL
</t>
    </r>
    <r>
      <rPr>
        <b/>
        <sz val="10"/>
        <rFont val="Arial"/>
        <family val="2"/>
      </rPr>
      <t>* Nota 5: Elementos tenidos en cuenta en el Factor prestacional de cada trabajador</t>
    </r>
  </si>
  <si>
    <t>BOTA CUERO LISA NEGRA SEGURIDAD PUNTERA DE ACERO</t>
  </si>
  <si>
    <t>PAR</t>
  </si>
  <si>
    <t>BOTA DE CAUCHO, CINTA AMARILLA, PUNTERA Y PLANTILLA EN ACERO</t>
  </si>
  <si>
    <t>PROTECTOR AUDITIVO TIPO TAPON INSERCION EN SILICONA CON CORDEL EN ESTUCHE</t>
  </si>
  <si>
    <t>PROTECTOR AUDITIVO TIPO COPA</t>
  </si>
  <si>
    <t>MASCARILLA DESECHABLE CONTRA POLVOS Y PARTICULAS NO TOXICAS</t>
  </si>
  <si>
    <t>MASCARILLA DESECHABLE CON VALVULA CONTRA POLVO Y PARTICULAS NO TOXICAS</t>
  </si>
  <si>
    <t>RESPIRADOR PARA GASES DOBLE SIN CARTUCHO</t>
  </si>
  <si>
    <t>FILTRO CONTRA POLVO PARA RESPIRADORES</t>
  </si>
  <si>
    <t>CASCO DE SEGURIDAD DIELECTRICO</t>
  </si>
  <si>
    <t>BARBUQUEJO EN REATA CON MENTONERA CON TRES APOYOS PARA CASCO</t>
  </si>
  <si>
    <t>GAFAS DE SEGURIDAD</t>
  </si>
  <si>
    <t>OVEROL EN DRILL DOS PIEZAS, CAMISA Y PANTALÓN</t>
  </si>
  <si>
    <t>OVEROL IMPERMEABLE INDUSTRIAL AMARILLO 2 PIEZAS CON CAPUCHA</t>
  </si>
  <si>
    <t>GUANTE CARNAZA REFORZADO EN CARNAZA LARGO</t>
  </si>
  <si>
    <t>GUANTES DE VAQUETA</t>
  </si>
  <si>
    <t>GUANTE CAUCHO NEGRO CORRUGADO CALIBRE 35</t>
  </si>
  <si>
    <t>GUANTE NITRILO 13" RESISTENTE CONTRA QUIMICOS COMBUSTIBLES SOLVENTES GRASAS</t>
  </si>
  <si>
    <t>D1.2.2</t>
  </si>
  <si>
    <t>ELEMENTOS PARA TRABAJOS EN ALTURAS</t>
  </si>
  <si>
    <t>ARNES MULTIPROPOSITO CON ESLINGA - 4 ANILLOS - PARA RESTRICCION Y DETENCION DE CAIDAS CON PUNTO FIJO</t>
  </si>
  <si>
    <t>ESLINGA SEGURIDAD CINTA DE NYLON EN Y CON AMORTIGUADOR Y 2 MOSQUETONES GRANDES</t>
  </si>
  <si>
    <t>DESCENDEDOR ANTICAIDA</t>
  </si>
  <si>
    <t>D1.3</t>
  </si>
  <si>
    <t>PLAN DE EMERGENCIAS</t>
  </si>
  <si>
    <t>D1.3.1</t>
  </si>
  <si>
    <t>EQUIPOS DE EMERGENCIA</t>
  </si>
  <si>
    <t>BOTIQUIN PRIMEROS AUXILIOS CON MEDICAMENTOS DE 22CM X 27CM</t>
  </si>
  <si>
    <t>CAMILLA MADERA PRIMEROS AUXILIOS INMOVILIZADOR CABEZA</t>
  </si>
  <si>
    <t>EXTINTOR POLVO QUIMICO SECO DE 20LB TIPO ABC METALICO CON GANCHO Y AVISO</t>
  </si>
  <si>
    <t>D2</t>
  </si>
  <si>
    <t xml:space="preserve">ROGRAMA MANEJO DE MAQUINARIA, EQUIPOS Y VEHICULOS </t>
  </si>
  <si>
    <t>D2.1</t>
  </si>
  <si>
    <t>MANEJO DE MAQUINARIA Y EQUIPOS</t>
  </si>
  <si>
    <t>*COSTOS ASOCIADOS INCLUIDOS EN PRESUPUESTO DE OBRA</t>
  </si>
  <si>
    <t>D2.2</t>
  </si>
  <si>
    <t>MANEJO DE VEHÍCULOS</t>
  </si>
  <si>
    <t>*COSTOS ASOCIADOS INCLUIDOS EN AIU DEL PROYECTO</t>
  </si>
  <si>
    <t>D2.3</t>
  </si>
  <si>
    <t>TRASLADO DE MAQUINARIA, EQUIPOS Y CARGAS</t>
  </si>
  <si>
    <t>D2.4</t>
  </si>
  <si>
    <t>ABASTECIMIENTO DE COMBUSTIBLES EN EL PROYECTO</t>
  </si>
  <si>
    <t>D2.5</t>
  </si>
  <si>
    <t>ALMACENAMIENTO DE COMBUSTIBLES EN OBRA</t>
  </si>
  <si>
    <t>*COSTOS ASOCIADOS INCLUIDOS EN IMPLEMENTACIÓN DE CAMPAMENTO</t>
  </si>
  <si>
    <t>D2.6</t>
  </si>
  <si>
    <t>IZAJE MECÁNICO DE CARGAS</t>
  </si>
  <si>
    <t>D2.7</t>
  </si>
  <si>
    <t>MANIPULACIÓN DE REDES ELÉCTRICAS</t>
  </si>
  <si>
    <t xml:space="preserve">COMPONENTE E. PROGRAMA DE SEÑALIZACION DE SEGURIDAD </t>
  </si>
  <si>
    <t>E1</t>
  </si>
  <si>
    <t xml:space="preserve">PROGRAMACION DE SEÑALIZACION DE SEGURIDAD </t>
  </si>
  <si>
    <t>E1.1</t>
  </si>
  <si>
    <t xml:space="preserve">SEÑALIZACIÓN BOTIQUÍN DE PRIMEROS AUXILIOS </t>
  </si>
  <si>
    <t>SEÑAL EN POLIESTIRENO (30cm x 20cm) FOTOLUMINISCENTE - NORMA NTC - ISO</t>
  </si>
  <si>
    <t>E1.2</t>
  </si>
  <si>
    <t>SEÑALIZACIÓN CAMILLA</t>
  </si>
  <si>
    <t>E1.3</t>
  </si>
  <si>
    <t>SEÑALIZACIÓN PARA CAMPAMENTO BAÑO HOMBRES -  MUJERES</t>
  </si>
  <si>
    <t>E1.4</t>
  </si>
  <si>
    <t>PUNTO DE ENCUENTRO</t>
  </si>
  <si>
    <t>E1.5</t>
  </si>
  <si>
    <t xml:space="preserve">RUTAS DE EVACUACIÓN A LA IZQUIERDA </t>
  </si>
  <si>
    <t>E1.6</t>
  </si>
  <si>
    <t xml:space="preserve">RUTAS DE EVACUACIÓN A LA DERECHA </t>
  </si>
  <si>
    <t>E1.7</t>
  </si>
  <si>
    <t>SENDERO PEATONAL (60*60 CM)</t>
  </si>
  <si>
    <t>E1.8</t>
  </si>
  <si>
    <t xml:space="preserve">SEÑAL DE PROHIBICIÓN FUMAR </t>
  </si>
  <si>
    <t>E1.9</t>
  </si>
  <si>
    <t xml:space="preserve">SEÑAL DE PROHIBIDO EL PASO  </t>
  </si>
  <si>
    <t>E1.10</t>
  </si>
  <si>
    <t xml:space="preserve">SEÑAL DE PROHIBICIÓN CONSUMIR ALIMENTOS </t>
  </si>
  <si>
    <t>E1.11</t>
  </si>
  <si>
    <t xml:space="preserve">SEÑAL DE PROHIBICIÓN APAGAR CON AGUA </t>
  </si>
  <si>
    <t>E1.12</t>
  </si>
  <si>
    <t xml:space="preserve">SEÑAL DE PROHIBICIÓN USAR CELULAR  </t>
  </si>
  <si>
    <t>E1.13</t>
  </si>
  <si>
    <t xml:space="preserve">SEÑAL DE PROHIBICIÓN ENCENDER FUEGO </t>
  </si>
  <si>
    <t>E1.14</t>
  </si>
  <si>
    <t xml:space="preserve">SEÑAL DE OBLIGACIÓN USO DE GUANTES  </t>
  </si>
  <si>
    <t>E1.15</t>
  </si>
  <si>
    <t xml:space="preserve">SEÑAL DE OBLIGACIÓN USO DE OVEROL  </t>
  </si>
  <si>
    <t>E1.16</t>
  </si>
  <si>
    <t xml:space="preserve">SEÑAL DE OBLIGACIÓN USO DE CASCO  </t>
  </si>
  <si>
    <t>E1.17</t>
  </si>
  <si>
    <t xml:space="preserve">SEÑAL DE OBLIGACIÓN USO DE CALZADO DE SEGURIDAD  </t>
  </si>
  <si>
    <t>E1.18</t>
  </si>
  <si>
    <t xml:space="preserve">SEÑAL DE OBLIGACIÓN USO DE GAFAS DE SEGURIDAD  </t>
  </si>
  <si>
    <t>E1.19</t>
  </si>
  <si>
    <t xml:space="preserve">SEÑAL DE OBLIGACIÓN USO DE ARNÉS </t>
  </si>
  <si>
    <t>E1.20</t>
  </si>
  <si>
    <t xml:space="preserve">SEÑAL DE OBLIGACIÓN USO DE EPP  </t>
  </si>
  <si>
    <t>E1.21</t>
  </si>
  <si>
    <t xml:space="preserve">SEÑAL DE OBLIGACIÓN USO DE PROTECCIÓN RESPIRATORIA  </t>
  </si>
  <si>
    <t>E1.22</t>
  </si>
  <si>
    <t xml:space="preserve">SEÑAL DE OBLIGACIÓN USO DE PROTECTOR AUDITIVO </t>
  </si>
  <si>
    <t>E1.23</t>
  </si>
  <si>
    <t xml:space="preserve">SEÑAL DE PRECAUCIÓN PELIGRO CORROSIVO  </t>
  </si>
  <si>
    <t>E1.24</t>
  </si>
  <si>
    <t xml:space="preserve">SEÑAL DE PRECAUCIÓN PELIGRO PISO RESBALOSO </t>
  </si>
  <si>
    <t>E1.25</t>
  </si>
  <si>
    <t xml:space="preserve">SEÑAL DE PRECAUCIÓN PELIGRO ALMACENAMIENTO DE QUÍMICOS  </t>
  </si>
  <si>
    <t>E1.26</t>
  </si>
  <si>
    <t xml:space="preserve">SEÑAL DE PRECAUCIÓN PELIGRO SUSTANCIAS QUÍMICAS </t>
  </si>
  <si>
    <t>E1.27</t>
  </si>
  <si>
    <t xml:space="preserve">SEÑAL DE PRECAUCIÓN PELIGRO ALTA TENSIÓN  </t>
  </si>
  <si>
    <t>E1.28</t>
  </si>
  <si>
    <t xml:space="preserve">SEÑAL DE PRECAUCIÓN PELIGRO INFLAMABLE  </t>
  </si>
  <si>
    <t>E1.29</t>
  </si>
  <si>
    <t xml:space="preserve">SEÑAL DE PRECAUCIÓN PELIGRO RIESGO ELÉCTRICO  </t>
  </si>
  <si>
    <t>E1.30</t>
  </si>
  <si>
    <t xml:space="preserve">SEÑAL DE PRECAUCIÓN PELIGRO EXPLOSIVO  </t>
  </si>
  <si>
    <t>E1.31</t>
  </si>
  <si>
    <t xml:space="preserve">SEÑAL DE PRECAUCIÓN PELIGRO RIESGO MECÁNICO  </t>
  </si>
  <si>
    <t>E1.32</t>
  </si>
  <si>
    <t xml:space="preserve">SEÑAL DE PRECAUCIÓN PELIGRO ESPACIO CONFINADO  </t>
  </si>
  <si>
    <t>E1.33</t>
  </si>
  <si>
    <t xml:space="preserve">SEÑAL DE PRECAUCIÓN PELIGRO  CAÍDA AL MISMO NIVEL  </t>
  </si>
  <si>
    <t>E1.34</t>
  </si>
  <si>
    <t xml:space="preserve">SEÑAL DE PRECAUCIÓN EXCAVACIONES </t>
  </si>
  <si>
    <t>E1.35</t>
  </si>
  <si>
    <t xml:space="preserve">SEÑAL DE PRECAUCIÓN PELIGRO ATRAPAMIENTO </t>
  </si>
  <si>
    <t>E1.36</t>
  </si>
  <si>
    <t>E1.37</t>
  </si>
  <si>
    <t>CONOS H= 0,9- 1,0mt</t>
  </si>
  <si>
    <t>E1.38</t>
  </si>
  <si>
    <t>ALQUILER DE CERRAMIENTO TIPO 3, CONSTA DE SEÑALIZADORES TUBULARES PLASTICOS SEPARADOS ENTRE SI MAXIMO 3MTS TRIPLE CINTA PELIGRO CAL 4 (INCLUYE INSTALACIÓN, MANTENIMEINTO Y DESINSTALACIÓN).</t>
  </si>
  <si>
    <t>ML/ME</t>
  </si>
  <si>
    <t>B.2.1P</t>
  </si>
  <si>
    <t>B.2.2P</t>
  </si>
  <si>
    <t>B.2.3P</t>
  </si>
  <si>
    <t>B4P</t>
  </si>
  <si>
    <t>IVA SOBRE LA UTILIDAD</t>
  </si>
  <si>
    <t>FIN</t>
  </si>
  <si>
    <t>FIN MAT</t>
  </si>
  <si>
    <t>COMPONENTE GESTIÓN SOCIAL</t>
  </si>
  <si>
    <t>COMPONENTE A. PERSONAL TÉCNICO Y PROFESIONAL</t>
  </si>
  <si>
    <t>N. MESES
OBRA</t>
  </si>
  <si>
    <t>N. MESES RECIBO</t>
  </si>
  <si>
    <t>COMPONENTE B. PROGEMA PARA DIÁLOGO CIUDADANO Y COMUNICACIÓN ESTRATÉGICA PARA OBRAS DEL IDU</t>
  </si>
  <si>
    <t>PROGRAMA DE INFORMACIÓN</t>
  </si>
  <si>
    <t>ALQUILER DE VIDEO BEAM</t>
  </si>
  <si>
    <t>PROGRAMA DE DIVULGACIÓN AL CIUDADANO</t>
  </si>
  <si>
    <t>VOLANTES DE INFORMACIÓN GENERAL</t>
  </si>
  <si>
    <t>VOLANTES TAMAÑO 1/2 CARTA POLICROMÍA COTE DE 115 GR.</t>
  </si>
  <si>
    <t>B2.2</t>
  </si>
  <si>
    <t>VOLANTE DE INFORMACIÓN A LA COMUNIDAD Y VOLANTES DIVULGACIÓN PMT (TAMAÑO CARTA, PAPEL BOND)</t>
  </si>
  <si>
    <t>VOLANTES TAMAÑO CARTA POLICROMÍA DE 114 GR.</t>
  </si>
  <si>
    <t>B2.3</t>
  </si>
  <si>
    <t>VOLANTE DE INFORMACIÓN ACTAS DE COMPROMISO INICIALES (FOTOCOPIAS TAMAÑO CARTA, PAPEL BOND)</t>
  </si>
  <si>
    <t>B2.4</t>
  </si>
  <si>
    <t>VOLANTE DE INFORMACIÓN ACTAS DE COMPROMISO DE CIERRE (FOTOCOPIAS TAMAÑO CARTA, PAPEL BOND)</t>
  </si>
  <si>
    <t>B2.5</t>
  </si>
  <si>
    <t>AFICHE</t>
  </si>
  <si>
    <t>AFICHE TAMAÑO MEDIO PLIEGO A 4X0 TINTAS EN PROPALCOTE DE 115 GR.</t>
  </si>
  <si>
    <t>B2.6</t>
  </si>
  <si>
    <t>VALLA MOVIL METÁLICA DE INFORMACIÓN</t>
  </si>
  <si>
    <t>VALLA MÓVIL DE 1.20m x 1.20m EN LÁMINA GALVANIZADA CALIBRE 20, ÁNGULO EN HIERRO DE 2 x 1-1/8" IMPRESO EN VINILO ADHESIVO. Incluye suministro e instalación. Impresión 720 DPI; Tintas para exteriores.</t>
  </si>
  <si>
    <t>B2.7</t>
  </si>
  <si>
    <t>ACTAS DE COMPROMISO</t>
  </si>
  <si>
    <t>B2.8</t>
  </si>
  <si>
    <t>TARIFA  - LEVANTAMIENTO DE ACTAS DE FACHADA (Incluye personal, logística, papelería, fotografía).</t>
  </si>
  <si>
    <t>LEVANTAMIENTO DE ACTAS DE FACHADA (Incluye personal, logística, papelería, fotografía)</t>
  </si>
  <si>
    <t>B2.9</t>
  </si>
  <si>
    <t>PLEGABLES DE SOSTENIBILIDAD EN TRES CUERPOS TAMAÑO CARTA A 4X4 TINTAS EN PROPALCOTE.</t>
  </si>
  <si>
    <t>PROGRAMA DE ATENCIAÓN AL CIUDADANO</t>
  </si>
  <si>
    <t>ALQUILER SILLAS PLÁSTICO PUNTO ATENCIÓN CIUDADANO</t>
  </si>
  <si>
    <t>ALQUILER DE SILLA PARA ESCRITORIO PARA PUESTO DE TRABAJO</t>
  </si>
  <si>
    <t>ALQUILER PUESTO TRABAJO PUNTO ATENCIÓN CIUDADANO</t>
  </si>
  <si>
    <t>ALQUILER DE PUESTO DE TRABAJO - ESCRITORIO 75X120X50CM</t>
  </si>
  <si>
    <t>ALQUILER DE SILLA PLÁSTICA SIN BRAZOS</t>
  </si>
  <si>
    <t>CARTELERA PUNTO ATENCIÓN CIUDADANO</t>
  </si>
  <si>
    <t>CARTELERA CON MARCO EN ALUMINIO ANODIZADO, PAÑO COLOR GRIS CON CENEFA SUPERIOR, PUERTAS CORREDIZAS. Incl. transporte</t>
  </si>
  <si>
    <t>AVISO PUNTO ATENCIÓN CIUDADANO</t>
  </si>
  <si>
    <t>AVISO PUNTO CREA 1.50m x 0.90m EN LÁMINA GALVANIZADA CAL. 24. INCLUYE SUMINISTRO E INSTALACIÓN</t>
  </si>
  <si>
    <t>TARIFA SERVICIO TELEFONICO PUNTO ATENCIÓN CIUDADANO</t>
  </si>
  <si>
    <t>SERVICIO TELEFONIA LOCAL ILIMITADA E INTERNET ILIMITADO VELOCIDAD PROMEDIO (80-500 MB) ESTRATO 4</t>
  </si>
  <si>
    <t>MES</t>
  </si>
  <si>
    <t>EQUIPOS DE COMPUTO PUNTO ATENCIÓN CIUDADANO</t>
  </si>
  <si>
    <t>PORTÁTILES - Procesador minimo: intel, Core i3 4005U, celeron o similar, Memoria RAM de 4 GB(2x2048 MB) Disco duro de 500gb a 7200 rpm Pantalla LED HP BrightView widescreen alta definición con 35,6 cm</t>
  </si>
  <si>
    <t>ARRIENDO PUNTO PUNTO ATENCIÓN CIUDADANO</t>
  </si>
  <si>
    <t>B3.9</t>
  </si>
  <si>
    <t>EDICIÓN DE INFORMES PUNTO ATENCIÓN CIUDADANO</t>
  </si>
  <si>
    <t>EDICIÓN DE INFORME MENSUAL DE INTERVENTORÍA O CONSULTORÍA. Incluye 4 tapas plastificadas tamaño carta color blanco, con 6 tornillos, hojas de papel bond tamaño carta 75 gramos, 170 folios</t>
  </si>
  <si>
    <t>MEDICIÓN DE PERCEPCIÓN CIUDADANA Y MONITOREO DE IMPACTO</t>
  </si>
  <si>
    <t>ENCUESTA DE PERCEPCIÓN CIUDADANA</t>
  </si>
  <si>
    <t>ENCUESTA DE PERCEPCIÓN CIUDADANA. Incl. formato de encuesta de percepción ciudadana, diseño de muestra y metodología de recolección en campo, base de datos en formato excel, presentación de resultados</t>
  </si>
  <si>
    <t>C.2.1P</t>
  </si>
  <si>
    <t>C.2.2P</t>
  </si>
  <si>
    <t>C.2.3P</t>
  </si>
  <si>
    <t>C4P</t>
  </si>
  <si>
    <t>indicador</t>
  </si>
  <si>
    <t>PRESUPUESTO PLAN  DE MANEJO DE TRAFICO (PMT)</t>
  </si>
  <si>
    <t>A3</t>
  </si>
  <si>
    <t>COMPONENTE B. GASTOS POR ELABORACIÓN DE INFORMES</t>
  </si>
  <si>
    <t>EQUIPOS DE COMPUTO</t>
  </si>
  <si>
    <t>EDICIÓN DE INFORMES</t>
  </si>
  <si>
    <t>COMPONENTE C. ELEMENTOS DE PMT</t>
  </si>
  <si>
    <t>SEÑALIZACIÓN TUBULAR COLOMBINA PLÁSTICA</t>
  </si>
  <si>
    <t>BARRERA RELLENABLE CON CINTA RET (2,00 X 0,55 X 1,00)</t>
  </si>
  <si>
    <t>BARRERA RELLENABLE (2.00x0.55x1.00m) CON CINTA RET</t>
  </si>
  <si>
    <t>CINTA DE SEÑALIZACIÓN CALIBRE 4 (ROLLO 500 M X 0,10 M )</t>
  </si>
  <si>
    <t>SEÑALES DE TRÁNSITO SR 60 X 60 POSTE 3,50 M</t>
  </si>
  <si>
    <t>SEÑAL DE TRANSITO GRUPO I (60x60cm) POSTE 3.5m</t>
  </si>
  <si>
    <t>SEÑALES DE TRÁNSITO SIO 60 X 60 POSTE 3,50 M</t>
  </si>
  <si>
    <t>SEÑALES DE TRÁNSITO SP 60 X 60 POSTE 3,50 M</t>
  </si>
  <si>
    <t>SEÑAL EN POLIETILENO ALVEOLAR PARE</t>
  </si>
  <si>
    <t>PALETA PARE-SIGA REGLAMENTADA</t>
  </si>
  <si>
    <t>BARRICADA CON SEÑAL LUMINOSA</t>
  </si>
  <si>
    <t>BARRICADA METALICA TIPO IDU CON CERRADO REFLECTIVO NARANJA Y BLANCO GRADO INGENIERIA, MEDIDAS: 2.40m x 1.50m - 3 BANDEJAS DE 20cm x 2.40m. TABLERO DE DESVIO DE 60cm</t>
  </si>
  <si>
    <t>SEÑAL LUMINOSA BIDIRECCIONAL 1.50m x 0.50m</t>
  </si>
  <si>
    <t>C10</t>
  </si>
  <si>
    <t>POLISOMBRA (ALTURA 2,00 METROS)</t>
  </si>
  <si>
    <t>POLISOMBRA 65% (1x7m) R-800 NEGRA</t>
  </si>
  <si>
    <t>D1</t>
  </si>
  <si>
    <t>D.2.1P</t>
  </si>
  <si>
    <t>D.2.2P</t>
  </si>
  <si>
    <t>D.2.3P</t>
  </si>
  <si>
    <t>D4P</t>
  </si>
  <si>
    <t>PKID</t>
  </si>
  <si>
    <t>Tipo de elemento</t>
  </si>
  <si>
    <t>Largo (m)</t>
  </si>
  <si>
    <t>Ancho (m)</t>
  </si>
  <si>
    <t>Area (m²)</t>
  </si>
  <si>
    <t>Elemento Principal</t>
  </si>
  <si>
    <t>Tipo de Via</t>
  </si>
  <si>
    <t>Material</t>
  </si>
  <si>
    <t>Tipo de intervención</t>
  </si>
  <si>
    <t>Via local en concreto</t>
  </si>
  <si>
    <t>VíaLocalRígido</t>
  </si>
  <si>
    <t>Cód IDU</t>
  </si>
  <si>
    <t>Descripción</t>
  </si>
  <si>
    <t>Afectación</t>
  </si>
  <si>
    <t>Valor Total</t>
  </si>
  <si>
    <t>REHABILITACIÓN DE PAVIMENTO RÍGIDO: LOSAS EN CONCRETO HIDRÁULICO MR41 E=0.18M. INCLUYE SARDINEL, GEOTEXTIL Y EXCAVACIÓN EN BASE E=30CM., BASE BG_A E=30CM</t>
  </si>
  <si>
    <t>RECONSTRUCCIÓN MALLA VIAL LOCAL URBANA DE PAVIMENTO HIDRÁULICO MR 45 e=0.20 (NO INCLUYE SARDINEL)</t>
  </si>
  <si>
    <t>MANTENIMIENTO RUTINARIO MALLA VIAL LOCAL URBANA EN CONCRETO HIDRÁULICO</t>
  </si>
  <si>
    <t>MANTENIMIENTO PERIÓDICO MALLA VIAL LOCAL URBANA EN CONCRETO HIDRÁULICO HORARIO NOCTURNO (incluye limpieza pozos, sellado de juntas y reposición de losas)</t>
  </si>
  <si>
    <t>Via local en asfalto</t>
  </si>
  <si>
    <t>VíaLocalFlexible</t>
  </si>
  <si>
    <t>REHABILITACIÓN MALLA VIAL LOCAL URBANA DE PAVIMENTO FLEXIBLE e=0.17 (NO INCLUYE SARDINEL)</t>
  </si>
  <si>
    <t>RECONSTRUCCIÓN MALLA VIAL LOCAL URBANA DE PAVIMENTO FLEXIBLE e=0.17 (NO INCLUYE SARDINEL)</t>
  </si>
  <si>
    <t>MANTENIMIENTO RUTINARIO MALLA VIAL LOCAL URBANA EN CONCRETO ASFÁLTICO</t>
  </si>
  <si>
    <t>MANTENIMIENTO PERIÓDICO MALLA VIAL LOCAL URBANA EN CONCRETO ASFÁLTICO HORARIO NOCTURNO (INCLUYE 5% BACHEO Y 95% FRESADO + REPOSICIÓN DE CARPETA)</t>
  </si>
  <si>
    <t>Via intermedia en concreto</t>
  </si>
  <si>
    <t>VíaIntermediaRígido</t>
  </si>
  <si>
    <t>REHABILITACIÓN MALLA VIAL INTERMEDIA URBANA DE PAVIMENTO HIDRÁULICO MR 45 e=0.20 (NO INCLUYE SARDINEL)</t>
  </si>
  <si>
    <t>RECONSTRUCCIÓN MALLA VIAL INTERMEDIA URBANA DE PAVIMENTO HIDRÁULICO MR 45 e=0.20 (NO INCLUYE SARDINEL)</t>
  </si>
  <si>
    <t>MANTENIMIENTO RUTINARIO MALLA VIAL INTERMEDIA URBANA EN CONCRETO HIDRÁULICO</t>
  </si>
  <si>
    <t>MANTENIMIENTO PERIÓDICO MALLA VIAL INTERMEDIA URBANA EN CONCRETO HIDRÁULICO HORARIO NOCTURNO (incluye limpieza pozos, sellado de juntas y reposición de losas)</t>
  </si>
  <si>
    <t>Via intermedia en asfalto</t>
  </si>
  <si>
    <t>VíaIntermediaFlexible</t>
  </si>
  <si>
    <t>REHABILITACIÓN MALLA VIAL INTERMEDIA URBANA DE PAVIMENTO FLEXIBLE e=0.17 (NO INCLUYE SARDINEL)</t>
  </si>
  <si>
    <t>RECONSTRUCCIÓN MALLA VIAL INTERMEDIA URBANA DE PAVIMENTO FLEXIBLE e=0.17 (NO INCLUYE SARDINEL)</t>
  </si>
  <si>
    <t>MANTENIMIENTO RUTINARIO MALLA VIAL INTERMEDIA URBANA EN CONCRETO ASFÁLTICO</t>
  </si>
  <si>
    <t>MANTENIMIENTO PERIÓDICO MALLA VIAL INTERMEDIA URBANA EN CONCRETO ASFÁLTICO HORARIO NOCTURNO (INCLUYE 5% BACHEO Y 95% FRESADO + REPOSICIÓN DE CARPETA)</t>
  </si>
  <si>
    <t>Via local adoquín</t>
  </si>
  <si>
    <t>VíaLocalAdoquín</t>
  </si>
  <si>
    <t>CONSTRUCCIÓN PAVIMENTO ARTICULADO EN ADOQUIN DE ARCILLA - TRAFICO LIVIANO</t>
  </si>
  <si>
    <t>CONSTRUCCIÓN PAVIMENTO ARTICULADO EN ADOQUIN DE ARCILLA - TRAFICO PESADO</t>
  </si>
  <si>
    <t>REHABILITACION PAVIMENTO ARTICULADO EN ADOQUIN DE ARCILLA - TRAFICO PESADO</t>
  </si>
  <si>
    <t>REHABILITACION PAVIMENTO ARTICULADO EN ADOQUIN DE ARCILLA - TRAFICO LIVIANO</t>
  </si>
  <si>
    <t>AndenLocalRígido</t>
  </si>
  <si>
    <t>CONSTRUCCION DE ANDEN EN ADOQUIN DE ARCILLA SOBRE ARENA. NO INCLUYE BORDILLO. NO INCLUYE REDES</t>
  </si>
  <si>
    <t>MANTENIMIENTO CORRECTIVO, RETIRO Y REINSTALACIÓN DE BORDILLO PREFABRICADO A80 (RETIRO E INSTALACIÓN. INCLUYE MATERIAL DE BASE)</t>
  </si>
  <si>
    <t>CONSTRUCCIÓN DE ANDEN EN LOSA DE CONCRETO DE 3000 PSI HECHO EN OBRA. NO INCLUYE BORDILLO. NO INCLUYE REDES.</t>
  </si>
  <si>
    <t>SARDINEL TIPO A10 (SUMINISTRO E INSTALACIÓN. INCLUYE 3CM MORTERO 2000 PSI)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</si>
</sst>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 &quot;$&quot;\ * #,##0.00_ ;_ &quot;$&quot;\ * \-#,##0.00_ ;_ &quot;$&quot;\ * &quot;-&quot;??_ ;_ @_ "/>
    <numFmt numFmtId="166" formatCode="0#"/>
    <numFmt numFmtId="167" formatCode="0.000000"/>
    <numFmt numFmtId="168" formatCode="_ &quot;$&quot;\ * #,##0_ ;_ &quot;$&quot;\ * \-#,##0_ ;_ &quot;$&quot;\ * &quot;-&quot;_ ;_ @_ "/>
    <numFmt numFmtId="169" formatCode="&quot;$&quot;\ #,##0.00;[Red]&quot;$&quot;\ \-#,##0.00"/>
    <numFmt numFmtId="170" formatCode="&quot;$&quot;\ #,##0.00_);\(&quot;$&quot;\ #,##0.00\)"/>
    <numFmt numFmtId="171" formatCode="&quot;$&quot;\ #,##0.00"/>
    <numFmt numFmtId="172" formatCode="_-[$$-240A]* #,##0.00_-;\-[$$-240A]* #,##0.00_-;_-[$$-240A]* &quot;-&quot;??_-;_-@_-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_([$$-240A]\ * #,##0_);_([$$-240A]\ * \(#,##0\);_([$$-240A]\ * &quot;-&quot;??_);_(@_)"/>
    <numFmt numFmtId="177" formatCode="0#.00\ \L\t"/>
    <numFmt numFmtId="178" formatCode="_ [$$-240A]\ * #,##0.00_ ;_ [$$-240A]\ * \-#,##0.00_ ;_ [$$-240A]\ * &quot;-&quot;??_ ;_ @_ "/>
    <numFmt numFmtId="179" formatCode="_ * #,##0.00_ ;_ * \-#,##0.00_ ;_ * &quot;-&quot;??_ ;_ @_ "/>
    <numFmt numFmtId="180" formatCode="_ * #,##0_ ;_ * \-#,##0_ ;_ * &quot;-&quot;??_ ;_ @_ "/>
    <numFmt numFmtId="181" formatCode="0.000"/>
    <numFmt numFmtId="182" formatCode="_-&quot;$&quot;* #,##0.00_-;\-&quot;$&quot;* #,##0.00_-;_-&quot;$&quot;* &quot;-&quot;??_-;_-@_-"/>
    <numFmt numFmtId="183" formatCode="_ * #,##0.00_ ;_ * \-#,##0.00_ ;_ * \-??_ ;_ @_ "/>
    <numFmt numFmtId="184" formatCode="_ * #,##0_ ;_ * \-#,##0_ ;_ * \-??_ ;_ @_ "/>
    <numFmt numFmtId="185" formatCode="[$$-240A]#,##0.0;[Red]\([$$-240A]#,##0.0\)"/>
    <numFmt numFmtId="186" formatCode="[$$-240A]#,##0.00;[Red]\([$$-240A]#,##0.00\)"/>
    <numFmt numFmtId="187" formatCode="#,##0.0000"/>
    <numFmt numFmtId="188" formatCode="#,##0.0"/>
    <numFmt numFmtId="189" formatCode="[$$-240A]#,##0;[Red]\([$$-240A]#,##0\)"/>
    <numFmt numFmtId="190" formatCode="0.000%"/>
    <numFmt numFmtId="191" formatCode="0.0"/>
    <numFmt numFmtId="192" formatCode="#,##0.00;[Red]#,##0.00"/>
    <numFmt numFmtId="193" formatCode="_(&quot;$&quot;\ * #,##0.00_);_(&quot;$&quot;\ * \(#,##0.00\);_(&quot;$&quot;\ * &quot;-&quot;??_);_(@_)"/>
    <numFmt numFmtId="194" formatCode="_(&quot;$&quot;* #,##0_);_(&quot;$&quot;* \(#,##0\);_(&quot;$&quot;* &quot;-&quot;_);_(@_)"/>
    <numFmt numFmtId="195" formatCode="_-&quot;$&quot;\ * #,##0.00_-;\-&quot;$&quot;\ * #,##0.00_-;_-&quot;$&quot;\ * &quot;-&quot;_-;_-@_-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Arial Narrow"/>
      <family val="2"/>
    </font>
    <font>
      <sz val="9"/>
      <name val="Arial Narrow"/>
      <family val="2"/>
    </font>
    <font>
      <sz val="10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1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2060"/>
      <name val="Arial"/>
      <family val="2"/>
    </font>
    <font>
      <b/>
      <sz val="12"/>
      <color rgb="FFFF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6"/>
      <name val="Arial"/>
      <family val="2"/>
    </font>
    <font>
      <b/>
      <sz val="10"/>
      <name val="Arial"/>
      <family val="2"/>
      <charset val="1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name val="Arial"/>
      <family val="2"/>
    </font>
    <font>
      <b/>
      <sz val="13"/>
      <name val="Calibri"/>
      <family val="2"/>
      <scheme val="minor"/>
    </font>
    <font>
      <b/>
      <i/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rgb="FFFFFF00"/>
        <bgColor rgb="FFDBE5F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0" fontId="1" fillId="0" borderId="0"/>
    <xf numFmtId="0" fontId="14" fillId="0" borderId="0"/>
    <xf numFmtId="0" fontId="3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0" fontId="3" fillId="0" borderId="0"/>
    <xf numFmtId="174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3" fillId="0" borderId="0"/>
    <xf numFmtId="0" fontId="3" fillId="0" borderId="0"/>
    <xf numFmtId="182" fontId="1" fillId="0" borderId="0" applyFont="0" applyFill="0" applyBorder="0" applyAlignment="0" applyProtection="0"/>
    <xf numFmtId="183" fontId="3" fillId="0" borderId="0" applyFill="0" applyBorder="0" applyAlignment="0" applyProtection="0"/>
    <xf numFmtId="0" fontId="3" fillId="0" borderId="0"/>
    <xf numFmtId="0" fontId="24" fillId="0" borderId="0"/>
    <xf numFmtId="165" fontId="3" fillId="0" borderId="0" applyFont="0" applyFill="0" applyBorder="0" applyAlignment="0" applyProtection="0"/>
    <xf numFmtId="0" fontId="29" fillId="0" borderId="0"/>
    <xf numFmtId="0" fontId="3" fillId="0" borderId="0"/>
    <xf numFmtId="9" fontId="3" fillId="0" borderId="0" applyFill="0" applyBorder="0" applyAlignment="0" applyProtection="0"/>
    <xf numFmtId="0" fontId="33" fillId="0" borderId="0" applyNumberFormat="0" applyFill="0" applyBorder="0" applyAlignment="0" applyProtection="0"/>
    <xf numFmtId="0" fontId="3" fillId="0" borderId="0"/>
    <xf numFmtId="19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94" fontId="3" fillId="0" borderId="0" applyFont="0" applyFill="0" applyBorder="0" applyAlignment="0" applyProtection="0"/>
    <xf numFmtId="0" fontId="3" fillId="0" borderId="0"/>
  </cellStyleXfs>
  <cellXfs count="742">
    <xf numFmtId="0" fontId="0" fillId="0" borderId="0" xfId="0"/>
    <xf numFmtId="0" fontId="4" fillId="0" borderId="1" xfId="3" applyFont="1" applyBorder="1" applyAlignment="1">
      <alignment horizontal="left" vertical="center" wrapText="1"/>
    </xf>
    <xf numFmtId="0" fontId="6" fillId="0" borderId="0" xfId="4" applyFont="1" applyAlignment="1">
      <alignment vertical="center" wrapText="1"/>
    </xf>
    <xf numFmtId="14" fontId="4" fillId="0" borderId="4" xfId="4" applyNumberFormat="1" applyFont="1" applyBorder="1" applyAlignment="1">
      <alignment horizontal="center" vertical="center" wrapText="1"/>
    </xf>
    <xf numFmtId="0" fontId="4" fillId="0" borderId="5" xfId="3" applyFont="1" applyBorder="1" applyAlignment="1">
      <alignment horizontal="left" vertical="center" wrapText="1"/>
    </xf>
    <xf numFmtId="0" fontId="4" fillId="0" borderId="8" xfId="3" applyFont="1" applyBorder="1" applyAlignment="1">
      <alignment horizontal="center" vertical="center" wrapText="1"/>
    </xf>
    <xf numFmtId="14" fontId="4" fillId="0" borderId="11" xfId="4" applyNumberFormat="1" applyFont="1" applyBorder="1" applyAlignment="1">
      <alignment horizontal="center" vertical="center" wrapText="1"/>
    </xf>
    <xf numFmtId="0" fontId="4" fillId="0" borderId="13" xfId="3" applyFont="1" applyBorder="1" applyAlignment="1">
      <alignment horizontal="left" vertical="center" wrapText="1"/>
    </xf>
    <xf numFmtId="0" fontId="7" fillId="0" borderId="8" xfId="3" applyFont="1" applyBorder="1" applyAlignment="1">
      <alignment horizontal="center" vertical="center" wrapText="1"/>
    </xf>
    <xf numFmtId="165" fontId="3" fillId="0" borderId="8" xfId="7" applyBorder="1" applyAlignment="1">
      <alignment horizontal="center" vertical="center" wrapText="1"/>
    </xf>
    <xf numFmtId="165" fontId="3" fillId="0" borderId="14" xfId="7" applyBorder="1" applyAlignment="1">
      <alignment horizontal="center" vertical="center" wrapText="1"/>
    </xf>
    <xf numFmtId="9" fontId="3" fillId="0" borderId="21" xfId="8" applyBorder="1" applyAlignment="1">
      <alignment horizontal="center" vertical="center" wrapText="1"/>
    </xf>
    <xf numFmtId="0" fontId="6" fillId="0" borderId="0" xfId="9" applyFont="1" applyAlignment="1">
      <alignment vertical="center" wrapText="1"/>
    </xf>
    <xf numFmtId="0" fontId="4" fillId="0" borderId="1" xfId="9" applyFont="1" applyBorder="1" applyAlignment="1">
      <alignment horizontal="center" vertical="center" wrapText="1"/>
    </xf>
    <xf numFmtId="0" fontId="4" fillId="0" borderId="2" xfId="9" applyFont="1" applyBorder="1" applyAlignment="1">
      <alignment horizontal="center" vertical="center" wrapText="1"/>
    </xf>
    <xf numFmtId="0" fontId="4" fillId="0" borderId="3" xfId="9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4" fontId="4" fillId="0" borderId="0" xfId="4" applyNumberFormat="1" applyFont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14" fontId="6" fillId="0" borderId="8" xfId="9" quotePrefix="1" applyNumberFormat="1" applyFont="1" applyBorder="1" applyAlignment="1">
      <alignment horizontal="center" vertical="center" wrapText="1"/>
    </xf>
    <xf numFmtId="0" fontId="6" fillId="0" borderId="8" xfId="9" applyFont="1" applyBorder="1" applyAlignment="1">
      <alignment horizontal="center" vertical="center" wrapText="1"/>
    </xf>
    <xf numFmtId="0" fontId="6" fillId="0" borderId="12" xfId="9" applyFont="1" applyBorder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7" fontId="6" fillId="0" borderId="0" xfId="4" quotePrefix="1" applyNumberFormat="1" applyFont="1" applyAlignment="1">
      <alignment horizontal="center" vertical="center" wrapText="1"/>
    </xf>
    <xf numFmtId="165" fontId="3" fillId="0" borderId="0" xfId="7" applyAlignment="1">
      <alignment vertical="center" wrapText="1"/>
    </xf>
    <xf numFmtId="0" fontId="6" fillId="0" borderId="26" xfId="9" applyFont="1" applyBorder="1" applyAlignment="1">
      <alignment horizontal="center" vertical="center" wrapText="1"/>
    </xf>
    <xf numFmtId="14" fontId="6" fillId="0" borderId="21" xfId="9" quotePrefix="1" applyNumberFormat="1" applyFont="1" applyBorder="1" applyAlignment="1">
      <alignment horizontal="center" vertical="center" wrapText="1"/>
    </xf>
    <xf numFmtId="0" fontId="6" fillId="0" borderId="21" xfId="9" applyFont="1" applyBorder="1" applyAlignment="1">
      <alignment horizontal="center" vertical="center" wrapText="1"/>
    </xf>
    <xf numFmtId="0" fontId="6" fillId="0" borderId="27" xfId="9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8" xfId="10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44" fontId="0" fillId="3" borderId="28" xfId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44" fontId="0" fillId="0" borderId="28" xfId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4" fontId="10" fillId="0" borderId="6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4" fontId="0" fillId="0" borderId="8" xfId="0" applyNumberFormat="1" applyBorder="1"/>
    <xf numFmtId="44" fontId="0" fillId="0" borderId="0" xfId="0" applyNumberFormat="1" applyAlignment="1">
      <alignment horizontal="center"/>
    </xf>
    <xf numFmtId="44" fontId="0" fillId="0" borderId="0" xfId="0" applyNumberFormat="1"/>
    <xf numFmtId="10" fontId="0" fillId="0" borderId="8" xfId="2" applyNumberFormat="1" applyFont="1" applyBorder="1"/>
    <xf numFmtId="44" fontId="0" fillId="0" borderId="8" xfId="1" applyFont="1" applyBorder="1"/>
    <xf numFmtId="44" fontId="10" fillId="0" borderId="8" xfId="1" applyFont="1" applyBorder="1"/>
    <xf numFmtId="167" fontId="0" fillId="0" borderId="0" xfId="0" applyNumberFormat="1" applyAlignment="1">
      <alignment horizontal="center"/>
    </xf>
    <xf numFmtId="44" fontId="11" fillId="0" borderId="8" xfId="1" applyFont="1" applyBorder="1"/>
    <xf numFmtId="10" fontId="0" fillId="0" borderId="0" xfId="2" applyNumberFormat="1" applyFont="1"/>
    <xf numFmtId="44" fontId="0" fillId="0" borderId="0" xfId="1" applyFont="1"/>
    <xf numFmtId="0" fontId="0" fillId="0" borderId="0" xfId="0" applyAlignment="1">
      <alignment horizontal="right"/>
    </xf>
    <xf numFmtId="10" fontId="0" fillId="0" borderId="8" xfId="2" applyNumberFormat="1" applyFont="1" applyBorder="1" applyAlignment="1">
      <alignment horizontal="center"/>
    </xf>
    <xf numFmtId="44" fontId="0" fillId="0" borderId="8" xfId="0" applyNumberFormat="1" applyBorder="1" applyAlignment="1">
      <alignment horizontal="center"/>
    </xf>
    <xf numFmtId="0" fontId="12" fillId="0" borderId="0" xfId="11" applyFont="1"/>
    <xf numFmtId="0" fontId="12" fillId="0" borderId="29" xfId="11" applyFont="1" applyBorder="1"/>
    <xf numFmtId="0" fontId="12" fillId="0" borderId="30" xfId="11" applyFont="1" applyBorder="1"/>
    <xf numFmtId="0" fontId="12" fillId="0" borderId="30" xfId="11" applyFont="1" applyBorder="1" applyAlignment="1">
      <alignment horizontal="center"/>
    </xf>
    <xf numFmtId="0" fontId="12" fillId="0" borderId="31" xfId="11" applyFont="1" applyBorder="1"/>
    <xf numFmtId="0" fontId="12" fillId="0" borderId="32" xfId="11" applyFont="1" applyBorder="1"/>
    <xf numFmtId="0" fontId="12" fillId="0" borderId="34" xfId="11" applyFont="1" applyBorder="1"/>
    <xf numFmtId="0" fontId="15" fillId="0" borderId="35" xfId="12" applyFont="1" applyBorder="1" applyAlignment="1">
      <alignment horizontal="left" vertical="center"/>
    </xf>
    <xf numFmtId="0" fontId="16" fillId="0" borderId="35" xfId="12" applyFont="1" applyBorder="1" applyAlignment="1">
      <alignment horizontal="left" vertical="center"/>
    </xf>
    <xf numFmtId="0" fontId="12" fillId="4" borderId="0" xfId="11" applyFont="1" applyFill="1"/>
    <xf numFmtId="0" fontId="12" fillId="4" borderId="37" xfId="11" applyFont="1" applyFill="1" applyBorder="1"/>
    <xf numFmtId="0" fontId="12" fillId="4" borderId="34" xfId="11" applyFont="1" applyFill="1" applyBorder="1"/>
    <xf numFmtId="0" fontId="12" fillId="0" borderId="37" xfId="11" applyFont="1" applyBorder="1"/>
    <xf numFmtId="0" fontId="8" fillId="0" borderId="21" xfId="13" applyFont="1" applyBorder="1" applyAlignment="1">
      <alignment horizontal="center" vertical="center" wrapText="1"/>
    </xf>
    <xf numFmtId="0" fontId="17" fillId="7" borderId="44" xfId="3" applyFont="1" applyFill="1" applyBorder="1" applyAlignment="1">
      <alignment vertical="center"/>
    </xf>
    <xf numFmtId="0" fontId="17" fillId="7" borderId="45" xfId="3" applyFont="1" applyFill="1" applyBorder="1" applyAlignment="1">
      <alignment vertical="center"/>
    </xf>
    <xf numFmtId="0" fontId="17" fillId="7" borderId="46" xfId="3" applyFont="1" applyFill="1" applyBorder="1" applyAlignment="1">
      <alignment vertical="center"/>
    </xf>
    <xf numFmtId="0" fontId="18" fillId="0" borderId="38" xfId="3" applyFont="1" applyBorder="1" applyAlignment="1">
      <alignment horizontal="center" vertical="center"/>
    </xf>
    <xf numFmtId="0" fontId="18" fillId="0" borderId="8" xfId="3" applyFont="1" applyBorder="1" applyAlignment="1">
      <alignment horizontal="center" vertical="center"/>
    </xf>
    <xf numFmtId="0" fontId="3" fillId="0" borderId="8" xfId="3" applyBorder="1" applyAlignment="1">
      <alignment horizontal="center" vertical="center"/>
    </xf>
    <xf numFmtId="0" fontId="18" fillId="0" borderId="8" xfId="3" applyFont="1" applyBorder="1" applyAlignment="1">
      <alignment horizontal="left" vertical="center" wrapText="1"/>
    </xf>
    <xf numFmtId="4" fontId="18" fillId="0" borderId="8" xfId="14" applyNumberFormat="1" applyFont="1" applyFill="1" applyBorder="1" applyAlignment="1">
      <alignment vertical="center" wrapText="1"/>
    </xf>
    <xf numFmtId="170" fontId="18" fillId="0" borderId="8" xfId="15" applyNumberFormat="1" applyFont="1" applyFill="1" applyBorder="1" applyAlignment="1">
      <alignment horizontal="right" vertical="center" wrapText="1"/>
    </xf>
    <xf numFmtId="170" fontId="18" fillId="0" borderId="40" xfId="15" applyNumberFormat="1" applyFont="1" applyBorder="1" applyAlignment="1">
      <alignment horizontal="right" vertical="center" wrapText="1"/>
    </xf>
    <xf numFmtId="0" fontId="18" fillId="0" borderId="42" xfId="3" applyFont="1" applyBorder="1" applyAlignment="1">
      <alignment horizontal="left" vertical="center"/>
    </xf>
    <xf numFmtId="0" fontId="18" fillId="0" borderId="36" xfId="3" applyFont="1" applyBorder="1" applyAlignment="1">
      <alignment horizontal="center" vertical="center"/>
    </xf>
    <xf numFmtId="0" fontId="3" fillId="0" borderId="36" xfId="3" applyBorder="1" applyAlignment="1">
      <alignment horizontal="center" vertical="center"/>
    </xf>
    <xf numFmtId="0" fontId="18" fillId="0" borderId="36" xfId="3" applyFont="1" applyBorder="1" applyAlignment="1">
      <alignment horizontal="left" vertical="center" wrapText="1"/>
    </xf>
    <xf numFmtId="4" fontId="18" fillId="0" borderId="8" xfId="14" applyNumberFormat="1" applyFont="1" applyBorder="1" applyAlignment="1">
      <alignment vertical="center" wrapText="1"/>
    </xf>
    <xf numFmtId="170" fontId="18" fillId="0" borderId="47" xfId="15" applyNumberFormat="1" applyFont="1" applyBorder="1" applyAlignment="1">
      <alignment horizontal="right" vertical="center" wrapText="1"/>
    </xf>
    <xf numFmtId="171" fontId="17" fillId="0" borderId="22" xfId="14" applyNumberFormat="1" applyFont="1" applyBorder="1" applyAlignment="1">
      <alignment horizontal="right" vertical="center"/>
    </xf>
    <xf numFmtId="0" fontId="8" fillId="7" borderId="45" xfId="3" applyFont="1" applyFill="1" applyBorder="1" applyAlignment="1">
      <alignment vertical="center"/>
    </xf>
    <xf numFmtId="0" fontId="20" fillId="0" borderId="0" xfId="11" applyFont="1"/>
    <xf numFmtId="0" fontId="20" fillId="0" borderId="32" xfId="11" applyFont="1" applyBorder="1"/>
    <xf numFmtId="0" fontId="20" fillId="0" borderId="34" xfId="11" applyFont="1" applyBorder="1"/>
    <xf numFmtId="0" fontId="18" fillId="0" borderId="36" xfId="11" applyFont="1" applyBorder="1"/>
    <xf numFmtId="0" fontId="3" fillId="0" borderId="36" xfId="11" applyFont="1" applyBorder="1" applyAlignment="1">
      <alignment horizontal="center"/>
    </xf>
    <xf numFmtId="0" fontId="3" fillId="0" borderId="36" xfId="11" applyFont="1" applyBorder="1"/>
    <xf numFmtId="0" fontId="18" fillId="0" borderId="0" xfId="3" applyFont="1" applyAlignment="1">
      <alignment horizontal="center" vertical="center"/>
    </xf>
    <xf numFmtId="0" fontId="3" fillId="0" borderId="0" xfId="3" applyAlignment="1">
      <alignment horizontal="center" vertical="center"/>
    </xf>
    <xf numFmtId="0" fontId="18" fillId="0" borderId="0" xfId="3" applyFont="1" applyAlignment="1">
      <alignment horizontal="left" vertical="center" wrapText="1"/>
    </xf>
    <xf numFmtId="170" fontId="18" fillId="0" borderId="48" xfId="15" applyNumberFormat="1" applyFont="1" applyBorder="1" applyAlignment="1">
      <alignment horizontal="right" vertical="center" wrapText="1"/>
    </xf>
    <xf numFmtId="171" fontId="17" fillId="0" borderId="18" xfId="14" applyNumberFormat="1" applyFont="1" applyBorder="1" applyAlignment="1">
      <alignment horizontal="right" vertical="center"/>
    </xf>
    <xf numFmtId="0" fontId="12" fillId="0" borderId="0" xfId="16" applyFont="1"/>
    <xf numFmtId="0" fontId="12" fillId="0" borderId="32" xfId="16" applyFont="1" applyBorder="1"/>
    <xf numFmtId="172" fontId="17" fillId="7" borderId="46" xfId="3" applyNumberFormat="1" applyFont="1" applyFill="1" applyBorder="1" applyAlignment="1">
      <alignment vertical="center"/>
    </xf>
    <xf numFmtId="0" fontId="12" fillId="0" borderId="34" xfId="16" applyFont="1" applyBorder="1"/>
    <xf numFmtId="49" fontId="17" fillId="0" borderId="0" xfId="17" applyNumberFormat="1" applyFont="1" applyAlignment="1">
      <alignment horizontal="right" vertical="center"/>
    </xf>
    <xf numFmtId="173" fontId="17" fillId="0" borderId="0" xfId="17" applyNumberFormat="1" applyFont="1" applyAlignment="1">
      <alignment vertical="center"/>
    </xf>
    <xf numFmtId="0" fontId="18" fillId="0" borderId="0" xfId="16" applyFont="1"/>
    <xf numFmtId="0" fontId="18" fillId="0" borderId="0" xfId="16" applyFont="1" applyAlignment="1">
      <alignment horizontal="center"/>
    </xf>
    <xf numFmtId="175" fontId="18" fillId="0" borderId="3" xfId="18" applyNumberFormat="1" applyFont="1" applyBorder="1" applyAlignment="1">
      <alignment vertical="center"/>
    </xf>
    <xf numFmtId="175" fontId="18" fillId="0" borderId="12" xfId="18" applyNumberFormat="1" applyFont="1" applyBorder="1" applyAlignment="1">
      <alignment vertical="center"/>
    </xf>
    <xf numFmtId="0" fontId="18" fillId="0" borderId="0" xfId="13" applyFont="1" applyAlignment="1">
      <alignment horizontal="center" vertical="center"/>
    </xf>
    <xf numFmtId="175" fontId="18" fillId="0" borderId="8" xfId="18" applyNumberFormat="1" applyFont="1" applyBorder="1" applyAlignment="1">
      <alignment horizontal="center" vertical="center"/>
    </xf>
    <xf numFmtId="0" fontId="18" fillId="0" borderId="8" xfId="16" applyFont="1" applyBorder="1" applyAlignment="1">
      <alignment horizontal="center" vertical="center"/>
    </xf>
    <xf numFmtId="0" fontId="18" fillId="0" borderId="0" xfId="16" applyFont="1" applyAlignment="1">
      <alignment horizontal="center" vertical="center" wrapText="1"/>
    </xf>
    <xf numFmtId="175" fontId="17" fillId="0" borderId="12" xfId="18" applyNumberFormat="1" applyFont="1" applyBorder="1" applyAlignment="1">
      <alignment vertical="center"/>
    </xf>
    <xf numFmtId="0" fontId="17" fillId="0" borderId="56" xfId="16" applyFont="1" applyBorder="1" applyAlignment="1">
      <alignment horizontal="left" vertical="center"/>
    </xf>
    <xf numFmtId="9" fontId="18" fillId="0" borderId="57" xfId="18" applyNumberFormat="1" applyFont="1" applyBorder="1" applyAlignment="1">
      <alignment horizontal="center" vertical="center"/>
    </xf>
    <xf numFmtId="175" fontId="17" fillId="0" borderId="57" xfId="18" applyNumberFormat="1" applyFont="1" applyBorder="1" applyAlignment="1">
      <alignment vertical="center"/>
    </xf>
    <xf numFmtId="0" fontId="18" fillId="0" borderId="58" xfId="16" applyFont="1" applyBorder="1" applyAlignment="1">
      <alignment vertical="center"/>
    </xf>
    <xf numFmtId="2" fontId="18" fillId="0" borderId="0" xfId="16" applyNumberFormat="1" applyFont="1"/>
    <xf numFmtId="175" fontId="18" fillId="0" borderId="0" xfId="18" applyNumberFormat="1" applyFont="1"/>
    <xf numFmtId="39" fontId="17" fillId="0" borderId="0" xfId="18" applyNumberFormat="1" applyFont="1" applyAlignment="1">
      <alignment vertical="center"/>
    </xf>
    <xf numFmtId="0" fontId="17" fillId="0" borderId="50" xfId="5" applyFont="1" applyBorder="1" applyAlignment="1">
      <alignment vertical="center"/>
    </xf>
    <xf numFmtId="176" fontId="12" fillId="0" borderId="34" xfId="16" applyNumberFormat="1" applyFont="1" applyBorder="1"/>
    <xf numFmtId="173" fontId="17" fillId="6" borderId="40" xfId="19" applyNumberFormat="1" applyFont="1" applyFill="1" applyBorder="1" applyAlignment="1">
      <alignment horizontal="center" vertical="center"/>
    </xf>
    <xf numFmtId="178" fontId="12" fillId="0" borderId="34" xfId="16" applyNumberFormat="1" applyFont="1" applyBorder="1"/>
    <xf numFmtId="173" fontId="17" fillId="6" borderId="8" xfId="19" applyNumberFormat="1" applyFont="1" applyFill="1" applyBorder="1" applyAlignment="1">
      <alignment horizontal="center" vertical="center"/>
    </xf>
    <xf numFmtId="10" fontId="18" fillId="5" borderId="12" xfId="20" applyNumberFormat="1" applyFont="1" applyFill="1" applyBorder="1" applyAlignment="1">
      <alignment horizontal="center" vertical="center"/>
    </xf>
    <xf numFmtId="0" fontId="18" fillId="0" borderId="60" xfId="12" applyFont="1" applyBorder="1" applyAlignment="1">
      <alignment vertical="center" wrapText="1"/>
    </xf>
    <xf numFmtId="0" fontId="18" fillId="0" borderId="0" xfId="12" applyFont="1" applyAlignment="1">
      <alignment vertical="center" wrapText="1"/>
    </xf>
    <xf numFmtId="0" fontId="18" fillId="0" borderId="48" xfId="12" applyFont="1" applyBorder="1" applyAlignment="1">
      <alignment vertical="center" wrapText="1"/>
    </xf>
    <xf numFmtId="0" fontId="18" fillId="0" borderId="42" xfId="12" applyFont="1" applyBorder="1" applyAlignment="1">
      <alignment vertical="center" wrapText="1"/>
    </xf>
    <xf numFmtId="0" fontId="18" fillId="0" borderId="36" xfId="12" applyFont="1" applyBorder="1" applyAlignment="1">
      <alignment vertical="center" wrapText="1"/>
    </xf>
    <xf numFmtId="0" fontId="18" fillId="0" borderId="47" xfId="12" applyFont="1" applyBorder="1" applyAlignment="1">
      <alignment vertical="center" wrapText="1"/>
    </xf>
    <xf numFmtId="0" fontId="12" fillId="0" borderId="61" xfId="16" applyFont="1" applyBorder="1"/>
    <xf numFmtId="0" fontId="12" fillId="0" borderId="62" xfId="11" applyFont="1" applyBorder="1"/>
    <xf numFmtId="0" fontId="12" fillId="0" borderId="62" xfId="11" applyFont="1" applyBorder="1" applyAlignment="1">
      <alignment horizontal="center"/>
    </xf>
    <xf numFmtId="180" fontId="12" fillId="0" borderId="62" xfId="21" applyNumberFormat="1" applyFont="1" applyBorder="1"/>
    <xf numFmtId="0" fontId="12" fillId="0" borderId="63" xfId="11" applyFont="1" applyBorder="1"/>
    <xf numFmtId="0" fontId="21" fillId="8" borderId="14" xfId="22" applyFont="1" applyFill="1" applyBorder="1" applyAlignment="1">
      <alignment horizontal="center" vertical="center" wrapText="1"/>
    </xf>
    <xf numFmtId="0" fontId="21" fillId="8" borderId="8" xfId="22" applyFont="1" applyFill="1" applyBorder="1" applyAlignment="1">
      <alignment horizontal="center" vertical="center" wrapText="1"/>
    </xf>
    <xf numFmtId="0" fontId="21" fillId="8" borderId="6" xfId="22" applyFont="1" applyFill="1" applyBorder="1" applyAlignment="1">
      <alignment horizontal="center" vertical="center" wrapText="1"/>
    </xf>
    <xf numFmtId="0" fontId="21" fillId="8" borderId="16" xfId="22" applyFont="1" applyFill="1" applyBorder="1" applyAlignment="1">
      <alignment horizontal="center" vertical="center" wrapText="1"/>
    </xf>
    <xf numFmtId="0" fontId="21" fillId="8" borderId="39" xfId="22" applyFont="1" applyFill="1" applyBorder="1" applyAlignment="1">
      <alignment horizontal="center" vertical="center" wrapText="1"/>
    </xf>
    <xf numFmtId="0" fontId="22" fillId="8" borderId="8" xfId="22" applyFont="1" applyFill="1" applyBorder="1" applyAlignment="1">
      <alignment horizontal="center" vertical="center" wrapText="1"/>
    </xf>
    <xf numFmtId="0" fontId="21" fillId="8" borderId="64" xfId="22" applyFont="1" applyFill="1" applyBorder="1" applyAlignment="1">
      <alignment horizontal="center" vertical="center" wrapText="1"/>
    </xf>
    <xf numFmtId="0" fontId="21" fillId="8" borderId="64" xfId="22" applyFont="1" applyFill="1" applyBorder="1" applyAlignment="1">
      <alignment vertical="center"/>
    </xf>
    <xf numFmtId="0" fontId="21" fillId="8" borderId="9" xfId="22" applyFont="1" applyFill="1" applyBorder="1" applyAlignment="1">
      <alignment vertical="center"/>
    </xf>
    <xf numFmtId="0" fontId="21" fillId="8" borderId="8" xfId="22" applyFont="1" applyFill="1" applyBorder="1" applyAlignment="1">
      <alignment vertical="center"/>
    </xf>
    <xf numFmtId="181" fontId="16" fillId="0" borderId="8" xfId="22" applyNumberFormat="1" applyFont="1" applyBorder="1" applyAlignment="1">
      <alignment horizontal="center" vertical="center" wrapText="1"/>
    </xf>
    <xf numFmtId="1" fontId="16" fillId="0" borderId="6" xfId="22" applyNumberFormat="1" applyFont="1" applyBorder="1" applyAlignment="1">
      <alignment horizontal="center" vertical="center" wrapText="1"/>
    </xf>
    <xf numFmtId="181" fontId="16" fillId="0" borderId="6" xfId="22" applyNumberFormat="1" applyFont="1" applyBorder="1" applyAlignment="1">
      <alignment horizontal="center" vertical="center" wrapText="1"/>
    </xf>
    <xf numFmtId="0" fontId="22" fillId="0" borderId="6" xfId="23" applyFont="1" applyBorder="1" applyAlignment="1">
      <alignment horizontal="left" vertical="center" wrapText="1"/>
    </xf>
    <xf numFmtId="0" fontId="22" fillId="9" borderId="65" xfId="0" applyFont="1" applyFill="1" applyBorder="1" applyAlignment="1">
      <alignment horizontal="center" vertical="center" wrapText="1"/>
    </xf>
    <xf numFmtId="0" fontId="22" fillId="9" borderId="66" xfId="0" applyFont="1" applyFill="1" applyBorder="1" applyAlignment="1">
      <alignment horizontal="center" vertical="center" wrapText="1"/>
    </xf>
    <xf numFmtId="182" fontId="22" fillId="0" borderId="8" xfId="24" applyFont="1" applyBorder="1" applyAlignment="1">
      <alignment horizontal="center" vertical="center" wrapText="1"/>
    </xf>
    <xf numFmtId="0" fontId="22" fillId="0" borderId="8" xfId="22" applyFont="1" applyBorder="1" applyAlignment="1">
      <alignment horizontal="center" vertical="center" wrapText="1"/>
    </xf>
    <xf numFmtId="9" fontId="22" fillId="9" borderId="8" xfId="2" applyFont="1" applyFill="1" applyBorder="1" applyAlignment="1">
      <alignment horizontal="center" vertical="center" wrapText="1"/>
    </xf>
    <xf numFmtId="9" fontId="22" fillId="9" borderId="6" xfId="2" applyFont="1" applyFill="1" applyBorder="1" applyAlignment="1">
      <alignment horizontal="center" vertical="center" wrapText="1"/>
    </xf>
    <xf numFmtId="10" fontId="22" fillId="0" borderId="8" xfId="2" applyNumberFormat="1" applyFont="1" applyFill="1" applyBorder="1" applyAlignment="1">
      <alignment horizontal="center" vertical="center" wrapText="1"/>
    </xf>
    <xf numFmtId="9" fontId="22" fillId="0" borderId="8" xfId="2" applyFont="1" applyFill="1" applyBorder="1" applyAlignment="1">
      <alignment horizontal="center" vertical="center" wrapText="1"/>
    </xf>
    <xf numFmtId="9" fontId="0" fillId="0" borderId="8" xfId="2" applyFont="1" applyBorder="1" applyAlignment="1">
      <alignment horizontal="center" vertical="center" wrapText="1"/>
    </xf>
    <xf numFmtId="0" fontId="0" fillId="0" borderId="0" xfId="0" applyAlignment="1">
      <alignment wrapText="1"/>
    </xf>
    <xf numFmtId="181" fontId="16" fillId="6" borderId="8" xfId="22" applyNumberFormat="1" applyFont="1" applyFill="1" applyBorder="1" applyAlignment="1">
      <alignment horizontal="center" vertical="center" wrapText="1"/>
    </xf>
    <xf numFmtId="1" fontId="16" fillId="6" borderId="6" xfId="22" applyNumberFormat="1" applyFont="1" applyFill="1" applyBorder="1" applyAlignment="1">
      <alignment horizontal="center" vertical="center" wrapText="1"/>
    </xf>
    <xf numFmtId="181" fontId="16" fillId="6" borderId="6" xfId="22" applyNumberFormat="1" applyFont="1" applyFill="1" applyBorder="1" applyAlignment="1">
      <alignment horizontal="center" vertical="center" wrapText="1"/>
    </xf>
    <xf numFmtId="0" fontId="22" fillId="6" borderId="6" xfId="23" applyFont="1" applyFill="1" applyBorder="1" applyAlignment="1">
      <alignment horizontal="left" vertical="center" wrapText="1"/>
    </xf>
    <xf numFmtId="0" fontId="22" fillId="10" borderId="65" xfId="0" applyFont="1" applyFill="1" applyBorder="1" applyAlignment="1">
      <alignment horizontal="center" vertical="center" wrapText="1"/>
    </xf>
    <xf numFmtId="0" fontId="22" fillId="10" borderId="66" xfId="0" applyFont="1" applyFill="1" applyBorder="1" applyAlignment="1">
      <alignment horizontal="center" vertical="center" wrapText="1"/>
    </xf>
    <xf numFmtId="9" fontId="22" fillId="10" borderId="8" xfId="2" applyFont="1" applyFill="1" applyBorder="1" applyAlignment="1">
      <alignment horizontal="center" vertical="center" wrapText="1"/>
    </xf>
    <xf numFmtId="9" fontId="22" fillId="10" borderId="6" xfId="2" applyFont="1" applyFill="1" applyBorder="1" applyAlignment="1">
      <alignment horizontal="center" vertical="center" wrapText="1"/>
    </xf>
    <xf numFmtId="0" fontId="0" fillId="6" borderId="0" xfId="0" applyFill="1" applyAlignment="1">
      <alignment wrapText="1"/>
    </xf>
    <xf numFmtId="182" fontId="22" fillId="6" borderId="8" xfId="24" applyFont="1" applyFill="1" applyBorder="1" applyAlignment="1">
      <alignment horizontal="center" vertical="center" wrapText="1"/>
    </xf>
    <xf numFmtId="0" fontId="22" fillId="6" borderId="8" xfId="22" applyFont="1" applyFill="1" applyBorder="1" applyAlignment="1">
      <alignment horizontal="center" vertical="center" wrapText="1"/>
    </xf>
    <xf numFmtId="10" fontId="22" fillId="6" borderId="8" xfId="2" applyNumberFormat="1" applyFont="1" applyFill="1" applyBorder="1" applyAlignment="1">
      <alignment horizontal="center" vertical="center" wrapText="1"/>
    </xf>
    <xf numFmtId="9" fontId="22" fillId="6" borderId="8" xfId="2" applyFont="1" applyFill="1" applyBorder="1" applyAlignment="1">
      <alignment horizontal="center" vertical="center" wrapText="1"/>
    </xf>
    <xf numFmtId="0" fontId="21" fillId="8" borderId="6" xfId="22" applyFont="1" applyFill="1" applyBorder="1" applyAlignment="1">
      <alignment vertical="center"/>
    </xf>
    <xf numFmtId="181" fontId="16" fillId="0" borderId="8" xfId="22" applyNumberFormat="1" applyFont="1" applyBorder="1" applyAlignment="1">
      <alignment horizontal="center" vertical="center"/>
    </xf>
    <xf numFmtId="1" fontId="16" fillId="0" borderId="6" xfId="22" applyNumberFormat="1" applyFont="1" applyBorder="1" applyAlignment="1">
      <alignment horizontal="center" vertical="center"/>
    </xf>
    <xf numFmtId="184" fontId="22" fillId="0" borderId="6" xfId="25" applyNumberFormat="1" applyFont="1" applyFill="1" applyBorder="1" applyAlignment="1" applyProtection="1">
      <alignment horizontal="left" vertical="center" wrapText="1"/>
    </xf>
    <xf numFmtId="0" fontId="22" fillId="11" borderId="8" xfId="22" applyFont="1" applyFill="1" applyBorder="1" applyAlignment="1">
      <alignment horizontal="center" vertical="center"/>
    </xf>
    <xf numFmtId="0" fontId="22" fillId="0" borderId="8" xfId="22" applyFont="1" applyBorder="1" applyAlignment="1">
      <alignment horizontal="center" vertical="center"/>
    </xf>
    <xf numFmtId="182" fontId="22" fillId="0" borderId="8" xfId="24" applyFont="1" applyBorder="1" applyAlignment="1">
      <alignment horizontal="center" vertical="center"/>
    </xf>
    <xf numFmtId="9" fontId="22" fillId="9" borderId="8" xfId="2" applyFont="1" applyFill="1" applyBorder="1" applyAlignment="1">
      <alignment horizontal="center" vertical="center"/>
    </xf>
    <xf numFmtId="9" fontId="22" fillId="9" borderId="6" xfId="2" applyFont="1" applyFill="1" applyBorder="1" applyAlignment="1">
      <alignment horizontal="center" vertical="center"/>
    </xf>
    <xf numFmtId="0" fontId="22" fillId="12" borderId="8" xfId="22" applyFont="1" applyFill="1" applyBorder="1" applyAlignment="1">
      <alignment horizontal="center" vertical="center"/>
    </xf>
    <xf numFmtId="184" fontId="22" fillId="0" borderId="6" xfId="25" applyNumberFormat="1" applyFont="1" applyFill="1" applyBorder="1" applyAlignment="1" applyProtection="1">
      <alignment vertical="center" wrapText="1"/>
    </xf>
    <xf numFmtId="181" fontId="16" fillId="6" borderId="8" xfId="22" applyNumberFormat="1" applyFont="1" applyFill="1" applyBorder="1" applyAlignment="1">
      <alignment horizontal="center" vertical="center"/>
    </xf>
    <xf numFmtId="1" fontId="16" fillId="6" borderId="6" xfId="22" applyNumberFormat="1" applyFont="1" applyFill="1" applyBorder="1" applyAlignment="1">
      <alignment horizontal="center" vertical="center"/>
    </xf>
    <xf numFmtId="184" fontId="22" fillId="6" borderId="6" xfId="25" applyNumberFormat="1" applyFont="1" applyFill="1" applyBorder="1" applyAlignment="1" applyProtection="1">
      <alignment horizontal="left" vertical="center" wrapText="1"/>
    </xf>
    <xf numFmtId="0" fontId="22" fillId="6" borderId="8" xfId="22" applyFont="1" applyFill="1" applyBorder="1" applyAlignment="1">
      <alignment horizontal="center" vertical="center"/>
    </xf>
    <xf numFmtId="182" fontId="22" fillId="6" borderId="8" xfId="24" applyFont="1" applyFill="1" applyBorder="1" applyAlignment="1">
      <alignment horizontal="center" vertical="center"/>
    </xf>
    <xf numFmtId="9" fontId="22" fillId="10" borderId="8" xfId="2" applyFont="1" applyFill="1" applyBorder="1" applyAlignment="1">
      <alignment horizontal="center" vertical="center"/>
    </xf>
    <xf numFmtId="9" fontId="22" fillId="10" borderId="6" xfId="2" applyFont="1" applyFill="1" applyBorder="1" applyAlignment="1">
      <alignment horizontal="center" vertical="center"/>
    </xf>
    <xf numFmtId="0" fontId="0" fillId="6" borderId="0" xfId="0" applyFill="1"/>
    <xf numFmtId="0" fontId="22" fillId="8" borderId="0" xfId="22" applyFont="1" applyFill="1" applyAlignment="1">
      <alignment horizontal="center" vertical="center"/>
    </xf>
    <xf numFmtId="9" fontId="21" fillId="8" borderId="0" xfId="2" applyFont="1" applyFill="1" applyBorder="1" applyAlignment="1" applyProtection="1">
      <alignment horizontal="center" vertical="center"/>
    </xf>
    <xf numFmtId="9" fontId="21" fillId="8" borderId="8" xfId="2" applyFont="1" applyFill="1" applyBorder="1" applyAlignment="1" applyProtection="1">
      <alignment horizontal="center" vertical="center"/>
    </xf>
    <xf numFmtId="0" fontId="22" fillId="9" borderId="65" xfId="0" applyFont="1" applyFill="1" applyBorder="1" applyAlignment="1">
      <alignment horizontal="center" vertical="center"/>
    </xf>
    <xf numFmtId="0" fontId="22" fillId="0" borderId="66" xfId="0" applyFont="1" applyBorder="1" applyAlignment="1">
      <alignment horizontal="center" vertical="center"/>
    </xf>
    <xf numFmtId="0" fontId="22" fillId="9" borderId="67" xfId="0" applyFont="1" applyFill="1" applyBorder="1" applyAlignment="1">
      <alignment horizontal="center" vertical="center"/>
    </xf>
    <xf numFmtId="184" fontId="22" fillId="0" borderId="28" xfId="25" applyNumberFormat="1" applyFont="1" applyFill="1" applyBorder="1" applyAlignment="1" applyProtection="1">
      <alignment horizontal="left" vertical="center" wrapText="1"/>
    </xf>
    <xf numFmtId="9" fontId="22" fillId="9" borderId="14" xfId="2" applyFont="1" applyFill="1" applyBorder="1" applyAlignment="1">
      <alignment horizontal="center" vertical="center"/>
    </xf>
    <xf numFmtId="9" fontId="22" fillId="9" borderId="28" xfId="2" applyFont="1" applyFill="1" applyBorder="1" applyAlignment="1">
      <alignment horizontal="center" vertical="center"/>
    </xf>
    <xf numFmtId="0" fontId="0" fillId="0" borderId="8" xfId="0" applyBorder="1"/>
    <xf numFmtId="0" fontId="22" fillId="0" borderId="8" xfId="23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60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0" xfId="0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25" fillId="0" borderId="8" xfId="27" applyFont="1" applyBorder="1" applyAlignment="1">
      <alignment horizontal="center" vertical="center"/>
    </xf>
    <xf numFmtId="0" fontId="25" fillId="0" borderId="8" xfId="27" applyFont="1" applyBorder="1" applyAlignment="1">
      <alignment horizontal="center" vertical="center" wrapText="1"/>
    </xf>
    <xf numFmtId="0" fontId="21" fillId="4" borderId="8" xfId="22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165" fontId="26" fillId="0" borderId="8" xfId="28" applyFont="1" applyBorder="1" applyAlignment="1">
      <alignment horizontal="center" vertical="center"/>
    </xf>
    <xf numFmtId="165" fontId="27" fillId="0" borderId="8" xfId="28" applyFont="1" applyBorder="1" applyAlignment="1">
      <alignment horizontal="center" vertical="center"/>
    </xf>
    <xf numFmtId="165" fontId="28" fillId="0" borderId="8" xfId="28" applyFont="1" applyBorder="1" applyAlignment="1">
      <alignment horizontal="center" vertical="center"/>
    </xf>
    <xf numFmtId="0" fontId="0" fillId="0" borderId="68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7" fillId="0" borderId="8" xfId="4" applyFont="1" applyBorder="1" applyAlignment="1">
      <alignment horizontal="left" vertical="center" wrapText="1"/>
    </xf>
    <xf numFmtId="0" fontId="21" fillId="4" borderId="21" xfId="22" applyFont="1" applyFill="1" applyBorder="1" applyAlignment="1">
      <alignment horizontal="center" vertical="center"/>
    </xf>
    <xf numFmtId="0" fontId="21" fillId="8" borderId="5" xfId="22" applyFont="1" applyFill="1" applyBorder="1" applyAlignment="1">
      <alignment horizontal="center" vertical="center" wrapText="1"/>
    </xf>
    <xf numFmtId="0" fontId="15" fillId="0" borderId="0" xfId="22" applyFont="1" applyAlignment="1">
      <alignment vertical="center"/>
    </xf>
    <xf numFmtId="0" fontId="16" fillId="0" borderId="0" xfId="22" applyFont="1" applyAlignment="1">
      <alignment vertical="center"/>
    </xf>
    <xf numFmtId="0" fontId="16" fillId="0" borderId="0" xfId="22" applyFont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22" fillId="8" borderId="9" xfId="22" applyFont="1" applyFill="1" applyBorder="1" applyAlignment="1">
      <alignment horizontal="center" vertical="center" wrapText="1"/>
    </xf>
    <xf numFmtId="0" fontId="22" fillId="8" borderId="12" xfId="22" applyFont="1" applyFill="1" applyBorder="1" applyAlignment="1">
      <alignment horizontal="center" vertical="center" wrapText="1"/>
    </xf>
    <xf numFmtId="0" fontId="21" fillId="8" borderId="0" xfId="22" applyFont="1" applyFill="1" applyAlignment="1">
      <alignment vertical="center" wrapText="1"/>
    </xf>
    <xf numFmtId="0" fontId="21" fillId="8" borderId="9" xfId="22" applyFont="1" applyFill="1" applyBorder="1" applyAlignment="1">
      <alignment horizontal="center" vertical="center"/>
    </xf>
    <xf numFmtId="0" fontId="21" fillId="8" borderId="10" xfId="22" applyFont="1" applyFill="1" applyBorder="1" applyAlignment="1">
      <alignment vertical="center"/>
    </xf>
    <xf numFmtId="0" fontId="30" fillId="0" borderId="8" xfId="29" applyFont="1" applyBorder="1" applyAlignment="1">
      <alignment horizontal="left"/>
    </xf>
    <xf numFmtId="0" fontId="21" fillId="0" borderId="8" xfId="22" applyFont="1" applyBorder="1" applyAlignment="1">
      <alignment vertical="center" wrapText="1"/>
    </xf>
    <xf numFmtId="165" fontId="17" fillId="0" borderId="8" xfId="7" applyFont="1" applyBorder="1"/>
    <xf numFmtId="0" fontId="21" fillId="0" borderId="0" xfId="22" applyFont="1" applyAlignment="1">
      <alignment vertical="center" wrapText="1"/>
    </xf>
    <xf numFmtId="0" fontId="16" fillId="0" borderId="5" xfId="22" applyFont="1" applyBorder="1" applyAlignment="1">
      <alignment horizontal="center" vertical="center"/>
    </xf>
    <xf numFmtId="0" fontId="22" fillId="0" borderId="65" xfId="0" applyFont="1" applyBorder="1" applyAlignment="1">
      <alignment horizontal="center" vertical="center"/>
    </xf>
    <xf numFmtId="186" fontId="22" fillId="0" borderId="8" xfId="22" applyNumberFormat="1" applyFont="1" applyBorder="1" applyAlignment="1">
      <alignment horizontal="right" vertical="center"/>
    </xf>
    <xf numFmtId="187" fontId="22" fillId="0" borderId="8" xfId="22" applyNumberFormat="1" applyFont="1" applyBorder="1" applyAlignment="1">
      <alignment horizontal="center" vertical="center"/>
    </xf>
    <xf numFmtId="186" fontId="22" fillId="0" borderId="12" xfId="22" applyNumberFormat="1" applyFont="1" applyBorder="1" applyAlignment="1">
      <alignment vertical="center"/>
    </xf>
    <xf numFmtId="0" fontId="16" fillId="0" borderId="8" xfId="22" applyFont="1" applyBorder="1" applyAlignment="1">
      <alignment vertical="center"/>
    </xf>
    <xf numFmtId="0" fontId="21" fillId="8" borderId="5" xfId="22" applyFont="1" applyFill="1" applyBorder="1" applyAlignment="1">
      <alignment horizontal="center" vertical="center"/>
    </xf>
    <xf numFmtId="187" fontId="21" fillId="8" borderId="9" xfId="22" applyNumberFormat="1" applyFont="1" applyFill="1" applyBorder="1" applyAlignment="1">
      <alignment vertical="center"/>
    </xf>
    <xf numFmtId="187" fontId="21" fillId="8" borderId="9" xfId="22" applyNumberFormat="1" applyFont="1" applyFill="1" applyBorder="1" applyAlignment="1">
      <alignment horizontal="center" vertical="center"/>
    </xf>
    <xf numFmtId="0" fontId="16" fillId="8" borderId="5" xfId="22" applyFont="1" applyFill="1" applyBorder="1" applyAlignment="1">
      <alignment horizontal="center" vertical="center" wrapText="1"/>
    </xf>
    <xf numFmtId="0" fontId="21" fillId="8" borderId="0" xfId="22" applyFont="1" applyFill="1" applyAlignment="1">
      <alignment horizontal="center" vertical="center" wrapText="1"/>
    </xf>
    <xf numFmtId="186" fontId="22" fillId="8" borderId="0" xfId="22" applyNumberFormat="1" applyFont="1" applyFill="1" applyAlignment="1">
      <alignment horizontal="right" vertical="center"/>
    </xf>
    <xf numFmtId="187" fontId="22" fillId="8" borderId="0" xfId="22" applyNumberFormat="1" applyFont="1" applyFill="1" applyAlignment="1">
      <alignment horizontal="center" vertical="center"/>
    </xf>
    <xf numFmtId="188" fontId="22" fillId="8" borderId="0" xfId="22" applyNumberFormat="1" applyFont="1" applyFill="1" applyAlignment="1">
      <alignment horizontal="center" vertical="center"/>
    </xf>
    <xf numFmtId="186" fontId="22" fillId="8" borderId="68" xfId="22" applyNumberFormat="1" applyFont="1" applyFill="1" applyBorder="1" applyAlignment="1">
      <alignment vertical="center"/>
    </xf>
    <xf numFmtId="0" fontId="16" fillId="0" borderId="60" xfId="22" applyFont="1" applyBorder="1" applyAlignment="1">
      <alignment horizontal="center" vertical="center"/>
    </xf>
    <xf numFmtId="0" fontId="16" fillId="0" borderId="0" xfId="22" applyFont="1" applyAlignment="1">
      <alignment horizontal="center" vertical="center"/>
    </xf>
    <xf numFmtId="186" fontId="21" fillId="0" borderId="12" xfId="22" applyNumberFormat="1" applyFont="1" applyBorder="1" applyAlignment="1">
      <alignment vertical="center"/>
    </xf>
    <xf numFmtId="44" fontId="16" fillId="0" borderId="0" xfId="1" applyFont="1" applyAlignment="1">
      <alignment vertical="center"/>
    </xf>
    <xf numFmtId="44" fontId="16" fillId="0" borderId="0" xfId="1" applyFont="1" applyAlignment="1">
      <alignment horizontal="center" vertical="center"/>
    </xf>
    <xf numFmtId="0" fontId="21" fillId="0" borderId="9" xfId="22" applyFont="1" applyBorder="1" applyAlignment="1">
      <alignment horizontal="left" vertical="center"/>
    </xf>
    <xf numFmtId="0" fontId="21" fillId="8" borderId="8" xfId="22" applyFont="1" applyFill="1" applyBorder="1" applyAlignment="1">
      <alignment horizontal="center" vertical="center"/>
    </xf>
    <xf numFmtId="0" fontId="21" fillId="8" borderId="12" xfId="22" applyFont="1" applyFill="1" applyBorder="1" applyAlignment="1">
      <alignment horizontal="center" vertical="center" wrapText="1"/>
    </xf>
    <xf numFmtId="0" fontId="16" fillId="0" borderId="0" xfId="22" applyFont="1" applyAlignment="1">
      <alignment horizontal="center" vertical="center" wrapText="1"/>
    </xf>
    <xf numFmtId="0" fontId="16" fillId="0" borderId="8" xfId="22" applyFont="1" applyBorder="1" applyAlignment="1">
      <alignment horizontal="center" vertical="center"/>
    </xf>
    <xf numFmtId="0" fontId="22" fillId="11" borderId="8" xfId="22" applyFont="1" applyFill="1" applyBorder="1" applyAlignment="1">
      <alignment horizontal="center" vertical="center" wrapText="1"/>
    </xf>
    <xf numFmtId="4" fontId="22" fillId="11" borderId="8" xfId="22" applyNumberFormat="1" applyFont="1" applyFill="1" applyBorder="1" applyAlignment="1">
      <alignment horizontal="center" vertical="center" wrapText="1"/>
    </xf>
    <xf numFmtId="189" fontId="22" fillId="0" borderId="8" xfId="22" applyNumberFormat="1" applyFont="1" applyBorder="1" applyAlignment="1">
      <alignment horizontal="right" vertical="center"/>
    </xf>
    <xf numFmtId="9" fontId="22" fillId="11" borderId="8" xfId="2" applyFont="1" applyFill="1" applyBorder="1" applyAlignment="1" applyProtection="1">
      <alignment horizontal="center" vertical="center"/>
    </xf>
    <xf numFmtId="4" fontId="22" fillId="0" borderId="8" xfId="22" applyNumberFormat="1" applyFont="1" applyBorder="1" applyAlignment="1">
      <alignment horizontal="center" vertical="center"/>
    </xf>
    <xf numFmtId="188" fontId="22" fillId="0" borderId="6" xfId="22" applyNumberFormat="1" applyFont="1" applyBorder="1" applyAlignment="1">
      <alignment horizontal="center" vertical="center"/>
    </xf>
    <xf numFmtId="186" fontId="22" fillId="0" borderId="12" xfId="22" applyNumberFormat="1" applyFont="1" applyBorder="1" applyAlignment="1">
      <alignment horizontal="right" vertical="center"/>
    </xf>
    <xf numFmtId="0" fontId="22" fillId="0" borderId="5" xfId="16" applyFont="1" applyBorder="1" applyAlignment="1">
      <alignment horizontal="center" vertical="center"/>
    </xf>
    <xf numFmtId="0" fontId="22" fillId="11" borderId="8" xfId="0" applyFont="1" applyFill="1" applyBorder="1" applyAlignment="1">
      <alignment horizontal="center" vertical="center"/>
    </xf>
    <xf numFmtId="9" fontId="22" fillId="0" borderId="8" xfId="2" applyFont="1" applyFill="1" applyBorder="1" applyAlignment="1" applyProtection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4" borderId="8" xfId="22" applyFont="1" applyFill="1" applyBorder="1" applyAlignment="1">
      <alignment horizontal="center" vertical="center"/>
    </xf>
    <xf numFmtId="0" fontId="22" fillId="4" borderId="8" xfId="22" applyFont="1" applyFill="1" applyBorder="1" applyAlignment="1">
      <alignment horizontal="center" vertical="center" wrapText="1"/>
    </xf>
    <xf numFmtId="9" fontId="22" fillId="4" borderId="8" xfId="2" applyFont="1" applyFill="1" applyBorder="1" applyAlignment="1" applyProtection="1">
      <alignment horizontal="center" vertical="center"/>
    </xf>
    <xf numFmtId="188" fontId="22" fillId="4" borderId="6" xfId="22" applyNumberFormat="1" applyFont="1" applyFill="1" applyBorder="1" applyAlignment="1">
      <alignment horizontal="center" vertical="center"/>
    </xf>
    <xf numFmtId="186" fontId="22" fillId="4" borderId="12" xfId="22" applyNumberFormat="1" applyFont="1" applyFill="1" applyBorder="1" applyAlignment="1">
      <alignment horizontal="right" vertical="center"/>
    </xf>
    <xf numFmtId="186" fontId="21" fillId="4" borderId="12" xfId="22" applyNumberFormat="1" applyFont="1" applyFill="1" applyBorder="1" applyAlignment="1">
      <alignment vertical="center"/>
    </xf>
    <xf numFmtId="0" fontId="21" fillId="4" borderId="0" xfId="22" applyFont="1" applyFill="1" applyAlignment="1">
      <alignment horizontal="left" vertical="center"/>
    </xf>
    <xf numFmtId="0" fontId="21" fillId="4" borderId="68" xfId="22" applyFont="1" applyFill="1" applyBorder="1" applyAlignment="1">
      <alignment horizontal="left" vertical="center"/>
    </xf>
    <xf numFmtId="190" fontId="8" fillId="4" borderId="10" xfId="2" applyNumberFormat="1" applyFont="1" applyFill="1" applyBorder="1" applyAlignment="1" applyProtection="1">
      <alignment horizontal="center" vertical="center"/>
    </xf>
    <xf numFmtId="0" fontId="22" fillId="0" borderId="0" xfId="22" applyFont="1" applyAlignment="1">
      <alignment horizontal="left" vertical="center"/>
    </xf>
    <xf numFmtId="0" fontId="22" fillId="0" borderId="0" xfId="22" applyFont="1" applyAlignment="1">
      <alignment horizontal="center" vertical="center"/>
    </xf>
    <xf numFmtId="37" fontId="22" fillId="0" borderId="68" xfId="22" applyNumberFormat="1" applyFont="1" applyBorder="1" applyAlignment="1">
      <alignment vertical="center"/>
    </xf>
    <xf numFmtId="0" fontId="21" fillId="0" borderId="60" xfId="22" applyFont="1" applyBorder="1" applyAlignment="1">
      <alignment horizontal="center" vertical="center" wrapText="1"/>
    </xf>
    <xf numFmtId="0" fontId="15" fillId="0" borderId="0" xfId="22" applyFont="1" applyAlignment="1">
      <alignment horizontal="center" vertical="center"/>
    </xf>
    <xf numFmtId="0" fontId="21" fillId="8" borderId="9" xfId="22" applyFont="1" applyFill="1" applyBorder="1" applyAlignment="1">
      <alignment horizontal="left" vertical="center" wrapText="1"/>
    </xf>
    <xf numFmtId="0" fontId="22" fillId="8" borderId="9" xfId="22" applyFont="1" applyFill="1" applyBorder="1" applyAlignment="1">
      <alignment vertical="center" wrapText="1"/>
    </xf>
    <xf numFmtId="0" fontId="21" fillId="8" borderId="12" xfId="22" applyFont="1" applyFill="1" applyBorder="1" applyAlignment="1">
      <alignment horizontal="center" vertical="center"/>
    </xf>
    <xf numFmtId="0" fontId="22" fillId="0" borderId="6" xfId="22" applyFont="1" applyBorder="1" applyAlignment="1">
      <alignment horizontal="left" vertical="center"/>
    </xf>
    <xf numFmtId="0" fontId="22" fillId="0" borderId="9" xfId="22" applyFont="1" applyBorder="1" applyAlignment="1">
      <alignment horizontal="left" vertical="center"/>
    </xf>
    <xf numFmtId="186" fontId="22" fillId="0" borderId="12" xfId="22" applyNumberFormat="1" applyFont="1" applyBorder="1" applyAlignment="1">
      <alignment horizontal="right" vertical="center" wrapText="1"/>
    </xf>
    <xf numFmtId="37" fontId="21" fillId="0" borderId="0" xfId="22" applyNumberFormat="1" applyFont="1" applyAlignment="1">
      <alignment vertical="center"/>
    </xf>
    <xf numFmtId="37" fontId="21" fillId="0" borderId="0" xfId="22" applyNumberFormat="1" applyFont="1" applyAlignment="1">
      <alignment horizontal="center" vertical="center"/>
    </xf>
    <xf numFmtId="37" fontId="21" fillId="0" borderId="68" xfId="22" applyNumberFormat="1" applyFont="1" applyBorder="1" applyAlignment="1">
      <alignment vertical="center"/>
    </xf>
    <xf numFmtId="9" fontId="22" fillId="0" borderId="8" xfId="22" applyNumberFormat="1" applyFont="1" applyBorder="1" applyAlignment="1">
      <alignment horizontal="center" vertical="center" wrapText="1"/>
    </xf>
    <xf numFmtId="192" fontId="22" fillId="0" borderId="8" xfId="22" applyNumberFormat="1" applyFont="1" applyBorder="1" applyAlignment="1">
      <alignment horizontal="center" vertical="center" wrapText="1"/>
    </xf>
    <xf numFmtId="10" fontId="22" fillId="0" borderId="8" xfId="22" applyNumberFormat="1" applyFont="1" applyBorder="1" applyAlignment="1">
      <alignment horizontal="center" vertical="center" wrapText="1"/>
    </xf>
    <xf numFmtId="182" fontId="22" fillId="0" borderId="12" xfId="24" applyFont="1" applyBorder="1" applyAlignment="1">
      <alignment horizontal="right" vertical="center" wrapText="1"/>
    </xf>
    <xf numFmtId="9" fontId="16" fillId="0" borderId="8" xfId="2" applyFont="1" applyBorder="1" applyAlignment="1">
      <alignment horizontal="center" vertical="center"/>
    </xf>
    <xf numFmtId="0" fontId="22" fillId="0" borderId="8" xfId="30" applyFont="1" applyBorder="1" applyAlignment="1">
      <alignment horizontal="center" vertical="center" wrapText="1"/>
    </xf>
    <xf numFmtId="0" fontId="21" fillId="0" borderId="6" xfId="22" applyFont="1" applyBorder="1" applyAlignment="1">
      <alignment vertical="center"/>
    </xf>
    <xf numFmtId="0" fontId="21" fillId="0" borderId="9" xfId="22" applyFont="1" applyBorder="1" applyAlignment="1">
      <alignment vertical="center"/>
    </xf>
    <xf numFmtId="0" fontId="21" fillId="0" borderId="9" xfId="22" applyFont="1" applyBorder="1" applyAlignment="1">
      <alignment horizontal="center" vertical="center"/>
    </xf>
    <xf numFmtId="190" fontId="8" fillId="0" borderId="10" xfId="31" applyNumberFormat="1" applyFont="1" applyFill="1" applyBorder="1" applyAlignment="1" applyProtection="1">
      <alignment horizontal="center" vertical="center"/>
    </xf>
    <xf numFmtId="10" fontId="21" fillId="0" borderId="12" xfId="22" applyNumberFormat="1" applyFont="1" applyBorder="1" applyAlignment="1">
      <alignment horizontal="center" vertical="center"/>
    </xf>
    <xf numFmtId="0" fontId="15" fillId="0" borderId="60" xfId="22" applyFont="1" applyBorder="1" applyAlignment="1">
      <alignment horizontal="center" vertical="center"/>
    </xf>
    <xf numFmtId="190" fontId="21" fillId="0" borderId="12" xfId="22" applyNumberFormat="1" applyFont="1" applyBorder="1" applyAlignment="1">
      <alignment horizontal="center" vertical="center"/>
    </xf>
    <xf numFmtId="0" fontId="16" fillId="0" borderId="42" xfId="22" applyFont="1" applyBorder="1" applyAlignment="1">
      <alignment horizontal="center" vertical="center"/>
    </xf>
    <xf numFmtId="0" fontId="16" fillId="0" borderId="36" xfId="22" applyFont="1" applyBorder="1" applyAlignment="1">
      <alignment horizontal="center" vertical="center"/>
    </xf>
    <xf numFmtId="0" fontId="21" fillId="0" borderId="73" xfId="22" applyFont="1" applyBorder="1" applyAlignment="1">
      <alignment vertical="center"/>
    </xf>
    <xf numFmtId="0" fontId="21" fillId="0" borderId="57" xfId="22" applyFont="1" applyBorder="1" applyAlignment="1">
      <alignment vertical="center"/>
    </xf>
    <xf numFmtId="0" fontId="15" fillId="0" borderId="57" xfId="22" applyFont="1" applyBorder="1" applyAlignment="1">
      <alignment horizontal="left" vertical="center"/>
    </xf>
    <xf numFmtId="0" fontId="15" fillId="0" borderId="57" xfId="22" applyFont="1" applyBorder="1" applyAlignment="1">
      <alignment horizontal="center" vertical="center"/>
    </xf>
    <xf numFmtId="10" fontId="32" fillId="0" borderId="27" xfId="22" applyNumberFormat="1" applyFont="1" applyBorder="1" applyAlignment="1">
      <alignment horizontal="center" vertical="center"/>
    </xf>
    <xf numFmtId="0" fontId="0" fillId="0" borderId="69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0" fontId="21" fillId="4" borderId="2" xfId="22" applyFont="1" applyFill="1" applyBorder="1" applyAlignment="1">
      <alignment horizontal="center" vertical="center"/>
    </xf>
    <xf numFmtId="0" fontId="21" fillId="8" borderId="41" xfId="22" applyFont="1" applyFill="1" applyBorder="1" applyAlignment="1">
      <alignment vertical="center"/>
    </xf>
    <xf numFmtId="186" fontId="21" fillId="4" borderId="27" xfId="22" applyNumberFormat="1" applyFont="1" applyFill="1" applyBorder="1" applyAlignment="1">
      <alignment vertical="center"/>
    </xf>
    <xf numFmtId="0" fontId="34" fillId="0" borderId="0" xfId="32" applyFont="1" applyAlignment="1">
      <alignment horizontal="center" vertical="center"/>
    </xf>
    <xf numFmtId="0" fontId="3" fillId="0" borderId="0" xfId="3"/>
    <xf numFmtId="0" fontId="35" fillId="0" borderId="0" xfId="33" applyFont="1" applyAlignment="1">
      <alignment horizontal="center" vertical="center"/>
    </xf>
    <xf numFmtId="0" fontId="34" fillId="0" borderId="8" xfId="32" applyFont="1" applyBorder="1" applyAlignment="1">
      <alignment horizontal="center" vertical="center"/>
    </xf>
    <xf numFmtId="0" fontId="3" fillId="0" borderId="64" xfId="3" applyBorder="1"/>
    <xf numFmtId="0" fontId="3" fillId="0" borderId="48" xfId="3" applyBorder="1"/>
    <xf numFmtId="181" fontId="8" fillId="0" borderId="8" xfId="22" applyNumberFormat="1" applyFont="1" applyBorder="1" applyAlignment="1">
      <alignment horizontal="center" vertical="center"/>
    </xf>
    <xf numFmtId="0" fontId="8" fillId="14" borderId="8" xfId="22" applyFont="1" applyFill="1" applyBorder="1" applyAlignment="1">
      <alignment horizontal="center" vertical="center"/>
    </xf>
    <xf numFmtId="0" fontId="8" fillId="14" borderId="8" xfId="22" applyFont="1" applyFill="1" applyBorder="1" applyAlignment="1">
      <alignment horizontal="center" vertical="center" wrapText="1"/>
    </xf>
    <xf numFmtId="0" fontId="23" fillId="14" borderId="7" xfId="22" applyFont="1" applyFill="1" applyBorder="1" applyAlignment="1">
      <alignment horizontal="center" vertical="center" wrapText="1"/>
    </xf>
    <xf numFmtId="0" fontId="23" fillId="14" borderId="8" xfId="22" applyFont="1" applyFill="1" applyBorder="1" applyAlignment="1">
      <alignment horizontal="center" vertical="center" wrapText="1"/>
    </xf>
    <xf numFmtId="0" fontId="21" fillId="14" borderId="8" xfId="22" applyFont="1" applyFill="1" applyBorder="1" applyAlignment="1">
      <alignment horizontal="center" vertical="center" wrapText="1"/>
    </xf>
    <xf numFmtId="0" fontId="3" fillId="0" borderId="8" xfId="3" applyBorder="1" applyAlignment="1">
      <alignment horizontal="center"/>
    </xf>
    <xf numFmtId="0" fontId="38" fillId="14" borderId="7" xfId="22" applyFont="1" applyFill="1" applyBorder="1" applyAlignment="1">
      <alignment horizontal="center" vertical="center" wrapText="1"/>
    </xf>
    <xf numFmtId="0" fontId="23" fillId="14" borderId="8" xfId="22" applyFont="1" applyFill="1" applyBorder="1" applyAlignment="1">
      <alignment vertical="center" wrapText="1"/>
    </xf>
    <xf numFmtId="0" fontId="3" fillId="14" borderId="8" xfId="22" applyFill="1" applyBorder="1" applyAlignment="1">
      <alignment horizontal="center" vertical="center" wrapText="1"/>
    </xf>
    <xf numFmtId="0" fontId="3" fillId="0" borderId="8" xfId="3" applyBorder="1"/>
    <xf numFmtId="0" fontId="3" fillId="0" borderId="14" xfId="3" applyBorder="1" applyAlignment="1">
      <alignment vertical="center"/>
    </xf>
    <xf numFmtId="49" fontId="8" fillId="14" borderId="14" xfId="22" applyNumberFormat="1" applyFont="1" applyFill="1" applyBorder="1" applyAlignment="1">
      <alignment horizontal="center" vertical="center" wrapText="1"/>
    </xf>
    <xf numFmtId="0" fontId="8" fillId="14" borderId="69" xfId="22" applyFont="1" applyFill="1" applyBorder="1" applyAlignment="1">
      <alignment vertical="center"/>
    </xf>
    <xf numFmtId="0" fontId="8" fillId="14" borderId="70" xfId="22" applyFont="1" applyFill="1" applyBorder="1" applyAlignment="1">
      <alignment vertical="center"/>
    </xf>
    <xf numFmtId="49" fontId="3" fillId="0" borderId="8" xfId="3" applyNumberFormat="1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182" fontId="0" fillId="0" borderId="8" xfId="24" applyFont="1" applyBorder="1" applyAlignment="1">
      <alignment horizontal="center" vertical="center"/>
    </xf>
    <xf numFmtId="10" fontId="0" fillId="0" borderId="8" xfId="35" applyNumberFormat="1" applyFont="1" applyBorder="1" applyAlignment="1">
      <alignment horizontal="center" vertical="center"/>
    </xf>
    <xf numFmtId="2" fontId="3" fillId="0" borderId="8" xfId="3" applyNumberFormat="1" applyBorder="1" applyAlignment="1">
      <alignment horizontal="center" vertical="center"/>
    </xf>
    <xf numFmtId="182" fontId="0" fillId="0" borderId="8" xfId="24" applyFont="1" applyBorder="1" applyAlignment="1">
      <alignment vertical="center"/>
    </xf>
    <xf numFmtId="0" fontId="8" fillId="14" borderId="6" xfId="22" applyFont="1" applyFill="1" applyBorder="1" applyAlignment="1">
      <alignment vertical="center"/>
    </xf>
    <xf numFmtId="0" fontId="8" fillId="14" borderId="9" xfId="22" applyFont="1" applyFill="1" applyBorder="1" applyAlignment="1">
      <alignment vertical="center"/>
    </xf>
    <xf numFmtId="0" fontId="8" fillId="14" borderId="7" xfId="22" applyFont="1" applyFill="1" applyBorder="1" applyAlignment="1">
      <alignment vertical="center"/>
    </xf>
    <xf numFmtId="0" fontId="8" fillId="14" borderId="69" xfId="22" applyFont="1" applyFill="1" applyBorder="1" applyAlignment="1">
      <alignment horizontal="center" vertical="center"/>
    </xf>
    <xf numFmtId="187" fontId="8" fillId="14" borderId="69" xfId="22" applyNumberFormat="1" applyFont="1" applyFill="1" applyBorder="1" applyAlignment="1">
      <alignment vertical="center"/>
    </xf>
    <xf numFmtId="0" fontId="3" fillId="0" borderId="0" xfId="3" applyAlignment="1">
      <alignment horizontal="center"/>
    </xf>
    <xf numFmtId="195" fontId="8" fillId="0" borderId="8" xfId="36" applyNumberFormat="1" applyFont="1" applyBorder="1" applyAlignment="1">
      <alignment vertical="center"/>
    </xf>
    <xf numFmtId="0" fontId="8" fillId="14" borderId="8" xfId="30" applyFont="1" applyFill="1" applyBorder="1" applyAlignment="1">
      <alignment horizontal="center" vertical="center" wrapText="1"/>
    </xf>
    <xf numFmtId="165" fontId="4" fillId="14" borderId="8" xfId="7" applyFont="1" applyFill="1" applyBorder="1" applyAlignment="1">
      <alignment horizontal="right" vertical="center"/>
    </xf>
    <xf numFmtId="0" fontId="8" fillId="14" borderId="54" xfId="22" applyFont="1" applyFill="1" applyBorder="1" applyAlignment="1">
      <alignment horizontal="left" vertical="center"/>
    </xf>
    <xf numFmtId="0" fontId="8" fillId="0" borderId="0" xfId="3" applyFont="1"/>
    <xf numFmtId="0" fontId="3" fillId="6" borderId="0" xfId="3" applyFill="1"/>
    <xf numFmtId="182" fontId="0" fillId="0" borderId="8" xfId="24" applyFont="1" applyFill="1" applyBorder="1" applyAlignment="1">
      <alignment horizontal="center" vertical="center"/>
    </xf>
    <xf numFmtId="0" fontId="35" fillId="6" borderId="0" xfId="33" applyFont="1" applyFill="1" applyAlignment="1">
      <alignment horizontal="center" vertical="center"/>
    </xf>
    <xf numFmtId="0" fontId="3" fillId="0" borderId="0" xfId="3" applyAlignment="1">
      <alignment horizontal="left" vertical="center" wrapText="1"/>
    </xf>
    <xf numFmtId="194" fontId="8" fillId="0" borderId="8" xfId="36" applyFont="1" applyBorder="1" applyAlignment="1">
      <alignment vertical="center"/>
    </xf>
    <xf numFmtId="0" fontId="8" fillId="14" borderId="72" xfId="22" applyFont="1" applyFill="1" applyBorder="1" applyAlignment="1">
      <alignment vertical="center"/>
    </xf>
    <xf numFmtId="0" fontId="8" fillId="14" borderId="54" xfId="22" applyFont="1" applyFill="1" applyBorder="1" applyAlignment="1">
      <alignment vertical="center"/>
    </xf>
    <xf numFmtId="0" fontId="34" fillId="0" borderId="8" xfId="32" applyFont="1" applyBorder="1" applyAlignment="1">
      <alignment horizontal="left" vertical="center"/>
    </xf>
    <xf numFmtId="0" fontId="8" fillId="14" borderId="6" xfId="22" applyFont="1" applyFill="1" applyBorder="1" applyAlignment="1">
      <alignment horizontal="center" vertical="center"/>
    </xf>
    <xf numFmtId="0" fontId="3" fillId="0" borderId="39" xfId="22" applyBorder="1" applyAlignment="1">
      <alignment horizontal="center" vertical="center" wrapText="1"/>
    </xf>
    <xf numFmtId="0" fontId="3" fillId="0" borderId="8" xfId="22" applyBorder="1" applyAlignment="1">
      <alignment horizontal="center" vertical="center" wrapText="1"/>
    </xf>
    <xf numFmtId="0" fontId="3" fillId="0" borderId="8" xfId="3" applyBorder="1" applyAlignment="1">
      <alignment horizontal="center" vertical="center" wrapText="1"/>
    </xf>
    <xf numFmtId="165" fontId="3" fillId="0" borderId="8" xfId="7" applyBorder="1"/>
    <xf numFmtId="165" fontId="3" fillId="0" borderId="8" xfId="7" applyFill="1" applyBorder="1"/>
    <xf numFmtId="0" fontId="34" fillId="0" borderId="14" xfId="32" applyFont="1" applyBorder="1" applyAlignment="1">
      <alignment horizontal="left" vertical="center"/>
    </xf>
    <xf numFmtId="165" fontId="3" fillId="0" borderId="14" xfId="3" applyNumberFormat="1" applyBorder="1"/>
    <xf numFmtId="0" fontId="3" fillId="0" borderId="8" xfId="3" applyBorder="1" applyAlignment="1">
      <alignment vertical="center"/>
    </xf>
    <xf numFmtId="2" fontId="3" fillId="0" borderId="8" xfId="3" applyNumberFormat="1" applyBorder="1"/>
    <xf numFmtId="0" fontId="34" fillId="0" borderId="8" xfId="3" applyFont="1" applyBorder="1" applyAlignment="1">
      <alignment horizontal="center" vertical="center"/>
    </xf>
    <xf numFmtId="0" fontId="3" fillId="0" borderId="0" xfId="3" applyAlignment="1">
      <alignment vertical="center"/>
    </xf>
    <xf numFmtId="0" fontId="38" fillId="14" borderId="8" xfId="22" applyFont="1" applyFill="1" applyBorder="1" applyAlignment="1">
      <alignment horizontal="center" vertical="center" wrapText="1"/>
    </xf>
    <xf numFmtId="0" fontId="35" fillId="0" borderId="54" xfId="33" applyFont="1" applyBorder="1" applyAlignment="1">
      <alignment horizontal="center" vertical="center"/>
    </xf>
    <xf numFmtId="0" fontId="3" fillId="0" borderId="54" xfId="3" applyBorder="1"/>
    <xf numFmtId="49" fontId="3" fillId="0" borderId="39" xfId="3" applyNumberFormat="1" applyBorder="1" applyAlignment="1">
      <alignment horizontal="center" vertical="center"/>
    </xf>
    <xf numFmtId="0" fontId="8" fillId="14" borderId="72" xfId="22" applyFont="1" applyFill="1" applyBorder="1" applyAlignment="1">
      <alignment horizontal="center" vertical="center"/>
    </xf>
    <xf numFmtId="0" fontId="8" fillId="0" borderId="8" xfId="22" applyFont="1" applyBorder="1" applyAlignment="1">
      <alignment horizontal="center" vertical="center" wrapText="1"/>
    </xf>
    <xf numFmtId="0" fontId="8" fillId="0" borderId="8" xfId="30" applyFont="1" applyBorder="1" applyAlignment="1">
      <alignment horizontal="center" vertical="center" wrapText="1"/>
    </xf>
    <xf numFmtId="165" fontId="4" fillId="0" borderId="8" xfId="7" applyFont="1" applyFill="1" applyBorder="1" applyAlignment="1">
      <alignment horizontal="right" vertical="center"/>
    </xf>
    <xf numFmtId="0" fontId="34" fillId="0" borderId="14" xfId="32" applyFont="1" applyBorder="1" applyAlignment="1">
      <alignment horizontal="center" vertical="center"/>
    </xf>
    <xf numFmtId="2" fontId="3" fillId="0" borderId="8" xfId="3" applyNumberFormat="1" applyBorder="1" applyAlignment="1">
      <alignment horizontal="center"/>
    </xf>
    <xf numFmtId="0" fontId="40" fillId="13" borderId="64" xfId="33" applyFont="1" applyFill="1" applyBorder="1" applyAlignment="1">
      <alignment vertical="center" wrapText="1" shrinkToFit="1"/>
    </xf>
    <xf numFmtId="0" fontId="40" fillId="13" borderId="0" xfId="33" applyFont="1" applyFill="1" applyAlignment="1">
      <alignment vertical="center" wrapText="1" shrinkToFit="1"/>
    </xf>
    <xf numFmtId="0" fontId="40" fillId="13" borderId="48" xfId="33" applyFont="1" applyFill="1" applyBorder="1" applyAlignment="1">
      <alignment vertical="center" wrapText="1" shrinkToFit="1"/>
    </xf>
    <xf numFmtId="0" fontId="3" fillId="0" borderId="64" xfId="3" applyBorder="1" applyAlignment="1">
      <alignment vertical="center"/>
    </xf>
    <xf numFmtId="0" fontId="3" fillId="0" borderId="48" xfId="3" applyBorder="1" applyAlignment="1">
      <alignment vertical="center"/>
    </xf>
    <xf numFmtId="165" fontId="3" fillId="0" borderId="8" xfId="7" applyBorder="1" applyAlignment="1">
      <alignment vertical="center"/>
    </xf>
    <xf numFmtId="165" fontId="3" fillId="0" borderId="8" xfId="7" applyFill="1" applyBorder="1" applyAlignment="1">
      <alignment vertical="center"/>
    </xf>
    <xf numFmtId="165" fontId="3" fillId="0" borderId="14" xfId="3" applyNumberFormat="1" applyBorder="1" applyAlignment="1">
      <alignment vertical="center"/>
    </xf>
    <xf numFmtId="2" fontId="3" fillId="0" borderId="8" xfId="3" applyNumberFormat="1" applyBorder="1" applyAlignment="1">
      <alignment vertical="center"/>
    </xf>
    <xf numFmtId="0" fontId="0" fillId="0" borderId="8" xfId="0" applyBorder="1" applyAlignment="1">
      <alignment horizontal="center"/>
    </xf>
    <xf numFmtId="0" fontId="10" fillId="0" borderId="8" xfId="0" applyFont="1" applyBorder="1"/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left"/>
    </xf>
    <xf numFmtId="0" fontId="10" fillId="0" borderId="6" xfId="0" applyFont="1" applyBorder="1"/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7" xfId="0" applyBorder="1" applyAlignment="1">
      <alignment horizontal="right"/>
    </xf>
    <xf numFmtId="0" fontId="0" fillId="0" borderId="8" xfId="0" applyBorder="1" applyAlignment="1">
      <alignment wrapText="1"/>
    </xf>
    <xf numFmtId="44" fontId="0" fillId="0" borderId="8" xfId="1" applyFont="1" applyBorder="1" applyAlignment="1">
      <alignment horizontal="center" vertical="center"/>
    </xf>
    <xf numFmtId="9" fontId="0" fillId="0" borderId="8" xfId="2" applyFont="1" applyBorder="1" applyAlignment="1">
      <alignment horizontal="center" vertical="center"/>
    </xf>
    <xf numFmtId="44" fontId="10" fillId="0" borderId="8" xfId="1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0" fillId="0" borderId="9" xfId="0" applyBorder="1" applyAlignment="1">
      <alignment vertical="center"/>
    </xf>
    <xf numFmtId="44" fontId="10" fillId="0" borderId="8" xfId="0" applyNumberFormat="1" applyFont="1" applyBorder="1" applyAlignment="1">
      <alignment horizontal="center" vertical="center"/>
    </xf>
    <xf numFmtId="9" fontId="0" fillId="0" borderId="8" xfId="2" applyFont="1" applyBorder="1"/>
    <xf numFmtId="0" fontId="6" fillId="0" borderId="8" xfId="9" applyFont="1" applyBorder="1" applyAlignment="1">
      <alignment horizontal="left" vertical="center" wrapText="1"/>
    </xf>
    <xf numFmtId="0" fontId="4" fillId="0" borderId="8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left" vertical="center" wrapText="1"/>
    </xf>
    <xf numFmtId="0" fontId="4" fillId="0" borderId="15" xfId="3" applyFont="1" applyBorder="1" applyAlignment="1">
      <alignment horizontal="left" vertical="center" wrapText="1"/>
    </xf>
    <xf numFmtId="0" fontId="4" fillId="0" borderId="19" xfId="3" applyFont="1" applyBorder="1" applyAlignment="1">
      <alignment horizontal="left" vertical="center" wrapText="1"/>
    </xf>
    <xf numFmtId="164" fontId="6" fillId="0" borderId="14" xfId="6" quotePrefix="1" applyFont="1" applyBorder="1" applyAlignment="1">
      <alignment horizontal="center" vertical="center" wrapText="1"/>
    </xf>
    <xf numFmtId="164" fontId="6" fillId="0" borderId="16" xfId="6" quotePrefix="1" applyFont="1" applyBorder="1" applyAlignment="1">
      <alignment horizontal="center" vertical="center" wrapText="1"/>
    </xf>
    <xf numFmtId="164" fontId="6" fillId="0" borderId="20" xfId="6" quotePrefix="1" applyFont="1" applyBorder="1" applyAlignment="1">
      <alignment horizontal="center" vertical="center" wrapText="1"/>
    </xf>
    <xf numFmtId="14" fontId="2" fillId="0" borderId="14" xfId="4" applyNumberFormat="1" applyFont="1" applyBorder="1" applyAlignment="1">
      <alignment horizontal="center" vertical="center" wrapText="1"/>
    </xf>
    <xf numFmtId="14" fontId="2" fillId="0" borderId="16" xfId="4" applyNumberFormat="1" applyFont="1" applyBorder="1" applyAlignment="1">
      <alignment horizontal="center" vertical="center" wrapText="1"/>
    </xf>
    <xf numFmtId="14" fontId="2" fillId="0" borderId="20" xfId="4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4" xfId="4" applyFont="1" applyBorder="1" applyAlignment="1">
      <alignment horizontal="center" vertical="center" wrapText="1"/>
    </xf>
    <xf numFmtId="0" fontId="2" fillId="0" borderId="16" xfId="4" applyFont="1" applyBorder="1" applyAlignment="1">
      <alignment horizontal="center" vertical="center" wrapText="1"/>
    </xf>
    <xf numFmtId="0" fontId="2" fillId="0" borderId="20" xfId="4" applyFont="1" applyBorder="1" applyAlignment="1">
      <alignment horizontal="center" vertical="center" wrapText="1"/>
    </xf>
    <xf numFmtId="166" fontId="2" fillId="0" borderId="17" xfId="4" applyNumberFormat="1" applyFont="1" applyBorder="1" applyAlignment="1">
      <alignment horizontal="center" vertical="center" wrapText="1"/>
    </xf>
    <xf numFmtId="166" fontId="2" fillId="0" borderId="18" xfId="4" applyNumberFormat="1" applyFont="1" applyBorder="1" applyAlignment="1">
      <alignment horizontal="center" vertical="center" wrapText="1"/>
    </xf>
    <xf numFmtId="166" fontId="2" fillId="0" borderId="22" xfId="4" applyNumberFormat="1" applyFont="1" applyBorder="1" applyAlignment="1">
      <alignment horizontal="center" vertical="center" wrapText="1"/>
    </xf>
    <xf numFmtId="0" fontId="5" fillId="0" borderId="23" xfId="9" applyFont="1" applyBorder="1" applyAlignment="1">
      <alignment horizontal="center" vertical="center" wrapText="1"/>
    </xf>
    <xf numFmtId="0" fontId="5" fillId="0" borderId="24" xfId="9" applyFont="1" applyBorder="1" applyAlignment="1">
      <alignment horizontal="center" vertical="center" wrapText="1"/>
    </xf>
    <xf numFmtId="0" fontId="5" fillId="0" borderId="25" xfId="9" applyFont="1" applyBorder="1" applyAlignment="1">
      <alignment horizontal="center" vertical="center" wrapText="1"/>
    </xf>
    <xf numFmtId="0" fontId="4" fillId="0" borderId="2" xfId="9" applyFont="1" applyBorder="1" applyAlignment="1">
      <alignment horizontal="center" vertical="center" wrapText="1"/>
    </xf>
    <xf numFmtId="0" fontId="4" fillId="0" borderId="6" xfId="3" applyFont="1" applyBorder="1" applyAlignment="1">
      <alignment horizontal="right" vertical="center" wrapText="1"/>
    </xf>
    <xf numFmtId="0" fontId="4" fillId="0" borderId="7" xfId="3" applyFont="1" applyBorder="1" applyAlignment="1">
      <alignment horizontal="right" vertical="center" wrapText="1"/>
    </xf>
    <xf numFmtId="0" fontId="4" fillId="0" borderId="6" xfId="3" applyFont="1" applyBorder="1" applyAlignment="1">
      <alignment horizontal="left" vertical="center" wrapText="1"/>
    </xf>
    <xf numFmtId="0" fontId="4" fillId="0" borderId="9" xfId="3" applyFont="1" applyBorder="1" applyAlignment="1">
      <alignment horizontal="left" vertical="center" wrapText="1"/>
    </xf>
    <xf numFmtId="0" fontId="4" fillId="0" borderId="10" xfId="3" applyFont="1" applyBorder="1" applyAlignment="1">
      <alignment horizontal="left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18" fillId="4" borderId="21" xfId="11" applyFont="1" applyFill="1" applyBorder="1" applyAlignment="1">
      <alignment horizontal="center" vertical="center" wrapText="1"/>
    </xf>
    <xf numFmtId="0" fontId="18" fillId="4" borderId="27" xfId="11" applyFont="1" applyFill="1" applyBorder="1" applyAlignment="1">
      <alignment horizontal="center" vertical="center" wrapText="1"/>
    </xf>
    <xf numFmtId="0" fontId="18" fillId="6" borderId="41" xfId="11" applyFont="1" applyFill="1" applyBorder="1" applyAlignment="1">
      <alignment vertical="center" wrapText="1"/>
    </xf>
    <xf numFmtId="0" fontId="18" fillId="6" borderId="9" xfId="11" applyFont="1" applyFill="1" applyBorder="1" applyAlignment="1">
      <alignment vertical="center" wrapText="1"/>
    </xf>
    <xf numFmtId="0" fontId="18" fillId="6" borderId="7" xfId="11" applyFont="1" applyFill="1" applyBorder="1" applyAlignment="1">
      <alignment vertical="center" wrapText="1"/>
    </xf>
    <xf numFmtId="3" fontId="17" fillId="6" borderId="6" xfId="11" applyNumberFormat="1" applyFont="1" applyFill="1" applyBorder="1" applyAlignment="1">
      <alignment horizontal="center" vertical="center" wrapText="1"/>
    </xf>
    <xf numFmtId="3" fontId="17" fillId="6" borderId="9" xfId="11" applyNumberFormat="1" applyFont="1" applyFill="1" applyBorder="1" applyAlignment="1">
      <alignment horizontal="center" vertical="center" wrapText="1"/>
    </xf>
    <xf numFmtId="3" fontId="17" fillId="6" borderId="7" xfId="11" applyNumberFormat="1" applyFont="1" applyFill="1" applyBorder="1" applyAlignment="1">
      <alignment horizontal="center" vertical="center" wrapText="1"/>
    </xf>
    <xf numFmtId="3" fontId="17" fillId="6" borderId="6" xfId="11" applyNumberFormat="1" applyFont="1" applyFill="1" applyBorder="1" applyAlignment="1">
      <alignment horizontal="center" vertical="center"/>
    </xf>
    <xf numFmtId="3" fontId="17" fillId="6" borderId="7" xfId="11" applyNumberFormat="1" applyFont="1" applyFill="1" applyBorder="1" applyAlignment="1">
      <alignment horizontal="center" vertical="center"/>
    </xf>
    <xf numFmtId="0" fontId="17" fillId="6" borderId="6" xfId="11" applyFont="1" applyFill="1" applyBorder="1" applyAlignment="1">
      <alignment horizontal="center" vertical="center" wrapText="1"/>
    </xf>
    <xf numFmtId="0" fontId="17" fillId="6" borderId="7" xfId="11" applyFont="1" applyFill="1" applyBorder="1" applyAlignment="1">
      <alignment horizontal="center" vertical="center" wrapText="1"/>
    </xf>
    <xf numFmtId="0" fontId="17" fillId="0" borderId="53" xfId="16" applyFont="1" applyBorder="1" applyAlignment="1">
      <alignment horizontal="left" vertical="center" wrapText="1"/>
    </xf>
    <xf numFmtId="0" fontId="17" fillId="0" borderId="54" xfId="16" applyFont="1" applyBorder="1" applyAlignment="1">
      <alignment horizontal="left" vertical="center" wrapText="1"/>
    </xf>
    <xf numFmtId="0" fontId="17" fillId="0" borderId="55" xfId="16" applyFont="1" applyBorder="1" applyAlignment="1">
      <alignment horizontal="left" vertical="center" wrapText="1"/>
    </xf>
    <xf numFmtId="0" fontId="18" fillId="0" borderId="41" xfId="16" applyFont="1" applyBorder="1" applyAlignment="1">
      <alignment horizontal="center" vertical="center" wrapText="1"/>
    </xf>
    <xf numFmtId="0" fontId="18" fillId="0" borderId="9" xfId="16" applyFont="1" applyBorder="1" applyAlignment="1">
      <alignment horizontal="center" vertical="center" wrapText="1"/>
    </xf>
    <xf numFmtId="0" fontId="18" fillId="0" borderId="7" xfId="16" applyFont="1" applyBorder="1" applyAlignment="1">
      <alignment horizontal="center" vertical="center" wrapText="1"/>
    </xf>
    <xf numFmtId="0" fontId="18" fillId="0" borderId="51" xfId="5" applyFont="1" applyBorder="1" applyAlignment="1">
      <alignment horizontal="center" vertical="center"/>
    </xf>
    <xf numFmtId="0" fontId="18" fillId="0" borderId="59" xfId="5" applyFont="1" applyBorder="1" applyAlignment="1">
      <alignment horizontal="center" vertical="center"/>
    </xf>
    <xf numFmtId="4" fontId="17" fillId="4" borderId="3" xfId="3" applyNumberFormat="1" applyFont="1" applyFill="1" applyBorder="1" applyAlignment="1">
      <alignment horizontal="center" vertical="center" wrapText="1"/>
    </xf>
    <xf numFmtId="4" fontId="17" fillId="4" borderId="27" xfId="3" applyNumberFormat="1" applyFont="1" applyFill="1" applyBorder="1" applyAlignment="1">
      <alignment horizontal="center" vertical="center" wrapText="1"/>
    </xf>
    <xf numFmtId="0" fontId="17" fillId="7" borderId="44" xfId="3" applyFont="1" applyFill="1" applyBorder="1" applyAlignment="1">
      <alignment horizontal="right" vertical="center"/>
    </xf>
    <xf numFmtId="0" fontId="17" fillId="7" borderId="45" xfId="3" applyFont="1" applyFill="1" applyBorder="1" applyAlignment="1">
      <alignment horizontal="right" vertical="center"/>
    </xf>
    <xf numFmtId="0" fontId="17" fillId="7" borderId="49" xfId="3" applyFont="1" applyFill="1" applyBorder="1" applyAlignment="1">
      <alignment horizontal="right" vertical="center"/>
    </xf>
    <xf numFmtId="0" fontId="17" fillId="0" borderId="50" xfId="16" applyFont="1" applyBorder="1" applyAlignment="1">
      <alignment horizontal="left" vertical="center" wrapText="1"/>
    </xf>
    <xf numFmtId="0" fontId="17" fillId="0" borderId="51" xfId="16" applyFont="1" applyBorder="1" applyAlignment="1">
      <alignment horizontal="left" vertical="center" wrapText="1"/>
    </xf>
    <xf numFmtId="0" fontId="17" fillId="0" borderId="52" xfId="16" applyFont="1" applyBorder="1" applyAlignment="1">
      <alignment horizontal="left" vertical="center" wrapText="1"/>
    </xf>
    <xf numFmtId="0" fontId="18" fillId="0" borderId="41" xfId="16" applyFont="1" applyBorder="1" applyAlignment="1">
      <alignment horizontal="center" vertical="center"/>
    </xf>
    <xf numFmtId="0" fontId="18" fillId="0" borderId="9" xfId="16" applyFont="1" applyBorder="1" applyAlignment="1">
      <alignment horizontal="center" vertical="center"/>
    </xf>
    <xf numFmtId="0" fontId="18" fillId="0" borderId="7" xfId="16" applyFont="1" applyBorder="1" applyAlignment="1">
      <alignment horizontal="center" vertical="center"/>
    </xf>
    <xf numFmtId="0" fontId="17" fillId="4" borderId="2" xfId="3" applyFont="1" applyFill="1" applyBorder="1" applyAlignment="1">
      <alignment horizontal="center" vertical="center" wrapText="1"/>
    </xf>
    <xf numFmtId="0" fontId="17" fillId="4" borderId="21" xfId="3" applyFont="1" applyFill="1" applyBorder="1" applyAlignment="1">
      <alignment horizontal="center" vertical="center" wrapText="1"/>
    </xf>
    <xf numFmtId="0" fontId="17" fillId="0" borderId="41" xfId="16" applyFont="1" applyBorder="1" applyAlignment="1">
      <alignment horizontal="left" vertical="center"/>
    </xf>
    <xf numFmtId="0" fontId="17" fillId="0" borderId="9" xfId="16" applyFont="1" applyBorder="1" applyAlignment="1">
      <alignment horizontal="left" vertical="center"/>
    </xf>
    <xf numFmtId="0" fontId="17" fillId="7" borderId="42" xfId="3" applyFont="1" applyFill="1" applyBorder="1" applyAlignment="1">
      <alignment horizontal="left" vertical="center"/>
    </xf>
    <xf numFmtId="0" fontId="17" fillId="7" borderId="36" xfId="3" applyFont="1" applyFill="1" applyBorder="1" applyAlignment="1">
      <alignment horizontal="left" vertical="center"/>
    </xf>
    <xf numFmtId="0" fontId="17" fillId="7" borderId="43" xfId="3" applyFont="1" applyFill="1" applyBorder="1" applyAlignment="1">
      <alignment horizontal="left" vertical="center"/>
    </xf>
    <xf numFmtId="0" fontId="13" fillId="0" borderId="33" xfId="11" applyFont="1" applyBorder="1" applyAlignment="1">
      <alignment horizontal="center" wrapText="1"/>
    </xf>
    <xf numFmtId="0" fontId="17" fillId="0" borderId="0" xfId="11" applyFont="1" applyAlignment="1">
      <alignment horizontal="center" vertical="top"/>
    </xf>
    <xf numFmtId="0" fontId="17" fillId="0" borderId="36" xfId="11" applyFont="1" applyBorder="1" applyAlignment="1">
      <alignment horizontal="center"/>
    </xf>
    <xf numFmtId="0" fontId="18" fillId="5" borderId="38" xfId="11" applyFont="1" applyFill="1" applyBorder="1" applyAlignment="1">
      <alignment horizontal="left" vertical="center" wrapText="1"/>
    </xf>
    <xf numFmtId="0" fontId="18" fillId="5" borderId="39" xfId="11" applyFont="1" applyFill="1" applyBorder="1" applyAlignment="1">
      <alignment horizontal="left" vertical="center" wrapText="1"/>
    </xf>
    <xf numFmtId="0" fontId="18" fillId="5" borderId="40" xfId="11" applyFont="1" applyFill="1" applyBorder="1" applyAlignment="1">
      <alignment horizontal="left" vertical="center" wrapText="1"/>
    </xf>
    <xf numFmtId="0" fontId="18" fillId="5" borderId="5" xfId="11" applyFont="1" applyFill="1" applyBorder="1" applyAlignment="1">
      <alignment horizontal="left" vertical="center" wrapText="1"/>
    </xf>
    <xf numFmtId="0" fontId="18" fillId="5" borderId="8" xfId="11" applyFont="1" applyFill="1" applyBorder="1" applyAlignment="1">
      <alignment horizontal="left" vertical="center" wrapText="1"/>
    </xf>
    <xf numFmtId="0" fontId="18" fillId="5" borderId="12" xfId="11" applyFont="1" applyFill="1" applyBorder="1" applyAlignment="1">
      <alignment horizontal="left" vertical="center" wrapText="1"/>
    </xf>
    <xf numFmtId="0" fontId="18" fillId="6" borderId="41" xfId="11" applyFont="1" applyFill="1" applyBorder="1" applyAlignment="1">
      <alignment horizontal="center" vertical="center" wrapText="1"/>
    </xf>
    <xf numFmtId="0" fontId="18" fillId="6" borderId="9" xfId="11" applyFont="1" applyFill="1" applyBorder="1" applyAlignment="1">
      <alignment horizontal="center" vertical="center" wrapText="1"/>
    </xf>
    <xf numFmtId="0" fontId="18" fillId="6" borderId="10" xfId="11" applyFont="1" applyFill="1" applyBorder="1" applyAlignment="1">
      <alignment horizontal="center" vertical="center" wrapText="1"/>
    </xf>
    <xf numFmtId="0" fontId="17" fillId="4" borderId="1" xfId="3" applyFont="1" applyFill="1" applyBorder="1" applyAlignment="1">
      <alignment horizontal="center" vertical="center" wrapText="1"/>
    </xf>
    <xf numFmtId="0" fontId="17" fillId="4" borderId="26" xfId="3" applyFont="1" applyFill="1" applyBorder="1" applyAlignment="1">
      <alignment horizontal="center" vertical="center" wrapText="1"/>
    </xf>
    <xf numFmtId="0" fontId="17" fillId="0" borderId="2" xfId="13" applyFont="1" applyBorder="1" applyAlignment="1">
      <alignment horizontal="center" vertical="center" wrapText="1"/>
    </xf>
    <xf numFmtId="4" fontId="17" fillId="4" borderId="2" xfId="3" applyNumberFormat="1" applyFont="1" applyFill="1" applyBorder="1" applyAlignment="1">
      <alignment horizontal="center" vertical="center" wrapText="1"/>
    </xf>
    <xf numFmtId="4" fontId="17" fillId="4" borderId="21" xfId="3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10" fillId="0" borderId="8" xfId="0" applyFont="1" applyBorder="1" applyAlignment="1">
      <alignment horizontal="right"/>
    </xf>
    <xf numFmtId="0" fontId="0" fillId="0" borderId="8" xfId="0" applyBorder="1" applyAlignment="1">
      <alignment horizontal="right"/>
    </xf>
    <xf numFmtId="0" fontId="11" fillId="0" borderId="8" xfId="0" applyFont="1" applyBorder="1" applyAlignment="1">
      <alignment horizontal="right"/>
    </xf>
    <xf numFmtId="0" fontId="21" fillId="8" borderId="14" xfId="22" applyFont="1" applyFill="1" applyBorder="1" applyAlignment="1">
      <alignment horizontal="center" vertical="center" wrapText="1"/>
    </xf>
    <xf numFmtId="0" fontId="21" fillId="8" borderId="39" xfId="22" applyFont="1" applyFill="1" applyBorder="1" applyAlignment="1">
      <alignment horizontal="center" vertical="center" wrapText="1"/>
    </xf>
    <xf numFmtId="0" fontId="21" fillId="8" borderId="16" xfId="22" applyFont="1" applyFill="1" applyBorder="1" applyAlignment="1">
      <alignment horizontal="center" vertical="center" wrapText="1"/>
    </xf>
    <xf numFmtId="0" fontId="21" fillId="8" borderId="6" xfId="22" applyFont="1" applyFill="1" applyBorder="1" applyAlignment="1">
      <alignment horizontal="center" vertical="center" wrapText="1"/>
    </xf>
    <xf numFmtId="0" fontId="21" fillId="8" borderId="9" xfId="22" applyFont="1" applyFill="1" applyBorder="1" applyAlignment="1">
      <alignment horizontal="center" vertical="center" wrapText="1"/>
    </xf>
    <xf numFmtId="0" fontId="21" fillId="8" borderId="7" xfId="22" applyFont="1" applyFill="1" applyBorder="1" applyAlignment="1">
      <alignment horizontal="center" vertical="center" wrapText="1"/>
    </xf>
    <xf numFmtId="0" fontId="21" fillId="8" borderId="8" xfId="22" applyFont="1" applyFill="1" applyBorder="1" applyAlignment="1">
      <alignment horizontal="center" vertical="center" wrapText="1"/>
    </xf>
    <xf numFmtId="0" fontId="21" fillId="0" borderId="0" xfId="22" applyFont="1" applyAlignment="1">
      <alignment horizontal="left" vertical="center"/>
    </xf>
    <xf numFmtId="0" fontId="21" fillId="0" borderId="68" xfId="22" applyFont="1" applyBorder="1" applyAlignment="1">
      <alignment horizontal="left" vertical="center"/>
    </xf>
    <xf numFmtId="182" fontId="22" fillId="0" borderId="8" xfId="24" applyFont="1" applyBorder="1" applyAlignment="1">
      <alignment horizontal="center" vertical="center" wrapText="1"/>
    </xf>
    <xf numFmtId="0" fontId="22" fillId="0" borderId="8" xfId="30" applyFont="1" applyBorder="1" applyAlignment="1">
      <alignment horizontal="left" vertical="center" wrapText="1"/>
    </xf>
    <xf numFmtId="0" fontId="31" fillId="0" borderId="14" xfId="22" applyFont="1" applyBorder="1" applyAlignment="1">
      <alignment horizontal="center" vertical="center" wrapText="1"/>
    </xf>
    <xf numFmtId="0" fontId="31" fillId="0" borderId="39" xfId="22" applyFont="1" applyBorder="1" applyAlignment="1">
      <alignment horizontal="center" vertical="center" wrapText="1"/>
    </xf>
    <xf numFmtId="182" fontId="22" fillId="0" borderId="8" xfId="24" applyFont="1" applyFill="1" applyBorder="1" applyAlignment="1">
      <alignment horizontal="center" vertical="center" wrapText="1"/>
    </xf>
    <xf numFmtId="37" fontId="21" fillId="0" borderId="6" xfId="22" applyNumberFormat="1" applyFont="1" applyBorder="1" applyAlignment="1">
      <alignment horizontal="right" vertical="center"/>
    </xf>
    <xf numFmtId="37" fontId="21" fillId="0" borderId="9" xfId="22" applyNumberFormat="1" applyFont="1" applyBorder="1" applyAlignment="1">
      <alignment horizontal="right" vertical="center"/>
    </xf>
    <xf numFmtId="181" fontId="16" fillId="0" borderId="14" xfId="22" applyNumberFormat="1" applyFont="1" applyBorder="1" applyAlignment="1">
      <alignment horizontal="center" vertical="center"/>
    </xf>
    <xf numFmtId="181" fontId="16" fillId="0" borderId="39" xfId="22" applyNumberFormat="1" applyFont="1" applyBorder="1" applyAlignment="1">
      <alignment horizontal="center" vertical="center"/>
    </xf>
    <xf numFmtId="0" fontId="22" fillId="0" borderId="8" xfId="22" applyFont="1" applyBorder="1" applyAlignment="1">
      <alignment horizontal="left" vertical="center" wrapText="1"/>
    </xf>
    <xf numFmtId="9" fontId="22" fillId="0" borderId="8" xfId="22" applyNumberFormat="1" applyFont="1" applyBorder="1" applyAlignment="1">
      <alignment horizontal="center" vertical="center" wrapText="1"/>
    </xf>
    <xf numFmtId="192" fontId="22" fillId="0" borderId="14" xfId="22" applyNumberFormat="1" applyFont="1" applyBorder="1" applyAlignment="1">
      <alignment horizontal="center" vertical="center" wrapText="1"/>
    </xf>
    <xf numFmtId="192" fontId="22" fillId="0" borderId="39" xfId="22" applyNumberFormat="1" applyFont="1" applyBorder="1" applyAlignment="1">
      <alignment horizontal="center" vertical="center" wrapText="1"/>
    </xf>
    <xf numFmtId="10" fontId="22" fillId="0" borderId="8" xfId="22" applyNumberFormat="1" applyFont="1" applyBorder="1" applyAlignment="1">
      <alignment horizontal="center" vertical="center" wrapText="1"/>
    </xf>
    <xf numFmtId="0" fontId="21" fillId="8" borderId="8" xfId="22" applyFont="1" applyFill="1" applyBorder="1" applyAlignment="1">
      <alignment vertical="center"/>
    </xf>
    <xf numFmtId="0" fontId="21" fillId="8" borderId="12" xfId="22" applyFont="1" applyFill="1" applyBorder="1" applyAlignment="1">
      <alignment vertical="center"/>
    </xf>
    <xf numFmtId="0" fontId="21" fillId="8" borderId="8" xfId="22" applyFont="1" applyFill="1" applyBorder="1" applyAlignment="1">
      <alignment horizontal="center" vertical="center"/>
    </xf>
    <xf numFmtId="0" fontId="31" fillId="0" borderId="8" xfId="22" applyFont="1" applyBorder="1" applyAlignment="1">
      <alignment horizontal="center" vertical="center" wrapText="1"/>
    </xf>
    <xf numFmtId="182" fontId="22" fillId="0" borderId="17" xfId="24" applyFont="1" applyBorder="1" applyAlignment="1">
      <alignment horizontal="center" vertical="center" wrapText="1"/>
    </xf>
    <xf numFmtId="182" fontId="22" fillId="0" borderId="40" xfId="24" applyFont="1" applyBorder="1" applyAlignment="1">
      <alignment horizontal="center" vertical="center" wrapText="1"/>
    </xf>
    <xf numFmtId="10" fontId="22" fillId="0" borderId="6" xfId="22" applyNumberFormat="1" applyFont="1" applyBorder="1" applyAlignment="1">
      <alignment horizontal="center" vertical="center" wrapText="1"/>
    </xf>
    <xf numFmtId="10" fontId="22" fillId="0" borderId="9" xfId="22" applyNumberFormat="1" applyFont="1" applyBorder="1" applyAlignment="1">
      <alignment horizontal="center" vertical="center" wrapText="1"/>
    </xf>
    <xf numFmtId="0" fontId="21" fillId="8" borderId="8" xfId="22" applyFont="1" applyFill="1" applyBorder="1" applyAlignment="1">
      <alignment horizontal="left" vertical="center"/>
    </xf>
    <xf numFmtId="0" fontId="21" fillId="8" borderId="12" xfId="22" applyFont="1" applyFill="1" applyBorder="1" applyAlignment="1">
      <alignment horizontal="left" vertical="center"/>
    </xf>
    <xf numFmtId="191" fontId="21" fillId="8" borderId="8" xfId="22" applyNumberFormat="1" applyFont="1" applyFill="1" applyBorder="1" applyAlignment="1">
      <alignment vertical="center"/>
    </xf>
    <xf numFmtId="191" fontId="21" fillId="8" borderId="12" xfId="22" applyNumberFormat="1" applyFont="1" applyFill="1" applyBorder="1" applyAlignment="1">
      <alignment vertical="center"/>
    </xf>
    <xf numFmtId="0" fontId="21" fillId="0" borderId="5" xfId="22" applyFont="1" applyBorder="1" applyAlignment="1">
      <alignment horizontal="center" vertical="center"/>
    </xf>
    <xf numFmtId="0" fontId="21" fillId="0" borderId="8" xfId="22" applyFont="1" applyBorder="1" applyAlignment="1">
      <alignment horizontal="center" vertical="center"/>
    </xf>
    <xf numFmtId="0" fontId="21" fillId="4" borderId="8" xfId="22" applyFont="1" applyFill="1" applyBorder="1" applyAlignment="1">
      <alignment horizontal="center" vertical="center"/>
    </xf>
    <xf numFmtId="0" fontId="21" fillId="4" borderId="12" xfId="2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2" xfId="22" applyFont="1" applyBorder="1" applyAlignment="1">
      <alignment horizontal="center" vertical="center"/>
    </xf>
    <xf numFmtId="0" fontId="21" fillId="0" borderId="26" xfId="26" applyFont="1" applyBorder="1" applyAlignment="1">
      <alignment horizontal="center" vertical="center"/>
    </xf>
    <xf numFmtId="0" fontId="21" fillId="0" borderId="21" xfId="26" applyFont="1" applyBorder="1" applyAlignment="1">
      <alignment horizontal="center" vertical="center"/>
    </xf>
    <xf numFmtId="0" fontId="21" fillId="0" borderId="21" xfId="22" applyFont="1" applyBorder="1" applyAlignment="1">
      <alignment horizontal="center" vertical="center"/>
    </xf>
    <xf numFmtId="0" fontId="21" fillId="0" borderId="27" xfId="2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1" fillId="0" borderId="1" xfId="22" applyFont="1" applyBorder="1" applyAlignment="1">
      <alignment horizontal="center" vertical="center"/>
    </xf>
    <xf numFmtId="0" fontId="21" fillId="0" borderId="2" xfId="22" applyFont="1" applyBorder="1" applyAlignment="1">
      <alignment horizontal="center" vertical="center"/>
    </xf>
    <xf numFmtId="185" fontId="23" fillId="0" borderId="2" xfId="26" applyNumberFormat="1" applyFont="1" applyBorder="1" applyAlignment="1">
      <alignment horizontal="center" vertical="center"/>
    </xf>
    <xf numFmtId="185" fontId="23" fillId="0" borderId="3" xfId="26" applyNumberFormat="1" applyFont="1" applyBorder="1" applyAlignment="1">
      <alignment horizontal="center" vertical="center"/>
    </xf>
    <xf numFmtId="15" fontId="0" fillId="0" borderId="8" xfId="0" applyNumberFormat="1" applyBorder="1" applyAlignment="1">
      <alignment horizontal="center" vertical="center"/>
    </xf>
    <xf numFmtId="15" fontId="0" fillId="0" borderId="12" xfId="0" applyNumberFormat="1" applyBorder="1" applyAlignment="1">
      <alignment horizontal="center" vertical="center"/>
    </xf>
    <xf numFmtId="0" fontId="21" fillId="4" borderId="6" xfId="22" applyFont="1" applyFill="1" applyBorder="1" applyAlignment="1">
      <alignment horizontal="right" vertical="center"/>
    </xf>
    <xf numFmtId="0" fontId="21" fillId="4" borderId="9" xfId="22" applyFont="1" applyFill="1" applyBorder="1" applyAlignment="1">
      <alignment horizontal="right" vertical="center"/>
    </xf>
    <xf numFmtId="0" fontId="21" fillId="4" borderId="0" xfId="22" applyFont="1" applyFill="1" applyAlignment="1">
      <alignment horizontal="left" vertical="center"/>
    </xf>
    <xf numFmtId="0" fontId="21" fillId="4" borderId="68" xfId="22" applyFont="1" applyFill="1" applyBorder="1" applyAlignment="1">
      <alignment horizontal="left" vertical="center"/>
    </xf>
    <xf numFmtId="0" fontId="21" fillId="4" borderId="8" xfId="22" applyFont="1" applyFill="1" applyBorder="1" applyAlignment="1">
      <alignment horizontal="right" vertical="center"/>
    </xf>
    <xf numFmtId="0" fontId="21" fillId="4" borderId="7" xfId="22" applyFont="1" applyFill="1" applyBorder="1" applyAlignment="1">
      <alignment horizontal="right" vertical="center"/>
    </xf>
    <xf numFmtId="0" fontId="22" fillId="0" borderId="8" xfId="22" applyFont="1" applyBorder="1" applyAlignment="1">
      <alignment horizontal="justify" vertical="center"/>
    </xf>
    <xf numFmtId="0" fontId="22" fillId="0" borderId="6" xfId="23" applyFont="1" applyBorder="1" applyAlignment="1">
      <alignment horizontal="left" vertical="center" wrapText="1"/>
    </xf>
    <xf numFmtId="0" fontId="22" fillId="0" borderId="71" xfId="23" applyFont="1" applyBorder="1" applyAlignment="1">
      <alignment horizontal="left" vertical="center" wrapText="1"/>
    </xf>
    <xf numFmtId="37" fontId="21" fillId="0" borderId="72" xfId="22" applyNumberFormat="1" applyFont="1" applyBorder="1" applyAlignment="1">
      <alignment horizontal="right" vertical="center"/>
    </xf>
    <xf numFmtId="37" fontId="21" fillId="0" borderId="54" xfId="22" applyNumberFormat="1" applyFont="1" applyBorder="1" applyAlignment="1">
      <alignment horizontal="right" vertical="center"/>
    </xf>
    <xf numFmtId="0" fontId="21" fillId="0" borderId="9" xfId="22" applyFont="1" applyBorder="1" applyAlignment="1">
      <alignment horizontal="left" vertical="center"/>
    </xf>
    <xf numFmtId="0" fontId="21" fillId="0" borderId="10" xfId="22" applyFont="1" applyBorder="1" applyAlignment="1">
      <alignment horizontal="left" vertical="center"/>
    </xf>
    <xf numFmtId="0" fontId="21" fillId="8" borderId="17" xfId="22" applyFont="1" applyFill="1" applyBorder="1" applyAlignment="1">
      <alignment horizontal="center" vertical="center" wrapText="1"/>
    </xf>
    <xf numFmtId="0" fontId="21" fillId="8" borderId="18" xfId="22" applyFont="1" applyFill="1" applyBorder="1" applyAlignment="1">
      <alignment horizontal="center" vertical="center" wrapText="1"/>
    </xf>
    <xf numFmtId="0" fontId="21" fillId="8" borderId="40" xfId="22" applyFont="1" applyFill="1" applyBorder="1" applyAlignment="1">
      <alignment horizontal="center" vertical="center" wrapText="1"/>
    </xf>
    <xf numFmtId="0" fontId="22" fillId="8" borderId="9" xfId="22" applyFont="1" applyFill="1" applyBorder="1" applyAlignment="1">
      <alignment horizontal="center" vertical="center" wrapText="1"/>
    </xf>
    <xf numFmtId="0" fontId="22" fillId="8" borderId="7" xfId="22" applyFont="1" applyFill="1" applyBorder="1" applyAlignment="1">
      <alignment horizontal="center" vertical="center" wrapText="1"/>
    </xf>
    <xf numFmtId="0" fontId="21" fillId="8" borderId="5" xfId="22" applyFont="1" applyFill="1" applyBorder="1" applyAlignment="1">
      <alignment horizontal="center" vertical="center" wrapText="1"/>
    </xf>
    <xf numFmtId="0" fontId="21" fillId="8" borderId="6" xfId="22" applyFont="1" applyFill="1" applyBorder="1" applyAlignment="1">
      <alignment horizontal="left" vertical="center"/>
    </xf>
    <xf numFmtId="0" fontId="21" fillId="8" borderId="9" xfId="22" applyFont="1" applyFill="1" applyBorder="1" applyAlignment="1">
      <alignment horizontal="left" vertical="center"/>
    </xf>
    <xf numFmtId="0" fontId="21" fillId="8" borderId="10" xfId="22" applyFont="1" applyFill="1" applyBorder="1" applyAlignment="1">
      <alignment horizontal="left" vertical="center"/>
    </xf>
    <xf numFmtId="0" fontId="21" fillId="8" borderId="69" xfId="22" applyFont="1" applyFill="1" applyBorder="1" applyAlignment="1">
      <alignment horizontal="center" vertical="center" wrapText="1"/>
    </xf>
    <xf numFmtId="0" fontId="21" fillId="8" borderId="70" xfId="22" applyFont="1" applyFill="1" applyBorder="1" applyAlignment="1">
      <alignment horizontal="center" vertical="center" wrapText="1"/>
    </xf>
    <xf numFmtId="0" fontId="21" fillId="8" borderId="54" xfId="22" applyFont="1" applyFill="1" applyBorder="1" applyAlignment="1">
      <alignment horizontal="center" vertical="center" wrapText="1"/>
    </xf>
    <xf numFmtId="0" fontId="21" fillId="8" borderId="55" xfId="22" applyFont="1" applyFill="1" applyBorder="1" applyAlignment="1">
      <alignment horizontal="center" vertical="center" wrapText="1"/>
    </xf>
    <xf numFmtId="0" fontId="21" fillId="4" borderId="73" xfId="22" applyFont="1" applyFill="1" applyBorder="1" applyAlignment="1">
      <alignment horizontal="right" vertical="center"/>
    </xf>
    <xf numFmtId="0" fontId="21" fillId="4" borderId="57" xfId="22" applyFont="1" applyFill="1" applyBorder="1" applyAlignment="1">
      <alignment horizontal="right" vertical="center"/>
    </xf>
    <xf numFmtId="0" fontId="21" fillId="4" borderId="58" xfId="22" applyFont="1" applyFill="1" applyBorder="1" applyAlignment="1">
      <alignment horizontal="right" vertical="center"/>
    </xf>
    <xf numFmtId="0" fontId="22" fillId="0" borderId="6" xfId="22" applyFont="1" applyBorder="1" applyAlignment="1">
      <alignment horizontal="justify" vertical="center"/>
    </xf>
    <xf numFmtId="0" fontId="22" fillId="0" borderId="7" xfId="22" applyFont="1" applyBorder="1" applyAlignment="1">
      <alignment horizontal="justify" vertical="center"/>
    </xf>
    <xf numFmtId="0" fontId="21" fillId="8" borderId="13" xfId="22" applyFont="1" applyFill="1" applyBorder="1" applyAlignment="1">
      <alignment horizontal="center" vertical="center" wrapText="1"/>
    </xf>
    <xf numFmtId="0" fontId="21" fillId="8" borderId="15" xfId="22" applyFont="1" applyFill="1" applyBorder="1" applyAlignment="1">
      <alignment horizontal="center" vertical="center" wrapText="1"/>
    </xf>
    <xf numFmtId="0" fontId="21" fillId="8" borderId="38" xfId="22" applyFont="1" applyFill="1" applyBorder="1" applyAlignment="1">
      <alignment horizontal="center" vertical="center" wrapText="1"/>
    </xf>
    <xf numFmtId="0" fontId="21" fillId="0" borderId="3" xfId="22" applyFont="1" applyBorder="1" applyAlignment="1">
      <alignment horizontal="center" vertical="center"/>
    </xf>
    <xf numFmtId="0" fontId="8" fillId="0" borderId="14" xfId="22" applyFont="1" applyBorder="1" applyAlignment="1">
      <alignment horizontal="right" vertical="center"/>
    </xf>
    <xf numFmtId="0" fontId="8" fillId="0" borderId="6" xfId="22" applyFont="1" applyBorder="1" applyAlignment="1">
      <alignment horizontal="right" vertical="center"/>
    </xf>
    <xf numFmtId="0" fontId="8" fillId="0" borderId="9" xfId="22" applyFont="1" applyBorder="1" applyAlignment="1">
      <alignment horizontal="right" vertical="center"/>
    </xf>
    <xf numFmtId="0" fontId="8" fillId="0" borderId="7" xfId="22" applyFont="1" applyBorder="1" applyAlignment="1">
      <alignment horizontal="right" vertical="center"/>
    </xf>
    <xf numFmtId="190" fontId="8" fillId="0" borderId="6" xfId="22" applyNumberFormat="1" applyFont="1" applyBorder="1" applyAlignment="1">
      <alignment horizontal="center" vertical="center"/>
    </xf>
    <xf numFmtId="190" fontId="8" fillId="0" borderId="7" xfId="22" applyNumberFormat="1" applyFont="1" applyBorder="1" applyAlignment="1">
      <alignment horizontal="center" vertical="center"/>
    </xf>
    <xf numFmtId="0" fontId="3" fillId="0" borderId="9" xfId="3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0" fontId="8" fillId="0" borderId="8" xfId="3" applyFont="1" applyBorder="1" applyAlignment="1">
      <alignment horizontal="right" vertical="center"/>
    </xf>
    <xf numFmtId="37" fontId="8" fillId="0" borderId="8" xfId="22" applyNumberFormat="1" applyFont="1" applyBorder="1" applyAlignment="1">
      <alignment horizontal="right" vertical="center"/>
    </xf>
    <xf numFmtId="0" fontId="3" fillId="0" borderId="8" xfId="3" applyBorder="1" applyAlignment="1">
      <alignment horizontal="center" vertical="center"/>
    </xf>
    <xf numFmtId="0" fontId="4" fillId="14" borderId="6" xfId="37" applyFont="1" applyFill="1" applyBorder="1" applyAlignment="1">
      <alignment horizontal="right" vertical="center"/>
    </xf>
    <xf numFmtId="0" fontId="4" fillId="14" borderId="9" xfId="37" applyFont="1" applyFill="1" applyBorder="1" applyAlignment="1">
      <alignment horizontal="right" vertical="center"/>
    </xf>
    <xf numFmtId="0" fontId="4" fillId="14" borderId="7" xfId="37" applyFont="1" applyFill="1" applyBorder="1" applyAlignment="1">
      <alignment horizontal="right" vertical="center"/>
    </xf>
    <xf numFmtId="0" fontId="4" fillId="0" borderId="8" xfId="37" applyFont="1" applyBorder="1" applyAlignment="1">
      <alignment horizontal="center" vertical="center"/>
    </xf>
    <xf numFmtId="0" fontId="8" fillId="0" borderId="8" xfId="22" applyFont="1" applyBorder="1" applyAlignment="1">
      <alignment horizontal="right" vertical="center"/>
    </xf>
    <xf numFmtId="0" fontId="8" fillId="0" borderId="6" xfId="22" applyFont="1" applyBorder="1" applyAlignment="1">
      <alignment horizontal="center" vertical="center"/>
    </xf>
    <xf numFmtId="0" fontId="8" fillId="0" borderId="9" xfId="22" applyFont="1" applyBorder="1" applyAlignment="1">
      <alignment horizontal="center" vertical="center"/>
    </xf>
    <xf numFmtId="0" fontId="3" fillId="0" borderId="6" xfId="22" applyBorder="1" applyAlignment="1">
      <alignment horizontal="left" vertical="center"/>
    </xf>
    <xf numFmtId="0" fontId="3" fillId="0" borderId="7" xfId="22" applyBorder="1" applyAlignment="1">
      <alignment horizontal="left" vertical="center"/>
    </xf>
    <xf numFmtId="0" fontId="3" fillId="0" borderId="6" xfId="3" applyBorder="1" applyAlignment="1">
      <alignment horizontal="left" vertical="center" wrapText="1"/>
    </xf>
    <xf numFmtId="0" fontId="3" fillId="0" borderId="9" xfId="3" applyBorder="1" applyAlignment="1">
      <alignment horizontal="left" vertical="center" wrapText="1"/>
    </xf>
    <xf numFmtId="0" fontId="3" fillId="0" borderId="7" xfId="3" applyBorder="1" applyAlignment="1">
      <alignment horizontal="left" vertical="center" wrapText="1"/>
    </xf>
    <xf numFmtId="182" fontId="0" fillId="0" borderId="6" xfId="24" applyFont="1" applyBorder="1" applyAlignment="1">
      <alignment horizontal="center" vertical="center"/>
    </xf>
    <xf numFmtId="182" fontId="0" fillId="0" borderId="7" xfId="24" applyFont="1" applyBorder="1" applyAlignment="1">
      <alignment horizontal="center" vertical="center"/>
    </xf>
    <xf numFmtId="0" fontId="3" fillId="0" borderId="28" xfId="22" applyBorder="1" applyAlignment="1">
      <alignment horizontal="center" vertical="center"/>
    </xf>
    <xf numFmtId="0" fontId="3" fillId="0" borderId="70" xfId="22" applyBorder="1" applyAlignment="1">
      <alignment horizontal="center" vertical="center"/>
    </xf>
    <xf numFmtId="0" fontId="3" fillId="0" borderId="64" xfId="22" applyBorder="1" applyAlignment="1">
      <alignment horizontal="center" vertical="center"/>
    </xf>
    <xf numFmtId="0" fontId="3" fillId="0" borderId="48" xfId="22" applyBorder="1" applyAlignment="1">
      <alignment horizontal="center" vertical="center"/>
    </xf>
    <xf numFmtId="0" fontId="3" fillId="0" borderId="72" xfId="22" applyBorder="1" applyAlignment="1">
      <alignment horizontal="center" vertical="center"/>
    </xf>
    <xf numFmtId="0" fontId="3" fillId="0" borderId="55" xfId="22" applyBorder="1" applyAlignment="1">
      <alignment horizontal="center" vertical="center"/>
    </xf>
    <xf numFmtId="0" fontId="3" fillId="0" borderId="6" xfId="22" applyBorder="1" applyAlignment="1">
      <alignment horizontal="left" vertical="center" wrapText="1"/>
    </xf>
    <xf numFmtId="0" fontId="3" fillId="0" borderId="9" xfId="22" applyBorder="1" applyAlignment="1">
      <alignment horizontal="left" vertical="center" wrapText="1"/>
    </xf>
    <xf numFmtId="0" fontId="3" fillId="0" borderId="7" xfId="22" applyBorder="1" applyAlignment="1">
      <alignment horizontal="left" vertical="center" wrapText="1"/>
    </xf>
    <xf numFmtId="0" fontId="3" fillId="0" borderId="28" xfId="3" applyBorder="1" applyAlignment="1">
      <alignment horizontal="left" vertical="center" wrapText="1"/>
    </xf>
    <xf numFmtId="0" fontId="3" fillId="0" borderId="70" xfId="3" applyBorder="1" applyAlignment="1">
      <alignment horizontal="left" vertical="center" wrapText="1"/>
    </xf>
    <xf numFmtId="0" fontId="8" fillId="14" borderId="6" xfId="22" applyFont="1" applyFill="1" applyBorder="1" applyAlignment="1">
      <alignment horizontal="left" vertical="center"/>
    </xf>
    <xf numFmtId="0" fontId="8" fillId="14" borderId="9" xfId="22" applyFont="1" applyFill="1" applyBorder="1" applyAlignment="1">
      <alignment horizontal="left" vertical="center"/>
    </xf>
    <xf numFmtId="0" fontId="8" fillId="14" borderId="7" xfId="22" applyFont="1" applyFill="1" applyBorder="1" applyAlignment="1">
      <alignment horizontal="left" vertical="center"/>
    </xf>
    <xf numFmtId="0" fontId="8" fillId="14" borderId="14" xfId="22" applyFont="1" applyFill="1" applyBorder="1" applyAlignment="1">
      <alignment horizontal="center" vertical="center" wrapText="1"/>
    </xf>
    <xf numFmtId="0" fontId="8" fillId="14" borderId="39" xfId="22" applyFont="1" applyFill="1" applyBorder="1" applyAlignment="1">
      <alignment horizontal="center" vertical="center" wrapText="1"/>
    </xf>
    <xf numFmtId="0" fontId="8" fillId="14" borderId="6" xfId="22" applyFont="1" applyFill="1" applyBorder="1" applyAlignment="1">
      <alignment horizontal="center" vertical="center"/>
    </xf>
    <xf numFmtId="0" fontId="8" fillId="14" borderId="7" xfId="22" applyFont="1" applyFill="1" applyBorder="1" applyAlignment="1">
      <alignment horizontal="center" vertical="center"/>
    </xf>
    <xf numFmtId="0" fontId="8" fillId="14" borderId="9" xfId="22" applyFont="1" applyFill="1" applyBorder="1" applyAlignment="1">
      <alignment horizontal="center" vertical="center"/>
    </xf>
    <xf numFmtId="0" fontId="8" fillId="14" borderId="6" xfId="22" applyFont="1" applyFill="1" applyBorder="1" applyAlignment="1">
      <alignment horizontal="center" vertical="center" wrapText="1"/>
    </xf>
    <xf numFmtId="0" fontId="8" fillId="14" borderId="7" xfId="22" applyFont="1" applyFill="1" applyBorder="1" applyAlignment="1">
      <alignment horizontal="center" vertical="center" wrapText="1"/>
    </xf>
    <xf numFmtId="0" fontId="3" fillId="0" borderId="6" xfId="3" applyBorder="1" applyAlignment="1">
      <alignment vertical="center" wrapText="1"/>
    </xf>
    <xf numFmtId="0" fontId="3" fillId="0" borderId="7" xfId="3" applyBorder="1" applyAlignment="1">
      <alignment vertical="center" wrapText="1"/>
    </xf>
    <xf numFmtId="0" fontId="8" fillId="0" borderId="6" xfId="3" applyFont="1" applyBorder="1" applyAlignment="1">
      <alignment horizontal="left" vertical="center" wrapText="1"/>
    </xf>
    <xf numFmtId="0" fontId="8" fillId="0" borderId="9" xfId="3" applyFont="1" applyBorder="1" applyAlignment="1">
      <alignment horizontal="left" vertical="center" wrapText="1"/>
    </xf>
    <xf numFmtId="0" fontId="8" fillId="0" borderId="7" xfId="3" applyFont="1" applyBorder="1" applyAlignment="1">
      <alignment horizontal="left" vertical="center" wrapText="1"/>
    </xf>
    <xf numFmtId="0" fontId="8" fillId="14" borderId="8" xfId="22" applyFont="1" applyFill="1" applyBorder="1" applyAlignment="1">
      <alignment horizontal="center" vertical="center" wrapText="1"/>
    </xf>
    <xf numFmtId="0" fontId="8" fillId="14" borderId="6" xfId="22" applyFont="1" applyFill="1" applyBorder="1" applyAlignment="1">
      <alignment horizontal="left" vertical="center" wrapText="1"/>
    </xf>
    <xf numFmtId="0" fontId="8" fillId="14" borderId="8" xfId="22" applyFont="1" applyFill="1" applyBorder="1" applyAlignment="1">
      <alignment horizontal="center" vertical="center"/>
    </xf>
    <xf numFmtId="2" fontId="3" fillId="0" borderId="14" xfId="3" applyNumberFormat="1" applyBorder="1" applyAlignment="1">
      <alignment horizontal="center" vertical="center"/>
    </xf>
    <xf numFmtId="2" fontId="3" fillId="0" borderId="16" xfId="3" applyNumberFormat="1" applyBorder="1" applyAlignment="1">
      <alignment horizontal="center" vertical="center"/>
    </xf>
    <xf numFmtId="2" fontId="3" fillId="0" borderId="39" xfId="3" applyNumberFormat="1" applyBorder="1" applyAlignment="1">
      <alignment horizontal="center" vertical="center"/>
    </xf>
    <xf numFmtId="0" fontId="3" fillId="0" borderId="28" xfId="3" applyBorder="1" applyAlignment="1">
      <alignment horizontal="center" vertical="center" wrapText="1"/>
    </xf>
    <xf numFmtId="0" fontId="3" fillId="0" borderId="70" xfId="3" applyBorder="1" applyAlignment="1">
      <alignment horizontal="center" vertical="center" wrapText="1"/>
    </xf>
    <xf numFmtId="0" fontId="3" fillId="0" borderId="64" xfId="3" applyBorder="1" applyAlignment="1">
      <alignment horizontal="center" vertical="center" wrapText="1"/>
    </xf>
    <xf numFmtId="0" fontId="3" fillId="0" borderId="48" xfId="3" applyBorder="1" applyAlignment="1">
      <alignment horizontal="center" vertical="center" wrapText="1"/>
    </xf>
    <xf numFmtId="0" fontId="3" fillId="0" borderId="72" xfId="3" applyBorder="1" applyAlignment="1">
      <alignment horizontal="center" vertical="center" wrapText="1"/>
    </xf>
    <xf numFmtId="0" fontId="3" fillId="0" borderId="55" xfId="3" applyBorder="1" applyAlignment="1">
      <alignment horizontal="center" vertical="center" wrapText="1"/>
    </xf>
    <xf numFmtId="182" fontId="0" fillId="0" borderId="6" xfId="24" applyFont="1" applyFill="1" applyBorder="1" applyAlignment="1">
      <alignment horizontal="center" vertical="center"/>
    </xf>
    <xf numFmtId="182" fontId="0" fillId="0" borderId="7" xfId="24" applyFont="1" applyFill="1" applyBorder="1" applyAlignment="1">
      <alignment horizontal="center" vertical="center"/>
    </xf>
    <xf numFmtId="0" fontId="8" fillId="14" borderId="72" xfId="22" applyFont="1" applyFill="1" applyBorder="1" applyAlignment="1">
      <alignment horizontal="left" vertical="center"/>
    </xf>
    <xf numFmtId="0" fontId="8" fillId="14" borderId="54" xfId="22" applyFont="1" applyFill="1" applyBorder="1" applyAlignment="1">
      <alignment horizontal="left" vertical="center"/>
    </xf>
    <xf numFmtId="0" fontId="3" fillId="0" borderId="9" xfId="3" applyBorder="1" applyAlignment="1">
      <alignment vertical="center" wrapText="1"/>
    </xf>
    <xf numFmtId="0" fontId="3" fillId="0" borderId="64" xfId="3" applyBorder="1" applyAlignment="1">
      <alignment horizontal="left" vertical="center" wrapText="1"/>
    </xf>
    <xf numFmtId="0" fontId="3" fillId="0" borderId="48" xfId="3" applyBorder="1" applyAlignment="1">
      <alignment horizontal="left" vertical="center" wrapText="1"/>
    </xf>
    <xf numFmtId="0" fontId="3" fillId="0" borderId="72" xfId="3" applyBorder="1" applyAlignment="1">
      <alignment horizontal="left" vertical="center" wrapText="1"/>
    </xf>
    <xf numFmtId="0" fontId="3" fillId="0" borderId="55" xfId="3" applyBorder="1" applyAlignment="1">
      <alignment horizontal="left" vertical="center" wrapText="1"/>
    </xf>
    <xf numFmtId="0" fontId="3" fillId="0" borderId="6" xfId="3" applyBorder="1" applyAlignment="1">
      <alignment horizontal="left" wrapText="1"/>
    </xf>
    <xf numFmtId="0" fontId="3" fillId="0" borderId="9" xfId="3" applyBorder="1" applyAlignment="1">
      <alignment horizontal="left" wrapText="1"/>
    </xf>
    <xf numFmtId="0" fontId="3" fillId="0" borderId="7" xfId="3" applyBorder="1" applyAlignment="1">
      <alignment horizontal="left" wrapText="1"/>
    </xf>
    <xf numFmtId="0" fontId="8" fillId="14" borderId="8" xfId="22" applyFont="1" applyFill="1" applyBorder="1" applyAlignment="1">
      <alignment horizontal="left" vertical="center"/>
    </xf>
    <xf numFmtId="193" fontId="37" fillId="0" borderId="8" xfId="34" applyFont="1" applyFill="1" applyBorder="1" applyAlignment="1">
      <alignment horizontal="center" vertical="center"/>
    </xf>
    <xf numFmtId="0" fontId="3" fillId="0" borderId="8" xfId="22" applyBorder="1" applyAlignment="1">
      <alignment horizontal="center" vertical="center"/>
    </xf>
    <xf numFmtId="0" fontId="3" fillId="0" borderId="72" xfId="3" applyBorder="1" applyAlignment="1">
      <alignment horizontal="center" vertical="center"/>
    </xf>
    <xf numFmtId="0" fontId="3" fillId="0" borderId="54" xfId="3" applyBorder="1" applyAlignment="1">
      <alignment horizontal="center" vertical="center"/>
    </xf>
    <xf numFmtId="0" fontId="3" fillId="0" borderId="55" xfId="3" applyBorder="1" applyAlignment="1">
      <alignment horizontal="center" vertical="center"/>
    </xf>
    <xf numFmtId="0" fontId="8" fillId="14" borderId="16" xfId="22" applyFont="1" applyFill="1" applyBorder="1" applyAlignment="1">
      <alignment horizontal="center" vertical="center" wrapText="1"/>
    </xf>
    <xf numFmtId="0" fontId="17" fillId="0" borderId="6" xfId="3" applyFont="1" applyBorder="1" applyAlignment="1">
      <alignment horizontal="center" vertical="center"/>
    </xf>
    <xf numFmtId="0" fontId="17" fillId="0" borderId="9" xfId="3" applyFont="1" applyBorder="1" applyAlignment="1">
      <alignment horizontal="center" vertical="center"/>
    </xf>
    <xf numFmtId="0" fontId="17" fillId="0" borderId="7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36" fillId="13" borderId="6" xfId="33" applyFont="1" applyFill="1" applyBorder="1" applyAlignment="1">
      <alignment horizontal="center" vertical="center" wrapText="1" shrinkToFit="1"/>
    </xf>
    <xf numFmtId="0" fontId="36" fillId="13" borderId="9" xfId="33" applyFont="1" applyFill="1" applyBorder="1" applyAlignment="1">
      <alignment horizontal="center" vertical="center" wrapText="1" shrinkToFit="1"/>
    </xf>
    <xf numFmtId="0" fontId="36" fillId="13" borderId="7" xfId="33" applyFont="1" applyFill="1" applyBorder="1" applyAlignment="1">
      <alignment horizontal="center" vertical="center" wrapText="1" shrinkToFit="1"/>
    </xf>
    <xf numFmtId="0" fontId="8" fillId="0" borderId="28" xfId="22" applyFont="1" applyBorder="1" applyAlignment="1">
      <alignment horizontal="right" vertical="center"/>
    </xf>
    <xf numFmtId="0" fontId="8" fillId="0" borderId="69" xfId="22" applyFont="1" applyBorder="1" applyAlignment="1">
      <alignment horizontal="right" vertical="center"/>
    </xf>
    <xf numFmtId="0" fontId="8" fillId="0" borderId="70" xfId="22" applyFont="1" applyBorder="1" applyAlignment="1">
      <alignment horizontal="right" vertical="center"/>
    </xf>
    <xf numFmtId="0" fontId="8" fillId="0" borderId="6" xfId="3" applyFont="1" applyBorder="1" applyAlignment="1">
      <alignment horizontal="right" vertical="center"/>
    </xf>
    <xf numFmtId="0" fontId="8" fillId="0" borderId="9" xfId="3" applyFont="1" applyBorder="1" applyAlignment="1">
      <alignment horizontal="right" vertical="center"/>
    </xf>
    <xf numFmtId="0" fontId="8" fillId="0" borderId="7" xfId="3" applyFont="1" applyBorder="1" applyAlignment="1">
      <alignment horizontal="right" vertical="center"/>
    </xf>
    <xf numFmtId="0" fontId="4" fillId="0" borderId="6" xfId="37" applyFont="1" applyBorder="1" applyAlignment="1">
      <alignment horizontal="right" vertical="center"/>
    </xf>
    <xf numFmtId="0" fontId="4" fillId="0" borderId="9" xfId="37" applyFont="1" applyBorder="1" applyAlignment="1">
      <alignment horizontal="right" vertical="center"/>
    </xf>
    <xf numFmtId="0" fontId="4" fillId="0" borderId="7" xfId="37" applyFont="1" applyBorder="1" applyAlignment="1">
      <alignment horizontal="right" vertical="center"/>
    </xf>
    <xf numFmtId="0" fontId="4" fillId="0" borderId="6" xfId="37" applyFont="1" applyBorder="1" applyAlignment="1">
      <alignment horizontal="center" vertical="center"/>
    </xf>
    <xf numFmtId="0" fontId="4" fillId="0" borderId="9" xfId="37" applyFont="1" applyBorder="1" applyAlignment="1">
      <alignment horizontal="center" vertical="center"/>
    </xf>
    <xf numFmtId="0" fontId="4" fillId="0" borderId="7" xfId="37" applyFont="1" applyBorder="1" applyAlignment="1">
      <alignment horizontal="center" vertical="center"/>
    </xf>
    <xf numFmtId="0" fontId="8" fillId="0" borderId="8" xfId="22" applyFont="1" applyBorder="1" applyAlignment="1">
      <alignment horizontal="center" vertical="center"/>
    </xf>
    <xf numFmtId="0" fontId="8" fillId="0" borderId="8" xfId="22" applyFont="1" applyBorder="1" applyAlignment="1">
      <alignment horizontal="center" vertical="center" wrapText="1"/>
    </xf>
    <xf numFmtId="0" fontId="8" fillId="0" borderId="7" xfId="22" applyFont="1" applyBorder="1" applyAlignment="1">
      <alignment horizontal="center" vertical="center"/>
    </xf>
    <xf numFmtId="0" fontId="8" fillId="0" borderId="6" xfId="22" applyFont="1" applyBorder="1" applyAlignment="1">
      <alignment horizontal="center" vertical="center" wrapText="1"/>
    </xf>
    <xf numFmtId="0" fontId="8" fillId="0" borderId="7" xfId="22" applyFont="1" applyBorder="1" applyAlignment="1">
      <alignment horizontal="center" vertical="center" wrapText="1"/>
    </xf>
    <xf numFmtId="0" fontId="36" fillId="13" borderId="72" xfId="33" applyFont="1" applyFill="1" applyBorder="1" applyAlignment="1">
      <alignment horizontal="center" vertical="center" wrapText="1" shrinkToFit="1"/>
    </xf>
    <xf numFmtId="0" fontId="36" fillId="13" borderId="54" xfId="33" applyFont="1" applyFill="1" applyBorder="1" applyAlignment="1">
      <alignment horizontal="center" vertical="center" wrapText="1" shrinkToFit="1"/>
    </xf>
    <xf numFmtId="0" fontId="36" fillId="13" borderId="55" xfId="33" applyFont="1" applyFill="1" applyBorder="1" applyAlignment="1">
      <alignment horizontal="center" vertical="center" wrapText="1" shrinkToFit="1"/>
    </xf>
    <xf numFmtId="0" fontId="23" fillId="14" borderId="14" xfId="22" applyFont="1" applyFill="1" applyBorder="1" applyAlignment="1">
      <alignment horizontal="center" vertical="center" wrapText="1"/>
    </xf>
    <xf numFmtId="0" fontId="23" fillId="14" borderId="39" xfId="22" applyFont="1" applyFill="1" applyBorder="1" applyAlignment="1">
      <alignment horizontal="center" vertical="center" wrapText="1"/>
    </xf>
    <xf numFmtId="0" fontId="3" fillId="0" borderId="6" xfId="3" applyBorder="1" applyAlignment="1">
      <alignment horizontal="center" vertical="center"/>
    </xf>
    <xf numFmtId="0" fontId="8" fillId="14" borderId="28" xfId="22" applyFont="1" applyFill="1" applyBorder="1" applyAlignment="1">
      <alignment horizontal="center" vertical="center" wrapText="1"/>
    </xf>
    <xf numFmtId="0" fontId="8" fillId="14" borderId="69" xfId="22" applyFont="1" applyFill="1" applyBorder="1" applyAlignment="1">
      <alignment horizontal="center" vertical="center" wrapText="1"/>
    </xf>
    <xf numFmtId="0" fontId="8" fillId="14" borderId="70" xfId="22" applyFont="1" applyFill="1" applyBorder="1" applyAlignment="1">
      <alignment horizontal="center" vertical="center" wrapText="1"/>
    </xf>
    <xf numFmtId="0" fontId="8" fillId="14" borderId="64" xfId="22" applyFont="1" applyFill="1" applyBorder="1" applyAlignment="1">
      <alignment horizontal="center" vertical="center" wrapText="1"/>
    </xf>
    <xf numFmtId="0" fontId="8" fillId="14" borderId="0" xfId="22" applyFont="1" applyFill="1" applyAlignment="1">
      <alignment horizontal="center" vertical="center" wrapText="1"/>
    </xf>
    <xf numFmtId="0" fontId="8" fillId="14" borderId="48" xfId="22" applyFont="1" applyFill="1" applyBorder="1" applyAlignment="1">
      <alignment horizontal="center" vertical="center" wrapText="1"/>
    </xf>
    <xf numFmtId="0" fontId="39" fillId="13" borderId="28" xfId="33" applyFont="1" applyFill="1" applyBorder="1" applyAlignment="1">
      <alignment horizontal="center" vertical="center"/>
    </xf>
    <xf numFmtId="0" fontId="39" fillId="13" borderId="69" xfId="33" applyFont="1" applyFill="1" applyBorder="1" applyAlignment="1">
      <alignment horizontal="center" vertical="center"/>
    </xf>
    <xf numFmtId="0" fontId="39" fillId="13" borderId="70" xfId="33" applyFont="1" applyFill="1" applyBorder="1" applyAlignment="1">
      <alignment horizontal="center" vertical="center"/>
    </xf>
    <xf numFmtId="0" fontId="36" fillId="13" borderId="8" xfId="33" applyFont="1" applyFill="1" applyBorder="1" applyAlignment="1">
      <alignment horizontal="center" vertical="center" wrapText="1" shrinkToFi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48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</cellXfs>
  <cellStyles count="38">
    <cellStyle name="Hipervínculo 2" xfId="32"/>
    <cellStyle name="Millares 2 2" xfId="14"/>
    <cellStyle name="Millares 21" xfId="6"/>
    <cellStyle name="Millares 3" xfId="21"/>
    <cellStyle name="Millares_CALCULO DEL AIU-2012" xfId="25"/>
    <cellStyle name="Millares_FORMULARIO 4 - M-OFERENTE PPTA ECONOMICA" xfId="19"/>
    <cellStyle name="Moneda" xfId="1" builtinId="4"/>
    <cellStyle name="Moneda [0] 2" xfId="36"/>
    <cellStyle name="Moneda 13" xfId="34"/>
    <cellStyle name="Moneda 14" xfId="24"/>
    <cellStyle name="Moneda 2" xfId="28"/>
    <cellStyle name="Moneda 2 2" xfId="15"/>
    <cellStyle name="Moneda 2 2 2 2 2" xfId="18"/>
    <cellStyle name="Moneda 4" xfId="7"/>
    <cellStyle name="Normal" xfId="0" builtinId="0"/>
    <cellStyle name="Normal 11 4 2" xfId="9"/>
    <cellStyle name="Normal 12 2 2" xfId="10"/>
    <cellStyle name="Normal 16" xfId="4"/>
    <cellStyle name="Normal 2 10" xfId="3"/>
    <cellStyle name="Normal 2 10 3" xfId="13"/>
    <cellStyle name="Normal 2 2" xfId="5"/>
    <cellStyle name="Normal 2 3" xfId="12"/>
    <cellStyle name="Normal 21" xfId="27"/>
    <cellStyle name="Normal 24 2 2" xfId="29"/>
    <cellStyle name="Normal 3 11" xfId="11"/>
    <cellStyle name="Normal 3 2 2" xfId="16"/>
    <cellStyle name="Normal_CALCULO DEL AIU 2011" xfId="23"/>
    <cellStyle name="Normal_CALCULO DEL AIU 2011_revisar" xfId="26"/>
    <cellStyle name="Normal_PPTO-ETAPA- I-07-SEPTIEMBRE-12" xfId="22"/>
    <cellStyle name="Normal_PPTO-ETAPA- I-07-SEPTIEMBRE-12 2" xfId="30"/>
    <cellStyle name="Normal_PRESUPUESTOS Preliminares" xfId="37"/>
    <cellStyle name="Normal_PTO OFICIAL PREPLIEGO (CORREGIDO) 2" xfId="17"/>
    <cellStyle name="Normal_PTO OFICIAL y APU MODELO 2010 (2)" xfId="33"/>
    <cellStyle name="Porcentaje" xfId="2" builtinId="5"/>
    <cellStyle name="Porcentaje 2" xfId="20"/>
    <cellStyle name="Porcentaje 2 2" xfId="8"/>
    <cellStyle name="Porcentaje 7" xfId="35"/>
    <cellStyle name="Porcentual_CALCULO DEL AIU-201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5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1.xml"/><Relationship Id="rId67" Type="http://schemas.openxmlformats.org/officeDocument/2006/relationships/sheetMetadata" Target="metadata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2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608737</xdr:colOff>
      <xdr:row>17</xdr:row>
      <xdr:rowOff>21134</xdr:rowOff>
    </xdr:from>
    <xdr:to>
      <xdr:col>16</xdr:col>
      <xdr:colOff>1508760</xdr:colOff>
      <xdr:row>19</xdr:row>
      <xdr:rowOff>91440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F09F3A31-F961-4F94-9562-0FBB4D96D7A2}"/>
            </a:ext>
          </a:extLst>
        </xdr:cNvPr>
        <xdr:cNvSpPr/>
      </xdr:nvSpPr>
      <xdr:spPr>
        <a:xfrm>
          <a:off x="17913757" y="3000554"/>
          <a:ext cx="2500223" cy="4208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/>
    <pageSetUpPr fitToPage="1"/>
  </sheetPr>
  <dimension ref="B1:N26"/>
  <sheetViews>
    <sheetView view="pageBreakPreview" topLeftCell="C1" zoomScale="85" zoomScaleNormal="100" zoomScaleSheetLayoutView="85" workbookViewId="0">
      <selection activeCell="F8" sqref="F8"/>
    </sheetView>
  </sheetViews>
  <sheetFormatPr baseColWidth="10" defaultColWidth="12.85546875" defaultRowHeight="15" x14ac:dyDescent="0.25"/>
  <cols>
    <col min="1" max="1" width="11.28515625" style="2" customWidth="1"/>
    <col min="2" max="2" width="22.85546875" style="2" customWidth="1"/>
    <col min="3" max="3" width="26.140625" style="2" customWidth="1"/>
    <col min="4" max="4" width="17.140625" style="2" customWidth="1"/>
    <col min="5" max="7" width="17.28515625" style="2" customWidth="1"/>
    <col min="8" max="8" width="12.85546875" style="2"/>
    <col min="9" max="9" width="5.140625" style="2" customWidth="1"/>
    <col min="10" max="10" width="19.28515625" style="2" customWidth="1"/>
    <col min="11" max="11" width="11.7109375" style="2" customWidth="1"/>
    <col min="12" max="16384" width="12.85546875" style="2"/>
  </cols>
  <sheetData>
    <row r="1" spans="2:14" ht="15" customHeight="1" x14ac:dyDescent="0.25">
      <c r="B1" s="1" t="s">
        <v>0</v>
      </c>
      <c r="C1" s="450"/>
      <c r="D1" s="450"/>
      <c r="E1" s="450"/>
      <c r="F1" s="450"/>
      <c r="G1" s="450"/>
      <c r="H1" s="451"/>
      <c r="K1" s="3" t="s">
        <v>1</v>
      </c>
    </row>
    <row r="2" spans="2:14" ht="15" customHeight="1" thickBot="1" x14ac:dyDescent="0.3">
      <c r="B2" s="4" t="s">
        <v>2</v>
      </c>
      <c r="C2" s="445"/>
      <c r="D2" s="446"/>
      <c r="E2" s="5" t="s">
        <v>3</v>
      </c>
      <c r="F2" s="447"/>
      <c r="G2" s="448"/>
      <c r="H2" s="449"/>
      <c r="K2" s="6">
        <f ca="1">TODAY()</f>
        <v>45014</v>
      </c>
    </row>
    <row r="3" spans="2:14" ht="30.4" customHeight="1" x14ac:dyDescent="0.25">
      <c r="B3" s="4" t="s">
        <v>4</v>
      </c>
      <c r="C3" s="418"/>
      <c r="D3" s="418"/>
      <c r="E3" s="418"/>
      <c r="F3" s="418"/>
      <c r="G3" s="418"/>
      <c r="H3" s="419"/>
    </row>
    <row r="4" spans="2:14" ht="15" customHeight="1" x14ac:dyDescent="0.25">
      <c r="B4" s="4" t="s">
        <v>5</v>
      </c>
      <c r="C4" s="452"/>
      <c r="D4" s="453"/>
      <c r="E4" s="453"/>
      <c r="F4" s="453"/>
      <c r="G4" s="453"/>
      <c r="H4" s="454"/>
    </row>
    <row r="5" spans="2:14" x14ac:dyDescent="0.25">
      <c r="B5" s="4" t="s">
        <v>6</v>
      </c>
      <c r="C5" s="445"/>
      <c r="D5" s="446"/>
      <c r="E5" s="5" t="s">
        <v>3</v>
      </c>
      <c r="F5" s="447"/>
      <c r="G5" s="448"/>
      <c r="H5" s="449"/>
    </row>
    <row r="6" spans="2:14" ht="30.4" customHeight="1" x14ac:dyDescent="0.25">
      <c r="B6" s="4" t="s">
        <v>7</v>
      </c>
      <c r="C6" s="418"/>
      <c r="D6" s="418"/>
      <c r="E6" s="418"/>
      <c r="F6" s="418"/>
      <c r="G6" s="418"/>
      <c r="H6" s="419"/>
    </row>
    <row r="7" spans="2:14" ht="15" customHeight="1" x14ac:dyDescent="0.25">
      <c r="B7" s="7" t="s">
        <v>8</v>
      </c>
      <c r="C7" s="420" t="s">
        <v>9</v>
      </c>
      <c r="D7" s="421"/>
      <c r="E7" s="421"/>
      <c r="F7" s="421"/>
      <c r="G7" s="421"/>
      <c r="H7" s="422"/>
    </row>
    <row r="8" spans="2:14" ht="38.25" customHeight="1" x14ac:dyDescent="0.25">
      <c r="B8" s="423" t="s">
        <v>10</v>
      </c>
      <c r="C8" s="426" t="s">
        <v>11</v>
      </c>
      <c r="D8" s="5" t="s">
        <v>12</v>
      </c>
      <c r="E8" s="5" t="s">
        <v>13</v>
      </c>
      <c r="F8" s="5" t="s">
        <v>14</v>
      </c>
      <c r="G8" s="8" t="s">
        <v>15</v>
      </c>
      <c r="H8" s="5" t="s">
        <v>16</v>
      </c>
    </row>
    <row r="9" spans="2:14" ht="15" customHeight="1" x14ac:dyDescent="0.25">
      <c r="B9" s="424"/>
      <c r="C9" s="427"/>
      <c r="D9" s="429">
        <v>44988</v>
      </c>
      <c r="E9" s="432" t="s">
        <v>17</v>
      </c>
      <c r="F9" s="435">
        <v>2023</v>
      </c>
      <c r="G9" s="9">
        <v>1160000</v>
      </c>
      <c r="H9" s="438" t="str">
        <f>B17</f>
        <v>V.3.0</v>
      </c>
    </row>
    <row r="10" spans="2:14" x14ac:dyDescent="0.25">
      <c r="B10" s="424"/>
      <c r="C10" s="427"/>
      <c r="D10" s="430"/>
      <c r="E10" s="433"/>
      <c r="F10" s="436"/>
      <c r="G10" s="10">
        <v>140000</v>
      </c>
      <c r="H10" s="439"/>
    </row>
    <row r="11" spans="2:14" ht="15.75" thickBot="1" x14ac:dyDescent="0.3">
      <c r="B11" s="425"/>
      <c r="C11" s="428"/>
      <c r="D11" s="431"/>
      <c r="E11" s="434"/>
      <c r="F11" s="437"/>
      <c r="G11" s="11">
        <v>0.19</v>
      </c>
      <c r="H11" s="440"/>
    </row>
    <row r="12" spans="2:14" ht="15.75" thickBot="1" x14ac:dyDescent="0.3">
      <c r="B12" s="12"/>
      <c r="C12" s="12"/>
      <c r="D12" s="12"/>
      <c r="E12" s="12"/>
      <c r="F12" s="12"/>
      <c r="G12" s="12"/>
      <c r="H12" s="12"/>
    </row>
    <row r="13" spans="2:14" ht="15.75" customHeight="1" thickBot="1" x14ac:dyDescent="0.3">
      <c r="B13" s="441" t="s">
        <v>18</v>
      </c>
      <c r="C13" s="442"/>
      <c r="D13" s="442"/>
      <c r="E13" s="442"/>
      <c r="F13" s="442"/>
      <c r="G13" s="442"/>
      <c r="H13" s="443"/>
    </row>
    <row r="14" spans="2:14" s="16" customFormat="1" ht="26.65" customHeight="1" x14ac:dyDescent="0.25">
      <c r="B14" s="13" t="s">
        <v>19</v>
      </c>
      <c r="C14" s="444" t="s">
        <v>20</v>
      </c>
      <c r="D14" s="444"/>
      <c r="E14" s="444"/>
      <c r="F14" s="14" t="s">
        <v>21</v>
      </c>
      <c r="G14" s="14" t="s">
        <v>22</v>
      </c>
      <c r="H14" s="15" t="s">
        <v>23</v>
      </c>
      <c r="J14" s="17"/>
      <c r="K14" s="2"/>
      <c r="L14" s="2"/>
      <c r="M14" s="2"/>
      <c r="N14" s="2"/>
    </row>
    <row r="15" spans="2:14" s="22" customFormat="1" ht="45" customHeight="1" x14ac:dyDescent="0.25">
      <c r="B15" s="18" t="s">
        <v>24</v>
      </c>
      <c r="C15" s="417" t="s">
        <v>25</v>
      </c>
      <c r="D15" s="417"/>
      <c r="E15" s="417"/>
      <c r="F15" s="19">
        <v>44972</v>
      </c>
      <c r="G15" s="20" t="s">
        <v>26</v>
      </c>
      <c r="H15" s="21" t="s">
        <v>27</v>
      </c>
      <c r="J15" s="23"/>
      <c r="K15" s="2"/>
      <c r="L15" s="2"/>
      <c r="M15" s="2"/>
      <c r="N15" s="2"/>
    </row>
    <row r="16" spans="2:14" s="22" customFormat="1" ht="44.25" customHeight="1" x14ac:dyDescent="0.25">
      <c r="B16" s="18" t="s">
        <v>28</v>
      </c>
      <c r="C16" s="417" t="s">
        <v>29</v>
      </c>
      <c r="D16" s="417"/>
      <c r="E16" s="417"/>
      <c r="F16" s="19">
        <v>44988</v>
      </c>
      <c r="G16" s="20" t="s">
        <v>26</v>
      </c>
      <c r="H16" s="21" t="s">
        <v>27</v>
      </c>
      <c r="K16" s="2"/>
      <c r="L16" s="2"/>
      <c r="M16" s="2"/>
      <c r="N16" s="2"/>
    </row>
    <row r="17" spans="2:14" s="22" customFormat="1" ht="35.450000000000003" customHeight="1" x14ac:dyDescent="0.25">
      <c r="B17" s="18" t="s">
        <v>30</v>
      </c>
      <c r="C17" s="417" t="s">
        <v>31</v>
      </c>
      <c r="D17" s="417"/>
      <c r="E17" s="417"/>
      <c r="F17" s="19">
        <v>44988</v>
      </c>
      <c r="G17" s="20" t="s">
        <v>26</v>
      </c>
      <c r="H17" s="21" t="s">
        <v>27</v>
      </c>
      <c r="K17" s="2"/>
      <c r="L17" s="2"/>
      <c r="M17" s="2"/>
      <c r="N17" s="2"/>
    </row>
    <row r="18" spans="2:14" s="22" customFormat="1" x14ac:dyDescent="0.25">
      <c r="B18" s="18"/>
      <c r="C18" s="417"/>
      <c r="D18" s="417"/>
      <c r="E18" s="417"/>
      <c r="F18" s="19"/>
      <c r="G18" s="20"/>
      <c r="H18" s="21"/>
      <c r="K18" s="2"/>
      <c r="L18" s="2"/>
      <c r="M18" s="2"/>
      <c r="N18" s="2"/>
    </row>
    <row r="19" spans="2:14" s="22" customFormat="1" x14ac:dyDescent="0.25">
      <c r="B19" s="18"/>
      <c r="C19" s="417"/>
      <c r="D19" s="417"/>
      <c r="E19" s="417"/>
      <c r="F19" s="19"/>
      <c r="G19" s="20"/>
      <c r="H19" s="21"/>
      <c r="K19" s="2"/>
      <c r="L19" s="2"/>
      <c r="M19" s="2"/>
      <c r="N19" s="2"/>
    </row>
    <row r="20" spans="2:14" s="22" customFormat="1" x14ac:dyDescent="0.25">
      <c r="B20" s="18"/>
      <c r="C20" s="417"/>
      <c r="D20" s="417"/>
      <c r="E20" s="417"/>
      <c r="F20" s="19"/>
      <c r="G20" s="20"/>
      <c r="H20" s="21"/>
      <c r="K20" s="24"/>
      <c r="L20" s="2"/>
      <c r="M20" s="2"/>
      <c r="N20" s="2"/>
    </row>
    <row r="21" spans="2:14" s="22" customFormat="1" x14ac:dyDescent="0.25">
      <c r="B21" s="18"/>
      <c r="C21" s="417"/>
      <c r="D21" s="417"/>
      <c r="E21" s="417"/>
      <c r="F21" s="19"/>
      <c r="G21" s="20"/>
      <c r="H21" s="21"/>
      <c r="K21" s="2"/>
      <c r="L21" s="2"/>
      <c r="M21" s="2"/>
      <c r="N21" s="2"/>
    </row>
    <row r="22" spans="2:14" s="22" customFormat="1" x14ac:dyDescent="0.25">
      <c r="B22" s="18"/>
      <c r="C22" s="417"/>
      <c r="D22" s="417"/>
      <c r="E22" s="417"/>
      <c r="F22" s="19"/>
      <c r="G22" s="20"/>
      <c r="H22" s="21"/>
      <c r="K22" s="2"/>
      <c r="L22" s="2"/>
      <c r="M22" s="2"/>
      <c r="N22" s="2"/>
    </row>
    <row r="23" spans="2:14" s="22" customFormat="1" x14ac:dyDescent="0.25">
      <c r="B23" s="18"/>
      <c r="C23" s="417"/>
      <c r="D23" s="417"/>
      <c r="E23" s="417"/>
      <c r="F23" s="19"/>
      <c r="G23" s="20"/>
      <c r="H23" s="21"/>
      <c r="K23" s="2"/>
      <c r="L23" s="2"/>
      <c r="M23" s="2"/>
      <c r="N23" s="2"/>
    </row>
    <row r="24" spans="2:14" s="22" customFormat="1" x14ac:dyDescent="0.25">
      <c r="B24" s="18" t="s">
        <v>32</v>
      </c>
      <c r="C24" s="417" t="s">
        <v>32</v>
      </c>
      <c r="D24" s="417"/>
      <c r="E24" s="417"/>
      <c r="F24" s="19" t="s">
        <v>32</v>
      </c>
      <c r="G24" s="20" t="s">
        <v>32</v>
      </c>
      <c r="H24" s="21" t="s">
        <v>32</v>
      </c>
    </row>
    <row r="25" spans="2:14" s="22" customFormat="1" x14ac:dyDescent="0.25">
      <c r="B25" s="18" t="s">
        <v>32</v>
      </c>
      <c r="C25" s="417" t="s">
        <v>32</v>
      </c>
      <c r="D25" s="417"/>
      <c r="E25" s="417"/>
      <c r="F25" s="19" t="s">
        <v>32</v>
      </c>
      <c r="G25" s="20" t="s">
        <v>32</v>
      </c>
      <c r="H25" s="21" t="s">
        <v>32</v>
      </c>
    </row>
    <row r="26" spans="2:14" s="22" customFormat="1" ht="15.75" customHeight="1" thickBot="1" x14ac:dyDescent="0.3">
      <c r="B26" s="25" t="s">
        <v>32</v>
      </c>
      <c r="C26" s="417" t="s">
        <v>32</v>
      </c>
      <c r="D26" s="417"/>
      <c r="E26" s="417"/>
      <c r="F26" s="26" t="s">
        <v>32</v>
      </c>
      <c r="G26" s="27" t="s">
        <v>32</v>
      </c>
      <c r="H26" s="28" t="s">
        <v>32</v>
      </c>
    </row>
  </sheetData>
  <mergeCells count="29">
    <mergeCell ref="C5:D5"/>
    <mergeCell ref="F5:H5"/>
    <mergeCell ref="C1:H1"/>
    <mergeCell ref="C2:D2"/>
    <mergeCell ref="F2:H2"/>
    <mergeCell ref="C3:H3"/>
    <mergeCell ref="C4:H4"/>
    <mergeCell ref="C18:E18"/>
    <mergeCell ref="C6:H6"/>
    <mergeCell ref="C7:H7"/>
    <mergeCell ref="B8:B11"/>
    <mergeCell ref="C8:C11"/>
    <mergeCell ref="D9:D11"/>
    <mergeCell ref="E9:E11"/>
    <mergeCell ref="F9:F11"/>
    <mergeCell ref="H9:H11"/>
    <mergeCell ref="B13:H13"/>
    <mergeCell ref="C14:E14"/>
    <mergeCell ref="C15:E15"/>
    <mergeCell ref="C16:E16"/>
    <mergeCell ref="C17:E17"/>
    <mergeCell ref="C25:E25"/>
    <mergeCell ref="C26:E26"/>
    <mergeCell ref="C19:E19"/>
    <mergeCell ref="C20:E20"/>
    <mergeCell ref="C21:E21"/>
    <mergeCell ref="C22:E22"/>
    <mergeCell ref="C23:E23"/>
    <mergeCell ref="C24:E24"/>
  </mergeCells>
  <printOptions horizontalCentered="1" verticalCentered="1"/>
  <pageMargins left="0.39370078740157483" right="0.39370078740157483" top="0.59055118110236227" bottom="0.59055118110236227" header="0.31496062992125984" footer="0.31496062992125984"/>
  <pageSetup scale="99" orientation="landscape" r:id="rId1"/>
  <headerFooter>
    <oddFooter>&amp;L&amp;F&amp;C&amp;P de &amp;N&amp;R&amp;A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3"/>
  <sheetViews>
    <sheetView tabSelected="1" view="pageBreakPreview" topLeftCell="H289" zoomScale="90" zoomScaleNormal="100" zoomScaleSheetLayoutView="90" workbookViewId="0">
      <selection activeCell="K309" sqref="K309"/>
    </sheetView>
  </sheetViews>
  <sheetFormatPr baseColWidth="10" defaultColWidth="11.42578125" defaultRowHeight="15" x14ac:dyDescent="0.25"/>
  <cols>
    <col min="2" max="2" width="2.42578125" customWidth="1"/>
    <col min="4" max="4" width="14.28515625" customWidth="1"/>
    <col min="5" max="5" width="12.28515625" customWidth="1"/>
    <col min="6" max="6" width="15.7109375" customWidth="1"/>
    <col min="7" max="7" width="93" customWidth="1"/>
    <col min="9" max="9" width="15" customWidth="1"/>
    <col min="10" max="10" width="17.42578125" customWidth="1"/>
    <col min="11" max="11" width="21.28515625" bestFit="1" customWidth="1"/>
    <col min="12" max="12" width="2.42578125" customWidth="1"/>
  </cols>
  <sheetData>
    <row r="1" spans="1:13" ht="16.5" thickTop="1" x14ac:dyDescent="0.25">
      <c r="A1" s="59"/>
      <c r="B1" s="60"/>
      <c r="C1" s="61"/>
      <c r="D1" s="61"/>
      <c r="E1" s="62"/>
      <c r="F1" s="61"/>
      <c r="G1" s="61"/>
      <c r="H1" s="61"/>
      <c r="I1" s="61"/>
      <c r="J1" s="61"/>
      <c r="K1" s="61"/>
      <c r="L1" s="63"/>
      <c r="M1" s="59"/>
    </row>
    <row r="2" spans="1:13" ht="27.95" customHeight="1" x14ac:dyDescent="0.25">
      <c r="A2" s="59"/>
      <c r="B2" s="64"/>
      <c r="C2" s="493" t="s">
        <v>33</v>
      </c>
      <c r="D2" s="493"/>
      <c r="E2" s="493"/>
      <c r="F2" s="493"/>
      <c r="G2" s="59"/>
      <c r="H2" s="59"/>
      <c r="I2" s="59"/>
      <c r="J2" s="59"/>
      <c r="K2" s="59"/>
      <c r="L2" s="65"/>
      <c r="M2" s="59"/>
    </row>
    <row r="3" spans="1:13" ht="15.75" x14ac:dyDescent="0.25">
      <c r="A3" s="59"/>
      <c r="B3" s="64"/>
      <c r="C3" s="66" t="s">
        <v>34</v>
      </c>
      <c r="D3" s="67" t="s">
        <v>35</v>
      </c>
      <c r="E3" s="66" t="s">
        <v>16</v>
      </c>
      <c r="F3" s="67">
        <v>3</v>
      </c>
      <c r="G3" s="59"/>
      <c r="H3" s="59"/>
      <c r="I3" s="59"/>
      <c r="J3" s="59"/>
      <c r="K3" s="59"/>
      <c r="L3" s="65"/>
      <c r="M3" s="59"/>
    </row>
    <row r="4" spans="1:13" ht="15.75" x14ac:dyDescent="0.25">
      <c r="A4" s="59"/>
      <c r="B4" s="64"/>
      <c r="C4" s="494" t="s">
        <v>36</v>
      </c>
      <c r="D4" s="494"/>
      <c r="E4" s="494"/>
      <c r="F4" s="494"/>
      <c r="G4" s="494"/>
      <c r="H4" s="494"/>
      <c r="I4" s="494"/>
      <c r="J4" s="494"/>
      <c r="K4" s="494"/>
      <c r="L4" s="65"/>
      <c r="M4" s="59"/>
    </row>
    <row r="5" spans="1:13" ht="16.5" thickBot="1" x14ac:dyDescent="0.3">
      <c r="A5" s="59"/>
      <c r="B5" s="64"/>
      <c r="C5" s="495" t="s">
        <v>37</v>
      </c>
      <c r="D5" s="495"/>
      <c r="E5" s="495"/>
      <c r="F5" s="495"/>
      <c r="G5" s="495"/>
      <c r="H5" s="495"/>
      <c r="I5" s="495"/>
      <c r="J5" s="495"/>
      <c r="K5" s="495"/>
      <c r="L5" s="65"/>
      <c r="M5" s="59"/>
    </row>
    <row r="6" spans="1:13" ht="30.2" customHeight="1" x14ac:dyDescent="0.25">
      <c r="A6" s="68"/>
      <c r="B6" s="69"/>
      <c r="C6" s="496" t="s">
        <v>38</v>
      </c>
      <c r="D6" s="497"/>
      <c r="E6" s="497"/>
      <c r="F6" s="497"/>
      <c r="G6" s="497"/>
      <c r="H6" s="497"/>
      <c r="I6" s="497"/>
      <c r="J6" s="497"/>
      <c r="K6" s="498"/>
      <c r="L6" s="70"/>
      <c r="M6" s="68"/>
    </row>
    <row r="7" spans="1:13" ht="30.2" customHeight="1" x14ac:dyDescent="0.25">
      <c r="A7" s="59"/>
      <c r="B7" s="71"/>
      <c r="C7" s="499"/>
      <c r="D7" s="500"/>
      <c r="E7" s="500"/>
      <c r="F7" s="500"/>
      <c r="G7" s="500"/>
      <c r="H7" s="500"/>
      <c r="I7" s="500"/>
      <c r="J7" s="500"/>
      <c r="K7" s="501"/>
      <c r="L7" s="65"/>
      <c r="M7" s="59"/>
    </row>
    <row r="8" spans="1:13" ht="49.15" customHeight="1" x14ac:dyDescent="0.25">
      <c r="A8" s="59"/>
      <c r="B8" s="71"/>
      <c r="C8" s="502" t="s">
        <v>39</v>
      </c>
      <c r="D8" s="503"/>
      <c r="E8" s="503"/>
      <c r="F8" s="503"/>
      <c r="G8" s="503"/>
      <c r="H8" s="503"/>
      <c r="I8" s="503"/>
      <c r="J8" s="503"/>
      <c r="K8" s="504"/>
      <c r="L8" s="65"/>
      <c r="M8" s="59"/>
    </row>
    <row r="9" spans="1:13" ht="16.5" thickBot="1" x14ac:dyDescent="0.3">
      <c r="A9" s="59"/>
      <c r="B9" s="64"/>
      <c r="C9" s="490"/>
      <c r="D9" s="491"/>
      <c r="E9" s="491"/>
      <c r="F9" s="491"/>
      <c r="G9" s="491"/>
      <c r="H9" s="491"/>
      <c r="I9" s="491"/>
      <c r="J9" s="491"/>
      <c r="K9" s="492"/>
      <c r="L9" s="65"/>
      <c r="M9" s="59"/>
    </row>
    <row r="10" spans="1:13" ht="15.75" x14ac:dyDescent="0.25">
      <c r="A10" s="59"/>
      <c r="B10" s="64"/>
      <c r="C10" s="505" t="s">
        <v>40</v>
      </c>
      <c r="D10" s="486" t="s">
        <v>41</v>
      </c>
      <c r="E10" s="507" t="s">
        <v>42</v>
      </c>
      <c r="F10" s="507"/>
      <c r="G10" s="505" t="s">
        <v>43</v>
      </c>
      <c r="H10" s="486" t="s">
        <v>44</v>
      </c>
      <c r="I10" s="486" t="s">
        <v>45</v>
      </c>
      <c r="J10" s="508" t="s">
        <v>46</v>
      </c>
      <c r="K10" s="475" t="s">
        <v>47</v>
      </c>
      <c r="L10" s="65"/>
      <c r="M10" s="59"/>
    </row>
    <row r="11" spans="1:13" ht="16.5" thickBot="1" x14ac:dyDescent="0.3">
      <c r="A11" s="59"/>
      <c r="B11" s="64"/>
      <c r="C11" s="506"/>
      <c r="D11" s="487"/>
      <c r="E11" s="72" t="s">
        <v>48</v>
      </c>
      <c r="F11" s="72" t="s">
        <v>49</v>
      </c>
      <c r="G11" s="506"/>
      <c r="H11" s="487"/>
      <c r="I11" s="487"/>
      <c r="J11" s="509"/>
      <c r="K11" s="476"/>
      <c r="L11" s="65"/>
      <c r="M11" s="59"/>
    </row>
    <row r="12" spans="1:13" ht="16.5" thickBot="1" x14ac:dyDescent="0.3">
      <c r="A12" s="59"/>
      <c r="B12" s="64"/>
      <c r="C12" s="73" t="s">
        <v>50</v>
      </c>
      <c r="D12" s="74"/>
      <c r="E12" s="74"/>
      <c r="F12" s="74"/>
      <c r="G12" s="74"/>
      <c r="H12" s="74"/>
      <c r="I12" s="74"/>
      <c r="J12" s="74"/>
      <c r="K12" s="75"/>
      <c r="L12" s="65"/>
      <c r="M12" s="59"/>
    </row>
    <row r="13" spans="1:13" ht="15.75" x14ac:dyDescent="0.25">
      <c r="A13" s="59"/>
      <c r="B13" s="64"/>
      <c r="C13" s="76">
        <v>1</v>
      </c>
      <c r="D13" s="77">
        <v>3007</v>
      </c>
      <c r="E13" s="78" t="s">
        <v>51</v>
      </c>
      <c r="F13" s="78"/>
      <c r="G13" s="79" t="s">
        <v>52</v>
      </c>
      <c r="H13" s="77" t="s">
        <v>53</v>
      </c>
      <c r="I13" s="80">
        <v>1</v>
      </c>
      <c r="J13" s="81">
        <v>998</v>
      </c>
      <c r="K13" s="82">
        <f>ROUND(I13*J13,0)</f>
        <v>998</v>
      </c>
      <c r="L13" s="65"/>
      <c r="M13" s="59"/>
    </row>
    <row r="14" spans="1:13" ht="16.5" thickBot="1" x14ac:dyDescent="0.3">
      <c r="A14" s="59"/>
      <c r="B14" s="64"/>
      <c r="C14" s="83" t="s">
        <v>54</v>
      </c>
      <c r="D14" s="84"/>
      <c r="E14" s="85"/>
      <c r="F14" s="85"/>
      <c r="G14" s="86"/>
      <c r="H14" s="84"/>
      <c r="I14" s="87"/>
      <c r="J14" s="88"/>
      <c r="K14" s="89">
        <f>SUM(K13)</f>
        <v>998</v>
      </c>
      <c r="L14" s="65"/>
      <c r="M14" s="59"/>
    </row>
    <row r="15" spans="1:13" ht="16.5" thickBot="1" x14ac:dyDescent="0.3">
      <c r="A15" s="59"/>
      <c r="B15" s="64"/>
      <c r="C15" s="73" t="s">
        <v>55</v>
      </c>
      <c r="D15" s="74"/>
      <c r="E15" s="90"/>
      <c r="F15" s="90"/>
      <c r="G15" s="74"/>
      <c r="H15" s="74"/>
      <c r="I15" s="74"/>
      <c r="J15" s="74"/>
      <c r="K15" s="75"/>
      <c r="L15" s="65"/>
      <c r="M15" s="59"/>
    </row>
    <row r="16" spans="1:13" ht="15.75" x14ac:dyDescent="0.25">
      <c r="A16" s="59"/>
      <c r="B16" s="64"/>
      <c r="C16" s="76">
        <f>C13+1</f>
        <v>2</v>
      </c>
      <c r="D16" s="77">
        <v>3710</v>
      </c>
      <c r="E16" s="78" t="s">
        <v>51</v>
      </c>
      <c r="F16" s="78"/>
      <c r="G16" s="79" t="s">
        <v>56</v>
      </c>
      <c r="H16" s="77" t="s">
        <v>57</v>
      </c>
      <c r="I16" s="80">
        <v>1</v>
      </c>
      <c r="J16" s="81">
        <v>6476</v>
      </c>
      <c r="K16" s="82">
        <f t="shared" ref="K16:K31" si="0">ROUND(I16*J16,0)</f>
        <v>6476</v>
      </c>
      <c r="L16" s="65"/>
      <c r="M16" s="59"/>
    </row>
    <row r="17" spans="1:13" ht="42.75" x14ac:dyDescent="0.25">
      <c r="A17" s="59"/>
      <c r="B17" s="64"/>
      <c r="C17" s="76">
        <f t="shared" ref="C17:C31" si="1">C16+1</f>
        <v>3</v>
      </c>
      <c r="D17" s="77">
        <v>3017</v>
      </c>
      <c r="E17" s="78" t="s">
        <v>51</v>
      </c>
      <c r="F17" s="78"/>
      <c r="G17" s="79" t="s">
        <v>58</v>
      </c>
      <c r="H17" s="77" t="s">
        <v>57</v>
      </c>
      <c r="I17" s="80">
        <v>1</v>
      </c>
      <c r="J17" s="81">
        <v>45930</v>
      </c>
      <c r="K17" s="82">
        <f t="shared" si="0"/>
        <v>45930</v>
      </c>
      <c r="L17" s="65"/>
      <c r="M17" s="59"/>
    </row>
    <row r="18" spans="1:13" ht="42.75" x14ac:dyDescent="0.25">
      <c r="A18" s="59"/>
      <c r="B18" s="64"/>
      <c r="C18" s="76">
        <f t="shared" si="1"/>
        <v>4</v>
      </c>
      <c r="D18" s="77">
        <v>6462</v>
      </c>
      <c r="E18" s="78" t="s">
        <v>51</v>
      </c>
      <c r="F18" s="78"/>
      <c r="G18" s="79" t="s">
        <v>59</v>
      </c>
      <c r="H18" s="77" t="s">
        <v>60</v>
      </c>
      <c r="I18" s="80">
        <v>1</v>
      </c>
      <c r="J18" s="81">
        <v>1907</v>
      </c>
      <c r="K18" s="82">
        <f t="shared" si="0"/>
        <v>1907</v>
      </c>
      <c r="L18" s="65"/>
      <c r="M18" s="59"/>
    </row>
    <row r="19" spans="1:13" ht="28.5" x14ac:dyDescent="0.25">
      <c r="A19" s="59"/>
      <c r="B19" s="64"/>
      <c r="C19" s="76">
        <f t="shared" si="1"/>
        <v>5</v>
      </c>
      <c r="D19" s="77">
        <v>3022</v>
      </c>
      <c r="E19" s="78" t="s">
        <v>51</v>
      </c>
      <c r="F19" s="78"/>
      <c r="G19" s="79" t="s">
        <v>61</v>
      </c>
      <c r="H19" s="77" t="s">
        <v>57</v>
      </c>
      <c r="I19" s="80">
        <v>1</v>
      </c>
      <c r="J19" s="81">
        <v>64407</v>
      </c>
      <c r="K19" s="82">
        <f t="shared" si="0"/>
        <v>64407</v>
      </c>
      <c r="L19" s="65"/>
      <c r="M19" s="59"/>
    </row>
    <row r="20" spans="1:13" ht="28.5" x14ac:dyDescent="0.3">
      <c r="A20" s="91"/>
      <c r="B20" s="92"/>
      <c r="C20" s="76">
        <f t="shared" si="1"/>
        <v>6</v>
      </c>
      <c r="D20" s="77">
        <v>4850</v>
      </c>
      <c r="E20" s="78" t="s">
        <v>51</v>
      </c>
      <c r="F20" s="78"/>
      <c r="G20" s="79" t="s">
        <v>62</v>
      </c>
      <c r="H20" s="77" t="s">
        <v>57</v>
      </c>
      <c r="I20" s="80">
        <v>1</v>
      </c>
      <c r="J20" s="81">
        <v>327946</v>
      </c>
      <c r="K20" s="82">
        <f t="shared" si="0"/>
        <v>327946</v>
      </c>
      <c r="L20" s="93"/>
      <c r="M20" s="91"/>
    </row>
    <row r="21" spans="1:13" ht="28.5" x14ac:dyDescent="0.25">
      <c r="A21" s="59"/>
      <c r="B21" s="64"/>
      <c r="C21" s="76">
        <f t="shared" si="1"/>
        <v>7</v>
      </c>
      <c r="D21" s="77">
        <v>3011</v>
      </c>
      <c r="E21" s="78" t="s">
        <v>51</v>
      </c>
      <c r="F21" s="78"/>
      <c r="G21" s="79" t="s">
        <v>63</v>
      </c>
      <c r="H21" s="77" t="s">
        <v>64</v>
      </c>
      <c r="I21" s="80">
        <v>1</v>
      </c>
      <c r="J21" s="81">
        <v>6788</v>
      </c>
      <c r="K21" s="82">
        <f t="shared" si="0"/>
        <v>6788</v>
      </c>
      <c r="L21" s="65"/>
      <c r="M21" s="59"/>
    </row>
    <row r="22" spans="1:13" ht="28.5" x14ac:dyDescent="0.25">
      <c r="A22" s="59"/>
      <c r="B22" s="64"/>
      <c r="C22" s="76">
        <f t="shared" si="1"/>
        <v>8</v>
      </c>
      <c r="D22" s="77">
        <v>3012</v>
      </c>
      <c r="E22" s="78" t="s">
        <v>51</v>
      </c>
      <c r="F22" s="78"/>
      <c r="G22" s="79" t="s">
        <v>65</v>
      </c>
      <c r="H22" s="77" t="s">
        <v>53</v>
      </c>
      <c r="I22" s="80">
        <v>1</v>
      </c>
      <c r="J22" s="81">
        <v>8991</v>
      </c>
      <c r="K22" s="82">
        <f t="shared" si="0"/>
        <v>8991</v>
      </c>
      <c r="L22" s="65"/>
      <c r="M22" s="59"/>
    </row>
    <row r="23" spans="1:13" ht="28.5" x14ac:dyDescent="0.25">
      <c r="A23" s="59"/>
      <c r="B23" s="64"/>
      <c r="C23" s="76">
        <f t="shared" si="1"/>
        <v>9</v>
      </c>
      <c r="D23" s="77">
        <v>3021</v>
      </c>
      <c r="E23" s="78" t="s">
        <v>51</v>
      </c>
      <c r="F23" s="78"/>
      <c r="G23" s="79" t="s">
        <v>66</v>
      </c>
      <c r="H23" s="77" t="s">
        <v>53</v>
      </c>
      <c r="I23" s="80">
        <v>1</v>
      </c>
      <c r="J23" s="81">
        <v>8216</v>
      </c>
      <c r="K23" s="82">
        <f t="shared" si="0"/>
        <v>8216</v>
      </c>
      <c r="L23" s="65"/>
      <c r="M23" s="59"/>
    </row>
    <row r="24" spans="1:13" ht="28.5" x14ac:dyDescent="0.25">
      <c r="A24" s="59"/>
      <c r="B24" s="64"/>
      <c r="C24" s="76">
        <f t="shared" si="1"/>
        <v>10</v>
      </c>
      <c r="D24" s="77">
        <v>4846</v>
      </c>
      <c r="E24" s="78" t="s">
        <v>51</v>
      </c>
      <c r="F24" s="78"/>
      <c r="G24" s="79" t="s">
        <v>67</v>
      </c>
      <c r="H24" s="77" t="s">
        <v>68</v>
      </c>
      <c r="I24" s="80">
        <v>1</v>
      </c>
      <c r="J24" s="81">
        <v>172218</v>
      </c>
      <c r="K24" s="82">
        <f t="shared" si="0"/>
        <v>172218</v>
      </c>
      <c r="L24" s="65"/>
      <c r="M24" s="59"/>
    </row>
    <row r="25" spans="1:13" ht="28.5" x14ac:dyDescent="0.25">
      <c r="A25" s="59"/>
      <c r="B25" s="64"/>
      <c r="C25" s="76">
        <f t="shared" si="1"/>
        <v>11</v>
      </c>
      <c r="D25" s="77">
        <v>4848</v>
      </c>
      <c r="E25" s="78" t="s">
        <v>51</v>
      </c>
      <c r="F25" s="78"/>
      <c r="G25" s="79" t="s">
        <v>69</v>
      </c>
      <c r="H25" s="77" t="s">
        <v>64</v>
      </c>
      <c r="I25" s="80">
        <v>1</v>
      </c>
      <c r="J25" s="81">
        <v>11238</v>
      </c>
      <c r="K25" s="82">
        <f t="shared" si="0"/>
        <v>11238</v>
      </c>
      <c r="L25" s="65"/>
      <c r="M25" s="59"/>
    </row>
    <row r="26" spans="1:13" ht="15.75" x14ac:dyDescent="0.25">
      <c r="A26" s="59"/>
      <c r="B26" s="64"/>
      <c r="C26" s="76">
        <f t="shared" si="1"/>
        <v>12</v>
      </c>
      <c r="D26" s="77">
        <v>4849</v>
      </c>
      <c r="E26" s="78" t="s">
        <v>51</v>
      </c>
      <c r="F26" s="78"/>
      <c r="G26" s="79" t="s">
        <v>70</v>
      </c>
      <c r="H26" s="77" t="s">
        <v>64</v>
      </c>
      <c r="I26" s="80">
        <v>1</v>
      </c>
      <c r="J26" s="81">
        <v>3446</v>
      </c>
      <c r="K26" s="82">
        <f t="shared" si="0"/>
        <v>3446</v>
      </c>
      <c r="L26" s="65"/>
      <c r="M26" s="59"/>
    </row>
    <row r="27" spans="1:13" ht="28.5" x14ac:dyDescent="0.25">
      <c r="A27" s="59"/>
      <c r="B27" s="64"/>
      <c r="C27" s="76">
        <f t="shared" si="1"/>
        <v>13</v>
      </c>
      <c r="D27" s="77">
        <v>7369</v>
      </c>
      <c r="E27" s="78" t="s">
        <v>51</v>
      </c>
      <c r="F27" s="78"/>
      <c r="G27" s="79" t="s">
        <v>71</v>
      </c>
      <c r="H27" s="77" t="s">
        <v>64</v>
      </c>
      <c r="I27" s="80">
        <v>1</v>
      </c>
      <c r="J27" s="81">
        <v>10835</v>
      </c>
      <c r="K27" s="82">
        <f t="shared" si="0"/>
        <v>10835</v>
      </c>
      <c r="L27" s="65"/>
      <c r="M27" s="59"/>
    </row>
    <row r="28" spans="1:13" ht="42.75" x14ac:dyDescent="0.25">
      <c r="A28" s="59"/>
      <c r="B28" s="64"/>
      <c r="C28" s="76">
        <f t="shared" si="1"/>
        <v>14</v>
      </c>
      <c r="D28" s="77">
        <v>7512</v>
      </c>
      <c r="E28" s="78" t="s">
        <v>51</v>
      </c>
      <c r="F28" s="78"/>
      <c r="G28" s="79" t="s">
        <v>72</v>
      </c>
      <c r="H28" s="77" t="s">
        <v>68</v>
      </c>
      <c r="I28" s="80">
        <v>1</v>
      </c>
      <c r="J28" s="81">
        <v>664212</v>
      </c>
      <c r="K28" s="82">
        <f t="shared" si="0"/>
        <v>664212</v>
      </c>
      <c r="L28" s="65"/>
      <c r="M28" s="59"/>
    </row>
    <row r="29" spans="1:13" ht="28.5" x14ac:dyDescent="0.25">
      <c r="A29" s="59"/>
      <c r="B29" s="64"/>
      <c r="C29" s="76">
        <f t="shared" si="1"/>
        <v>15</v>
      </c>
      <c r="D29" s="77">
        <v>7513</v>
      </c>
      <c r="E29" s="78" t="s">
        <v>51</v>
      </c>
      <c r="F29" s="78"/>
      <c r="G29" s="79" t="s">
        <v>73</v>
      </c>
      <c r="H29" s="77" t="s">
        <v>53</v>
      </c>
      <c r="I29" s="80">
        <v>1</v>
      </c>
      <c r="J29" s="81">
        <v>32705</v>
      </c>
      <c r="K29" s="82">
        <f t="shared" si="0"/>
        <v>32705</v>
      </c>
      <c r="L29" s="65"/>
      <c r="M29" s="59"/>
    </row>
    <row r="30" spans="1:13" ht="28.5" x14ac:dyDescent="0.25">
      <c r="A30" s="59"/>
      <c r="B30" s="64"/>
      <c r="C30" s="76">
        <f t="shared" si="1"/>
        <v>16</v>
      </c>
      <c r="D30" s="77">
        <v>7944</v>
      </c>
      <c r="E30" s="78" t="s">
        <v>51</v>
      </c>
      <c r="F30" s="78"/>
      <c r="G30" s="79" t="s">
        <v>74</v>
      </c>
      <c r="H30" s="77" t="s">
        <v>57</v>
      </c>
      <c r="I30" s="80">
        <v>1</v>
      </c>
      <c r="J30" s="81">
        <v>5571</v>
      </c>
      <c r="K30" s="82">
        <f t="shared" si="0"/>
        <v>5571</v>
      </c>
      <c r="L30" s="65"/>
      <c r="M30" s="59"/>
    </row>
    <row r="31" spans="1:13" ht="28.5" x14ac:dyDescent="0.3">
      <c r="A31" s="91"/>
      <c r="B31" s="92"/>
      <c r="C31" s="76">
        <f t="shared" si="1"/>
        <v>17</v>
      </c>
      <c r="D31" s="77">
        <v>7944</v>
      </c>
      <c r="E31" s="78" t="s">
        <v>51</v>
      </c>
      <c r="F31" s="78"/>
      <c r="G31" s="79" t="s">
        <v>74</v>
      </c>
      <c r="H31" s="77" t="s">
        <v>57</v>
      </c>
      <c r="I31" s="80">
        <v>1</v>
      </c>
      <c r="J31" s="81">
        <v>5571</v>
      </c>
      <c r="K31" s="82">
        <f t="shared" si="0"/>
        <v>5571</v>
      </c>
      <c r="L31" s="93"/>
      <c r="M31" s="91"/>
    </row>
    <row r="32" spans="1:13" ht="16.5" thickBot="1" x14ac:dyDescent="0.3">
      <c r="A32" s="59"/>
      <c r="B32" s="64"/>
      <c r="C32" s="83" t="s">
        <v>54</v>
      </c>
      <c r="D32" s="94"/>
      <c r="E32" s="95"/>
      <c r="F32" s="96"/>
      <c r="G32" s="94"/>
      <c r="H32" s="94"/>
      <c r="I32" s="87"/>
      <c r="J32" s="94"/>
      <c r="K32" s="89">
        <f>SUM(K16:K31)</f>
        <v>1376457</v>
      </c>
      <c r="L32" s="65"/>
      <c r="M32" s="59"/>
    </row>
    <row r="33" spans="1:13" ht="16.5" thickBot="1" x14ac:dyDescent="0.3">
      <c r="A33" s="59"/>
      <c r="B33" s="64"/>
      <c r="C33" s="73" t="s">
        <v>75</v>
      </c>
      <c r="D33" s="74"/>
      <c r="E33" s="90"/>
      <c r="F33" s="90"/>
      <c r="G33" s="74"/>
      <c r="H33" s="74"/>
      <c r="I33" s="74"/>
      <c r="J33" s="74"/>
      <c r="K33" s="75"/>
      <c r="L33" s="65"/>
      <c r="M33" s="59"/>
    </row>
    <row r="34" spans="1:13" ht="28.5" x14ac:dyDescent="0.25">
      <c r="A34" s="59"/>
      <c r="B34" s="64"/>
      <c r="C34" s="76">
        <f>C31+1</f>
        <v>18</v>
      </c>
      <c r="D34" s="77">
        <v>8616</v>
      </c>
      <c r="E34" s="78" t="s">
        <v>51</v>
      </c>
      <c r="F34" s="78"/>
      <c r="G34" s="79" t="s">
        <v>76</v>
      </c>
      <c r="H34" s="77" t="s">
        <v>57</v>
      </c>
      <c r="I34" s="80">
        <v>1</v>
      </c>
      <c r="J34" s="81">
        <v>210185</v>
      </c>
      <c r="K34" s="82">
        <f t="shared" ref="K34:K58" si="2">ROUND(I34*J34,0)</f>
        <v>210185</v>
      </c>
      <c r="L34" s="65"/>
      <c r="M34" s="59"/>
    </row>
    <row r="35" spans="1:13" ht="28.5" x14ac:dyDescent="0.25">
      <c r="A35" s="59"/>
      <c r="B35" s="64"/>
      <c r="C35" s="76">
        <f>C34+1</f>
        <v>19</v>
      </c>
      <c r="D35" s="77">
        <v>8617</v>
      </c>
      <c r="E35" s="78" t="s">
        <v>51</v>
      </c>
      <c r="F35" s="78"/>
      <c r="G35" s="79" t="s">
        <v>77</v>
      </c>
      <c r="H35" s="77" t="s">
        <v>57</v>
      </c>
      <c r="I35" s="80">
        <v>1</v>
      </c>
      <c r="J35" s="81">
        <v>186870</v>
      </c>
      <c r="K35" s="82">
        <f t="shared" si="2"/>
        <v>186870</v>
      </c>
      <c r="L35" s="65"/>
      <c r="M35" s="59"/>
    </row>
    <row r="36" spans="1:13" ht="15.75" x14ac:dyDescent="0.25">
      <c r="A36" s="59"/>
      <c r="B36" s="64"/>
      <c r="C36" s="76">
        <f t="shared" ref="C36:C58" si="3">C35+1</f>
        <v>20</v>
      </c>
      <c r="D36" s="77">
        <v>8655</v>
      </c>
      <c r="E36" s="78" t="s">
        <v>51</v>
      </c>
      <c r="F36" s="78"/>
      <c r="G36" s="79" t="s">
        <v>78</v>
      </c>
      <c r="H36" s="77" t="s">
        <v>57</v>
      </c>
      <c r="I36" s="80">
        <v>1</v>
      </c>
      <c r="J36" s="81">
        <v>84488</v>
      </c>
      <c r="K36" s="82">
        <f t="shared" si="2"/>
        <v>84488</v>
      </c>
      <c r="L36" s="65"/>
      <c r="M36" s="59"/>
    </row>
    <row r="37" spans="1:13" ht="28.5" x14ac:dyDescent="0.25">
      <c r="A37" s="59"/>
      <c r="B37" s="64"/>
      <c r="C37" s="76">
        <f t="shared" si="3"/>
        <v>21</v>
      </c>
      <c r="D37" s="77">
        <v>7364</v>
      </c>
      <c r="E37" s="78" t="s">
        <v>51</v>
      </c>
      <c r="F37" s="78"/>
      <c r="G37" s="79" t="s">
        <v>79</v>
      </c>
      <c r="H37" s="77" t="s">
        <v>57</v>
      </c>
      <c r="I37" s="80">
        <v>1</v>
      </c>
      <c r="J37" s="81">
        <v>94218</v>
      </c>
      <c r="K37" s="82">
        <f t="shared" si="2"/>
        <v>94218</v>
      </c>
      <c r="L37" s="65"/>
      <c r="M37" s="59"/>
    </row>
    <row r="38" spans="1:13" ht="42.75" x14ac:dyDescent="0.25">
      <c r="A38" s="59"/>
      <c r="B38" s="64"/>
      <c r="C38" s="76">
        <f t="shared" si="3"/>
        <v>22</v>
      </c>
      <c r="D38" s="77">
        <v>6474</v>
      </c>
      <c r="E38" s="78" t="s">
        <v>51</v>
      </c>
      <c r="F38" s="78"/>
      <c r="G38" s="79" t="s">
        <v>80</v>
      </c>
      <c r="H38" s="77" t="s">
        <v>57</v>
      </c>
      <c r="I38" s="80">
        <v>1</v>
      </c>
      <c r="J38" s="81">
        <v>186151</v>
      </c>
      <c r="K38" s="82">
        <f t="shared" si="2"/>
        <v>186151</v>
      </c>
      <c r="L38" s="65"/>
      <c r="M38" s="59"/>
    </row>
    <row r="39" spans="1:13" ht="42.75" x14ac:dyDescent="0.25">
      <c r="A39" s="59"/>
      <c r="B39" s="64"/>
      <c r="C39" s="76">
        <f t="shared" si="3"/>
        <v>23</v>
      </c>
      <c r="D39" s="77">
        <v>6480</v>
      </c>
      <c r="E39" s="78" t="s">
        <v>51</v>
      </c>
      <c r="F39" s="78"/>
      <c r="G39" s="79" t="s">
        <v>81</v>
      </c>
      <c r="H39" s="77" t="s">
        <v>57</v>
      </c>
      <c r="I39" s="80">
        <v>1</v>
      </c>
      <c r="J39" s="81">
        <v>23040</v>
      </c>
      <c r="K39" s="82">
        <f t="shared" si="2"/>
        <v>23040</v>
      </c>
      <c r="L39" s="65"/>
      <c r="M39" s="59"/>
    </row>
    <row r="40" spans="1:13" ht="28.5" x14ac:dyDescent="0.25">
      <c r="A40" s="59"/>
      <c r="B40" s="64"/>
      <c r="C40" s="76">
        <f t="shared" si="3"/>
        <v>24</v>
      </c>
      <c r="D40" s="77">
        <v>6486</v>
      </c>
      <c r="E40" s="78" t="s">
        <v>51</v>
      </c>
      <c r="F40" s="78"/>
      <c r="G40" s="79" t="s">
        <v>82</v>
      </c>
      <c r="H40" s="77" t="s">
        <v>57</v>
      </c>
      <c r="I40" s="80">
        <v>1</v>
      </c>
      <c r="J40" s="81">
        <v>63261</v>
      </c>
      <c r="K40" s="82">
        <f t="shared" si="2"/>
        <v>63261</v>
      </c>
      <c r="L40" s="65"/>
      <c r="M40" s="59"/>
    </row>
    <row r="41" spans="1:13" ht="42.75" x14ac:dyDescent="0.25">
      <c r="A41" s="59"/>
      <c r="B41" s="64"/>
      <c r="C41" s="76">
        <f t="shared" si="3"/>
        <v>25</v>
      </c>
      <c r="D41" s="77">
        <v>6471</v>
      </c>
      <c r="E41" s="78" t="s">
        <v>51</v>
      </c>
      <c r="F41" s="78"/>
      <c r="G41" s="79" t="s">
        <v>83</v>
      </c>
      <c r="H41" s="77" t="s">
        <v>57</v>
      </c>
      <c r="I41" s="80">
        <v>1</v>
      </c>
      <c r="J41" s="81">
        <v>181301</v>
      </c>
      <c r="K41" s="82">
        <f t="shared" si="2"/>
        <v>181301</v>
      </c>
      <c r="L41" s="65"/>
      <c r="M41" s="59"/>
    </row>
    <row r="42" spans="1:13" ht="57" x14ac:dyDescent="0.25">
      <c r="A42" s="59"/>
      <c r="B42" s="64"/>
      <c r="C42" s="76">
        <f t="shared" si="3"/>
        <v>26</v>
      </c>
      <c r="D42" s="77">
        <v>6473</v>
      </c>
      <c r="E42" s="78" t="s">
        <v>51</v>
      </c>
      <c r="F42" s="78"/>
      <c r="G42" s="79" t="s">
        <v>84</v>
      </c>
      <c r="H42" s="77" t="s">
        <v>57</v>
      </c>
      <c r="I42" s="80">
        <v>1</v>
      </c>
      <c r="J42" s="81">
        <v>151376</v>
      </c>
      <c r="K42" s="82">
        <f t="shared" si="2"/>
        <v>151376</v>
      </c>
      <c r="L42" s="65"/>
      <c r="M42" s="59"/>
    </row>
    <row r="43" spans="1:13" ht="28.5" x14ac:dyDescent="0.25">
      <c r="A43" s="59"/>
      <c r="B43" s="64"/>
      <c r="C43" s="76">
        <f t="shared" si="3"/>
        <v>27</v>
      </c>
      <c r="D43" s="77">
        <v>5412</v>
      </c>
      <c r="E43" s="78" t="s">
        <v>51</v>
      </c>
      <c r="F43" s="78"/>
      <c r="G43" s="79" t="s">
        <v>85</v>
      </c>
      <c r="H43" s="77" t="s">
        <v>57</v>
      </c>
      <c r="I43" s="80">
        <v>1</v>
      </c>
      <c r="J43" s="81">
        <v>156087</v>
      </c>
      <c r="K43" s="82">
        <f t="shared" si="2"/>
        <v>156087</v>
      </c>
      <c r="L43" s="65"/>
      <c r="M43" s="59"/>
    </row>
    <row r="44" spans="1:13" ht="28.5" x14ac:dyDescent="0.25">
      <c r="A44" s="59"/>
      <c r="B44" s="64"/>
      <c r="C44" s="76">
        <f t="shared" si="3"/>
        <v>28</v>
      </c>
      <c r="D44" s="77">
        <v>5415</v>
      </c>
      <c r="E44" s="78" t="s">
        <v>51</v>
      </c>
      <c r="F44" s="78"/>
      <c r="G44" s="79" t="s">
        <v>86</v>
      </c>
      <c r="H44" s="77" t="s">
        <v>57</v>
      </c>
      <c r="I44" s="80">
        <v>1</v>
      </c>
      <c r="J44" s="81">
        <v>89233</v>
      </c>
      <c r="K44" s="82">
        <f t="shared" si="2"/>
        <v>89233</v>
      </c>
      <c r="L44" s="65"/>
      <c r="M44" s="59"/>
    </row>
    <row r="45" spans="1:13" ht="28.5" x14ac:dyDescent="0.25">
      <c r="A45" s="59"/>
      <c r="B45" s="64"/>
      <c r="C45" s="76">
        <f t="shared" si="3"/>
        <v>29</v>
      </c>
      <c r="D45" s="77">
        <v>5708</v>
      </c>
      <c r="E45" s="78" t="s">
        <v>51</v>
      </c>
      <c r="F45" s="78"/>
      <c r="G45" s="79" t="s">
        <v>87</v>
      </c>
      <c r="H45" s="77" t="s">
        <v>57</v>
      </c>
      <c r="I45" s="80">
        <v>1</v>
      </c>
      <c r="J45" s="81">
        <v>221849</v>
      </c>
      <c r="K45" s="82">
        <f t="shared" si="2"/>
        <v>221849</v>
      </c>
      <c r="L45" s="65"/>
      <c r="M45" s="59"/>
    </row>
    <row r="46" spans="1:13" ht="42.75" x14ac:dyDescent="0.25">
      <c r="A46" s="59"/>
      <c r="B46" s="64"/>
      <c r="C46" s="76">
        <f t="shared" si="3"/>
        <v>30</v>
      </c>
      <c r="D46" s="77">
        <v>4994</v>
      </c>
      <c r="E46" s="78" t="s">
        <v>51</v>
      </c>
      <c r="F46" s="78"/>
      <c r="G46" s="79" t="s">
        <v>88</v>
      </c>
      <c r="H46" s="77" t="s">
        <v>57</v>
      </c>
      <c r="I46" s="80">
        <v>1</v>
      </c>
      <c r="J46" s="81">
        <v>170582</v>
      </c>
      <c r="K46" s="82">
        <f t="shared" si="2"/>
        <v>170582</v>
      </c>
      <c r="L46" s="65"/>
      <c r="M46" s="59"/>
    </row>
    <row r="47" spans="1:13" ht="15.75" x14ac:dyDescent="0.25">
      <c r="A47" s="59"/>
      <c r="B47" s="64"/>
      <c r="C47" s="76">
        <f t="shared" si="3"/>
        <v>31</v>
      </c>
      <c r="D47" s="77">
        <v>5286</v>
      </c>
      <c r="E47" s="78" t="s">
        <v>51</v>
      </c>
      <c r="F47" s="78"/>
      <c r="G47" s="79" t="s">
        <v>89</v>
      </c>
      <c r="H47" s="77" t="s">
        <v>53</v>
      </c>
      <c r="I47" s="80">
        <v>1</v>
      </c>
      <c r="J47" s="81">
        <v>17762</v>
      </c>
      <c r="K47" s="82">
        <f t="shared" si="2"/>
        <v>17762</v>
      </c>
      <c r="L47" s="65"/>
      <c r="M47" s="59"/>
    </row>
    <row r="48" spans="1:13" ht="28.5" x14ac:dyDescent="0.25">
      <c r="A48" s="59"/>
      <c r="B48" s="64"/>
      <c r="C48" s="76">
        <f t="shared" si="3"/>
        <v>32</v>
      </c>
      <c r="D48" s="77">
        <v>4754</v>
      </c>
      <c r="E48" s="78" t="s">
        <v>51</v>
      </c>
      <c r="F48" s="78"/>
      <c r="G48" s="79" t="s">
        <v>90</v>
      </c>
      <c r="H48" s="77" t="s">
        <v>57</v>
      </c>
      <c r="I48" s="80">
        <v>1</v>
      </c>
      <c r="J48" s="81">
        <v>186227</v>
      </c>
      <c r="K48" s="82">
        <f t="shared" si="2"/>
        <v>186227</v>
      </c>
      <c r="L48" s="65"/>
      <c r="M48" s="59"/>
    </row>
    <row r="49" spans="1:13" ht="28.5" x14ac:dyDescent="0.25">
      <c r="A49" s="59"/>
      <c r="B49" s="64"/>
      <c r="C49" s="76">
        <f t="shared" si="3"/>
        <v>33</v>
      </c>
      <c r="D49" s="77">
        <v>4755</v>
      </c>
      <c r="E49" s="78" t="s">
        <v>51</v>
      </c>
      <c r="F49" s="78"/>
      <c r="G49" s="79" t="s">
        <v>91</v>
      </c>
      <c r="H49" s="77" t="s">
        <v>57</v>
      </c>
      <c r="I49" s="80">
        <v>1</v>
      </c>
      <c r="J49" s="81">
        <v>186227</v>
      </c>
      <c r="K49" s="82">
        <f t="shared" si="2"/>
        <v>186227</v>
      </c>
      <c r="L49" s="65"/>
      <c r="M49" s="59"/>
    </row>
    <row r="50" spans="1:13" ht="15.75" x14ac:dyDescent="0.25">
      <c r="A50" s="59"/>
      <c r="B50" s="64"/>
      <c r="C50" s="76">
        <f t="shared" si="3"/>
        <v>34</v>
      </c>
      <c r="D50" s="77">
        <v>3800</v>
      </c>
      <c r="E50" s="78" t="s">
        <v>51</v>
      </c>
      <c r="F50" s="78"/>
      <c r="G50" s="79" t="s">
        <v>92</v>
      </c>
      <c r="H50" s="77" t="s">
        <v>53</v>
      </c>
      <c r="I50" s="80">
        <v>1</v>
      </c>
      <c r="J50" s="81">
        <v>1731</v>
      </c>
      <c r="K50" s="82">
        <f t="shared" si="2"/>
        <v>1731</v>
      </c>
      <c r="L50" s="65"/>
      <c r="M50" s="59"/>
    </row>
    <row r="51" spans="1:13" ht="28.5" x14ac:dyDescent="0.25">
      <c r="A51" s="59"/>
      <c r="B51" s="64"/>
      <c r="C51" s="76">
        <f t="shared" si="3"/>
        <v>35</v>
      </c>
      <c r="D51" s="77">
        <v>6053</v>
      </c>
      <c r="E51" s="78" t="s">
        <v>51</v>
      </c>
      <c r="F51" s="78"/>
      <c r="G51" s="79" t="s">
        <v>93</v>
      </c>
      <c r="H51" s="77" t="s">
        <v>57</v>
      </c>
      <c r="I51" s="80">
        <v>1</v>
      </c>
      <c r="J51" s="81">
        <v>80038</v>
      </c>
      <c r="K51" s="82">
        <f t="shared" si="2"/>
        <v>80038</v>
      </c>
      <c r="L51" s="65"/>
      <c r="M51" s="59"/>
    </row>
    <row r="52" spans="1:13" ht="28.5" x14ac:dyDescent="0.25">
      <c r="A52" s="59"/>
      <c r="B52" s="64"/>
      <c r="C52" s="76">
        <f t="shared" si="3"/>
        <v>36</v>
      </c>
      <c r="D52" s="77">
        <v>4908</v>
      </c>
      <c r="E52" s="78" t="s">
        <v>51</v>
      </c>
      <c r="F52" s="78"/>
      <c r="G52" s="79" t="s">
        <v>94</v>
      </c>
      <c r="H52" s="77" t="s">
        <v>57</v>
      </c>
      <c r="I52" s="80">
        <v>1</v>
      </c>
      <c r="J52" s="81">
        <v>109151</v>
      </c>
      <c r="K52" s="82">
        <f t="shared" si="2"/>
        <v>109151</v>
      </c>
      <c r="L52" s="65"/>
      <c r="M52" s="59"/>
    </row>
    <row r="53" spans="1:13" ht="15.75" x14ac:dyDescent="0.25">
      <c r="A53" s="59"/>
      <c r="B53" s="64"/>
      <c r="C53" s="76">
        <f t="shared" si="3"/>
        <v>37</v>
      </c>
      <c r="D53" s="77">
        <v>7900</v>
      </c>
      <c r="E53" s="78" t="s">
        <v>51</v>
      </c>
      <c r="F53" s="78"/>
      <c r="G53" s="79" t="s">
        <v>95</v>
      </c>
      <c r="H53" s="77" t="s">
        <v>53</v>
      </c>
      <c r="I53" s="80">
        <v>1</v>
      </c>
      <c r="J53" s="81">
        <v>91135</v>
      </c>
      <c r="K53" s="82">
        <f t="shared" si="2"/>
        <v>91135</v>
      </c>
      <c r="L53" s="65"/>
      <c r="M53" s="59"/>
    </row>
    <row r="54" spans="1:13" ht="28.5" x14ac:dyDescent="0.25">
      <c r="A54" s="59"/>
      <c r="B54" s="64"/>
      <c r="C54" s="76">
        <f t="shared" si="3"/>
        <v>38</v>
      </c>
      <c r="D54" s="77">
        <v>4032</v>
      </c>
      <c r="E54" s="78" t="s">
        <v>51</v>
      </c>
      <c r="F54" s="78"/>
      <c r="G54" s="79" t="s">
        <v>96</v>
      </c>
      <c r="H54" s="77" t="s">
        <v>53</v>
      </c>
      <c r="I54" s="80">
        <v>1</v>
      </c>
      <c r="J54" s="81">
        <v>10882</v>
      </c>
      <c r="K54" s="82">
        <f t="shared" si="2"/>
        <v>10882</v>
      </c>
      <c r="L54" s="65"/>
      <c r="M54" s="59"/>
    </row>
    <row r="55" spans="1:13" ht="15.75" x14ac:dyDescent="0.25">
      <c r="A55" s="59"/>
      <c r="B55" s="64"/>
      <c r="C55" s="76">
        <f t="shared" si="3"/>
        <v>39</v>
      </c>
      <c r="D55" s="77">
        <v>4009</v>
      </c>
      <c r="E55" s="78" t="s">
        <v>51</v>
      </c>
      <c r="F55" s="78"/>
      <c r="G55" s="79" t="s">
        <v>97</v>
      </c>
      <c r="H55" s="77" t="s">
        <v>53</v>
      </c>
      <c r="I55" s="80">
        <v>1</v>
      </c>
      <c r="J55" s="81">
        <v>11422</v>
      </c>
      <c r="K55" s="82">
        <f t="shared" si="2"/>
        <v>11422</v>
      </c>
      <c r="L55" s="65"/>
      <c r="M55" s="59"/>
    </row>
    <row r="56" spans="1:13" ht="15.75" x14ac:dyDescent="0.25">
      <c r="A56" s="59"/>
      <c r="B56" s="64"/>
      <c r="C56" s="76">
        <f t="shared" si="3"/>
        <v>40</v>
      </c>
      <c r="D56" s="77">
        <v>4010</v>
      </c>
      <c r="E56" s="78" t="s">
        <v>51</v>
      </c>
      <c r="F56" s="78"/>
      <c r="G56" s="79" t="s">
        <v>98</v>
      </c>
      <c r="H56" s="77" t="s">
        <v>53</v>
      </c>
      <c r="I56" s="80">
        <v>1</v>
      </c>
      <c r="J56" s="81">
        <v>14304</v>
      </c>
      <c r="K56" s="82">
        <f t="shared" si="2"/>
        <v>14304</v>
      </c>
      <c r="L56" s="65"/>
      <c r="M56" s="59"/>
    </row>
    <row r="57" spans="1:13" ht="28.5" x14ac:dyDescent="0.25">
      <c r="A57" s="59"/>
      <c r="B57" s="64"/>
      <c r="C57" s="76">
        <f t="shared" si="3"/>
        <v>41</v>
      </c>
      <c r="D57" s="77">
        <v>4030</v>
      </c>
      <c r="E57" s="78" t="s">
        <v>51</v>
      </c>
      <c r="F57" s="78"/>
      <c r="G57" s="79" t="s">
        <v>99</v>
      </c>
      <c r="H57" s="77" t="s">
        <v>53</v>
      </c>
      <c r="I57" s="80">
        <v>1</v>
      </c>
      <c r="J57" s="81">
        <v>10805</v>
      </c>
      <c r="K57" s="82">
        <f t="shared" si="2"/>
        <v>10805</v>
      </c>
      <c r="L57" s="65"/>
      <c r="M57" s="59"/>
    </row>
    <row r="58" spans="1:13" ht="28.5" x14ac:dyDescent="0.25">
      <c r="A58" s="59"/>
      <c r="B58" s="64"/>
      <c r="C58" s="76">
        <f t="shared" si="3"/>
        <v>42</v>
      </c>
      <c r="D58" s="77">
        <v>4032</v>
      </c>
      <c r="E58" s="78" t="s">
        <v>51</v>
      </c>
      <c r="F58" s="78"/>
      <c r="G58" s="79" t="s">
        <v>96</v>
      </c>
      <c r="H58" s="77" t="s">
        <v>53</v>
      </c>
      <c r="I58" s="80">
        <v>1</v>
      </c>
      <c r="J58" s="81">
        <v>10882</v>
      </c>
      <c r="K58" s="82">
        <f t="shared" si="2"/>
        <v>10882</v>
      </c>
      <c r="L58" s="65"/>
      <c r="M58" s="59"/>
    </row>
    <row r="59" spans="1:13" ht="16.5" thickBot="1" x14ac:dyDescent="0.3">
      <c r="A59" s="59"/>
      <c r="B59" s="64"/>
      <c r="C59" s="83" t="s">
        <v>54</v>
      </c>
      <c r="D59" s="94"/>
      <c r="E59" s="95"/>
      <c r="F59" s="96"/>
      <c r="G59" s="94"/>
      <c r="H59" s="94"/>
      <c r="I59" s="87"/>
      <c r="J59" s="94"/>
      <c r="K59" s="89">
        <f>SUM(K34:K58)</f>
        <v>2549207</v>
      </c>
      <c r="L59" s="65"/>
      <c r="M59" s="59"/>
    </row>
    <row r="60" spans="1:13" ht="16.5" thickBot="1" x14ac:dyDescent="0.3">
      <c r="A60" s="59"/>
      <c r="B60" s="64"/>
      <c r="C60" s="73" t="s">
        <v>100</v>
      </c>
      <c r="D60" s="74"/>
      <c r="E60" s="90"/>
      <c r="F60" s="90"/>
      <c r="G60" s="74"/>
      <c r="H60" s="74"/>
      <c r="I60" s="74"/>
      <c r="J60" s="74"/>
      <c r="K60" s="75"/>
      <c r="L60" s="65"/>
      <c r="M60" s="59"/>
    </row>
    <row r="61" spans="1:13" ht="28.5" x14ac:dyDescent="0.25">
      <c r="A61" s="59"/>
      <c r="B61" s="64"/>
      <c r="C61" s="76">
        <f>C58+1</f>
        <v>43</v>
      </c>
      <c r="D61" s="77">
        <v>3204</v>
      </c>
      <c r="E61" s="78" t="s">
        <v>51</v>
      </c>
      <c r="F61" s="78"/>
      <c r="G61" s="79" t="s">
        <v>101</v>
      </c>
      <c r="H61" s="77" t="s">
        <v>57</v>
      </c>
      <c r="I61" s="80">
        <v>1</v>
      </c>
      <c r="J61" s="81">
        <v>850700</v>
      </c>
      <c r="K61" s="82">
        <f t="shared" ref="K61:K83" si="4">ROUND(I61*J61,0)</f>
        <v>850700</v>
      </c>
      <c r="L61" s="65"/>
      <c r="M61" s="59"/>
    </row>
    <row r="62" spans="1:13" ht="28.5" x14ac:dyDescent="0.25">
      <c r="A62" s="59"/>
      <c r="B62" s="64"/>
      <c r="C62" s="76">
        <f t="shared" ref="C62:C83" si="5">C61+1</f>
        <v>44</v>
      </c>
      <c r="D62" s="77">
        <v>3394</v>
      </c>
      <c r="E62" s="78" t="s">
        <v>51</v>
      </c>
      <c r="F62" s="78"/>
      <c r="G62" s="79" t="s">
        <v>102</v>
      </c>
      <c r="H62" s="77" t="s">
        <v>57</v>
      </c>
      <c r="I62" s="80">
        <v>1</v>
      </c>
      <c r="J62" s="81">
        <v>845765</v>
      </c>
      <c r="K62" s="82">
        <f t="shared" si="4"/>
        <v>845765</v>
      </c>
      <c r="L62" s="65"/>
      <c r="M62" s="59"/>
    </row>
    <row r="63" spans="1:13" ht="28.5" x14ac:dyDescent="0.25">
      <c r="A63" s="59"/>
      <c r="B63" s="64"/>
      <c r="C63" s="76">
        <f t="shared" si="5"/>
        <v>45</v>
      </c>
      <c r="D63" s="77">
        <v>3748</v>
      </c>
      <c r="E63" s="78" t="s">
        <v>51</v>
      </c>
      <c r="F63" s="78"/>
      <c r="G63" s="79" t="s">
        <v>103</v>
      </c>
      <c r="H63" s="77" t="s">
        <v>57</v>
      </c>
      <c r="I63" s="80">
        <v>1</v>
      </c>
      <c r="J63" s="81">
        <v>857607</v>
      </c>
      <c r="K63" s="82">
        <f t="shared" si="4"/>
        <v>857607</v>
      </c>
      <c r="L63" s="65"/>
      <c r="M63" s="59"/>
    </row>
    <row r="64" spans="1:13" ht="15.75" x14ac:dyDescent="0.25">
      <c r="A64" s="59"/>
      <c r="B64" s="64"/>
      <c r="C64" s="76">
        <f t="shared" si="5"/>
        <v>46</v>
      </c>
      <c r="D64" s="77">
        <v>3806</v>
      </c>
      <c r="E64" s="78" t="s">
        <v>51</v>
      </c>
      <c r="F64" s="78"/>
      <c r="G64" s="79" t="s">
        <v>104</v>
      </c>
      <c r="H64" s="77" t="s">
        <v>53</v>
      </c>
      <c r="I64" s="80">
        <v>1</v>
      </c>
      <c r="J64" s="81">
        <v>2621</v>
      </c>
      <c r="K64" s="82">
        <f t="shared" si="4"/>
        <v>2621</v>
      </c>
      <c r="L64" s="65"/>
      <c r="M64" s="59"/>
    </row>
    <row r="65" spans="1:13" ht="42.75" x14ac:dyDescent="0.25">
      <c r="A65" s="59"/>
      <c r="B65" s="64"/>
      <c r="C65" s="76">
        <f t="shared" si="5"/>
        <v>47</v>
      </c>
      <c r="D65" s="77">
        <v>3811</v>
      </c>
      <c r="E65" s="78" t="s">
        <v>51</v>
      </c>
      <c r="F65" s="78"/>
      <c r="G65" s="79" t="s">
        <v>105</v>
      </c>
      <c r="H65" s="77" t="s">
        <v>64</v>
      </c>
      <c r="I65" s="80">
        <v>1</v>
      </c>
      <c r="J65" s="81">
        <v>2721</v>
      </c>
      <c r="K65" s="82">
        <f t="shared" si="4"/>
        <v>2721</v>
      </c>
      <c r="L65" s="65"/>
      <c r="M65" s="59"/>
    </row>
    <row r="66" spans="1:13" ht="28.5" x14ac:dyDescent="0.25">
      <c r="A66" s="59"/>
      <c r="B66" s="64"/>
      <c r="C66" s="76">
        <f t="shared" si="5"/>
        <v>48</v>
      </c>
      <c r="D66" s="77">
        <v>3837</v>
      </c>
      <c r="E66" s="78" t="s">
        <v>51</v>
      </c>
      <c r="F66" s="78"/>
      <c r="G66" s="79" t="s">
        <v>106</v>
      </c>
      <c r="H66" s="77" t="s">
        <v>64</v>
      </c>
      <c r="I66" s="80">
        <v>1</v>
      </c>
      <c r="J66" s="81">
        <v>14526</v>
      </c>
      <c r="K66" s="82">
        <f t="shared" si="4"/>
        <v>14526</v>
      </c>
      <c r="L66" s="65"/>
      <c r="M66" s="59"/>
    </row>
    <row r="67" spans="1:13" ht="28.5" x14ac:dyDescent="0.25">
      <c r="A67" s="59"/>
      <c r="B67" s="64"/>
      <c r="C67" s="76">
        <f t="shared" si="5"/>
        <v>49</v>
      </c>
      <c r="D67" s="77">
        <v>4229</v>
      </c>
      <c r="E67" s="78" t="s">
        <v>51</v>
      </c>
      <c r="F67" s="78"/>
      <c r="G67" s="79" t="s">
        <v>107</v>
      </c>
      <c r="H67" s="77" t="s">
        <v>57</v>
      </c>
      <c r="I67" s="80">
        <v>1</v>
      </c>
      <c r="J67" s="81">
        <v>831952</v>
      </c>
      <c r="K67" s="82">
        <f t="shared" si="4"/>
        <v>831952</v>
      </c>
      <c r="L67" s="65"/>
      <c r="M67" s="59"/>
    </row>
    <row r="68" spans="1:13" ht="28.5" x14ac:dyDescent="0.25">
      <c r="A68" s="59"/>
      <c r="B68" s="64"/>
      <c r="C68" s="76">
        <f t="shared" si="5"/>
        <v>50</v>
      </c>
      <c r="D68" s="77">
        <v>4230</v>
      </c>
      <c r="E68" s="78" t="s">
        <v>51</v>
      </c>
      <c r="F68" s="78"/>
      <c r="G68" s="79" t="s">
        <v>108</v>
      </c>
      <c r="H68" s="77" t="s">
        <v>57</v>
      </c>
      <c r="I68" s="80">
        <v>1</v>
      </c>
      <c r="J68" s="81">
        <v>809828</v>
      </c>
      <c r="K68" s="82">
        <f t="shared" si="4"/>
        <v>809828</v>
      </c>
      <c r="L68" s="65"/>
      <c r="M68" s="59"/>
    </row>
    <row r="69" spans="1:13" ht="28.5" x14ac:dyDescent="0.25">
      <c r="A69" s="59"/>
      <c r="B69" s="64"/>
      <c r="C69" s="76">
        <f t="shared" si="5"/>
        <v>51</v>
      </c>
      <c r="D69" s="77">
        <v>4555</v>
      </c>
      <c r="E69" s="78" t="s">
        <v>51</v>
      </c>
      <c r="F69" s="78"/>
      <c r="G69" s="79" t="s">
        <v>109</v>
      </c>
      <c r="H69" s="77" t="s">
        <v>57</v>
      </c>
      <c r="I69" s="80">
        <v>1</v>
      </c>
      <c r="J69" s="81">
        <v>930077</v>
      </c>
      <c r="K69" s="82">
        <f t="shared" si="4"/>
        <v>930077</v>
      </c>
      <c r="L69" s="65"/>
      <c r="M69" s="59"/>
    </row>
    <row r="70" spans="1:13" ht="42.75" x14ac:dyDescent="0.25">
      <c r="A70" s="59"/>
      <c r="B70" s="64"/>
      <c r="C70" s="76">
        <f t="shared" si="5"/>
        <v>52</v>
      </c>
      <c r="D70" s="77">
        <v>4910</v>
      </c>
      <c r="E70" s="78" t="s">
        <v>51</v>
      </c>
      <c r="F70" s="78"/>
      <c r="G70" s="79" t="s">
        <v>110</v>
      </c>
      <c r="H70" s="77" t="s">
        <v>53</v>
      </c>
      <c r="I70" s="80">
        <v>1</v>
      </c>
      <c r="J70" s="81">
        <v>199117</v>
      </c>
      <c r="K70" s="82">
        <f t="shared" si="4"/>
        <v>199117</v>
      </c>
      <c r="L70" s="65"/>
      <c r="M70" s="59"/>
    </row>
    <row r="71" spans="1:13" ht="42.75" x14ac:dyDescent="0.25">
      <c r="A71" s="59"/>
      <c r="B71" s="64"/>
      <c r="C71" s="76">
        <f t="shared" si="5"/>
        <v>53</v>
      </c>
      <c r="D71" s="77">
        <v>4918</v>
      </c>
      <c r="E71" s="78" t="s">
        <v>51</v>
      </c>
      <c r="F71" s="78"/>
      <c r="G71" s="79" t="s">
        <v>111</v>
      </c>
      <c r="H71" s="77" t="s">
        <v>64</v>
      </c>
      <c r="I71" s="80">
        <v>1</v>
      </c>
      <c r="J71" s="81">
        <v>193983</v>
      </c>
      <c r="K71" s="82">
        <f t="shared" si="4"/>
        <v>193983</v>
      </c>
      <c r="L71" s="65"/>
      <c r="M71" s="59"/>
    </row>
    <row r="72" spans="1:13" ht="42.75" x14ac:dyDescent="0.25">
      <c r="A72" s="59"/>
      <c r="B72" s="64"/>
      <c r="C72" s="76">
        <f t="shared" si="5"/>
        <v>54</v>
      </c>
      <c r="D72" s="77">
        <v>4985</v>
      </c>
      <c r="E72" s="78" t="s">
        <v>51</v>
      </c>
      <c r="F72" s="78"/>
      <c r="G72" s="79" t="s">
        <v>112</v>
      </c>
      <c r="H72" s="77" t="s">
        <v>57</v>
      </c>
      <c r="I72" s="80">
        <v>1</v>
      </c>
      <c r="J72" s="81">
        <v>816014</v>
      </c>
      <c r="K72" s="82">
        <f t="shared" si="4"/>
        <v>816014</v>
      </c>
      <c r="L72" s="65"/>
      <c r="M72" s="59"/>
    </row>
    <row r="73" spans="1:13" ht="57" x14ac:dyDescent="0.25">
      <c r="A73" s="59"/>
      <c r="B73" s="64"/>
      <c r="C73" s="76">
        <f t="shared" si="5"/>
        <v>55</v>
      </c>
      <c r="D73" s="77">
        <v>6096</v>
      </c>
      <c r="E73" s="78" t="s">
        <v>51</v>
      </c>
      <c r="F73" s="78"/>
      <c r="G73" s="79" t="s">
        <v>113</v>
      </c>
      <c r="H73" s="77" t="s">
        <v>53</v>
      </c>
      <c r="I73" s="80">
        <v>1</v>
      </c>
      <c r="J73" s="81">
        <v>347718</v>
      </c>
      <c r="K73" s="82">
        <f t="shared" si="4"/>
        <v>347718</v>
      </c>
      <c r="L73" s="65"/>
      <c r="M73" s="59"/>
    </row>
    <row r="74" spans="1:13" ht="57" x14ac:dyDescent="0.25">
      <c r="A74" s="59"/>
      <c r="B74" s="64"/>
      <c r="C74" s="76">
        <f t="shared" si="5"/>
        <v>56</v>
      </c>
      <c r="D74" s="77">
        <v>6137</v>
      </c>
      <c r="E74" s="78" t="s">
        <v>51</v>
      </c>
      <c r="F74" s="78"/>
      <c r="G74" s="79" t="s">
        <v>114</v>
      </c>
      <c r="H74" s="77" t="s">
        <v>53</v>
      </c>
      <c r="I74" s="80">
        <v>1</v>
      </c>
      <c r="J74" s="81">
        <v>265229</v>
      </c>
      <c r="K74" s="82">
        <f t="shared" si="4"/>
        <v>265229</v>
      </c>
      <c r="L74" s="65"/>
      <c r="M74" s="59"/>
    </row>
    <row r="75" spans="1:13" ht="85.5" x14ac:dyDescent="0.25">
      <c r="A75" s="59"/>
      <c r="B75" s="64"/>
      <c r="C75" s="76">
        <f t="shared" si="5"/>
        <v>57</v>
      </c>
      <c r="D75" s="77">
        <v>6246</v>
      </c>
      <c r="E75" s="78" t="s">
        <v>51</v>
      </c>
      <c r="F75" s="78"/>
      <c r="G75" s="79" t="s">
        <v>115</v>
      </c>
      <c r="H75" s="77" t="s">
        <v>53</v>
      </c>
      <c r="I75" s="80">
        <v>1</v>
      </c>
      <c r="J75" s="81">
        <v>273937</v>
      </c>
      <c r="K75" s="82">
        <f t="shared" si="4"/>
        <v>273937</v>
      </c>
      <c r="L75" s="65"/>
      <c r="M75" s="59"/>
    </row>
    <row r="76" spans="1:13" ht="15.75" x14ac:dyDescent="0.25">
      <c r="A76" s="59"/>
      <c r="B76" s="64"/>
      <c r="C76" s="76">
        <f t="shared" si="5"/>
        <v>58</v>
      </c>
      <c r="D76" s="77">
        <v>7896</v>
      </c>
      <c r="E76" s="78" t="s">
        <v>51</v>
      </c>
      <c r="F76" s="78"/>
      <c r="G76" s="79" t="s">
        <v>116</v>
      </c>
      <c r="H76" s="77" t="s">
        <v>68</v>
      </c>
      <c r="I76" s="80">
        <v>1</v>
      </c>
      <c r="J76" s="81">
        <v>917</v>
      </c>
      <c r="K76" s="82">
        <f t="shared" si="4"/>
        <v>917</v>
      </c>
      <c r="L76" s="65"/>
      <c r="M76" s="59"/>
    </row>
    <row r="77" spans="1:13" ht="15.75" x14ac:dyDescent="0.25">
      <c r="A77" s="59"/>
      <c r="B77" s="64"/>
      <c r="C77" s="76">
        <f t="shared" si="5"/>
        <v>59</v>
      </c>
      <c r="D77" s="77">
        <v>5404</v>
      </c>
      <c r="E77" s="78" t="s">
        <v>51</v>
      </c>
      <c r="F77" s="78"/>
      <c r="G77" s="79" t="s">
        <v>117</v>
      </c>
      <c r="H77" s="77" t="s">
        <v>118</v>
      </c>
      <c r="I77" s="80">
        <v>1</v>
      </c>
      <c r="J77" s="81">
        <v>6643</v>
      </c>
      <c r="K77" s="82">
        <f t="shared" si="4"/>
        <v>6643</v>
      </c>
      <c r="L77" s="65"/>
      <c r="M77" s="59"/>
    </row>
    <row r="78" spans="1:13" ht="28.5" x14ac:dyDescent="0.25">
      <c r="A78" s="59"/>
      <c r="B78" s="64"/>
      <c r="C78" s="76">
        <f t="shared" si="5"/>
        <v>60</v>
      </c>
      <c r="D78" s="77">
        <v>7713</v>
      </c>
      <c r="E78" s="78" t="s">
        <v>51</v>
      </c>
      <c r="F78" s="78"/>
      <c r="G78" s="79" t="s">
        <v>119</v>
      </c>
      <c r="H78" s="77" t="s">
        <v>118</v>
      </c>
      <c r="I78" s="80">
        <v>1</v>
      </c>
      <c r="J78" s="81">
        <v>5392</v>
      </c>
      <c r="K78" s="82">
        <f t="shared" si="4"/>
        <v>5392</v>
      </c>
      <c r="L78" s="65"/>
      <c r="M78" s="59"/>
    </row>
    <row r="79" spans="1:13" ht="28.5" x14ac:dyDescent="0.25">
      <c r="A79" s="59"/>
      <c r="B79" s="64"/>
      <c r="C79" s="76">
        <f t="shared" si="5"/>
        <v>61</v>
      </c>
      <c r="D79" s="77">
        <v>7714</v>
      </c>
      <c r="E79" s="78" t="s">
        <v>51</v>
      </c>
      <c r="F79" s="78"/>
      <c r="G79" s="79" t="s">
        <v>120</v>
      </c>
      <c r="H79" s="77" t="s">
        <v>118</v>
      </c>
      <c r="I79" s="80">
        <v>1</v>
      </c>
      <c r="J79" s="81">
        <v>4967</v>
      </c>
      <c r="K79" s="82">
        <f t="shared" si="4"/>
        <v>4967</v>
      </c>
      <c r="L79" s="65"/>
      <c r="M79" s="59"/>
    </row>
    <row r="80" spans="1:13" ht="28.5" x14ac:dyDescent="0.25">
      <c r="A80" s="59"/>
      <c r="B80" s="64"/>
      <c r="C80" s="76">
        <f t="shared" si="5"/>
        <v>62</v>
      </c>
      <c r="D80" s="77">
        <v>4232</v>
      </c>
      <c r="E80" s="78" t="s">
        <v>51</v>
      </c>
      <c r="F80" s="78"/>
      <c r="G80" s="79" t="s">
        <v>121</v>
      </c>
      <c r="H80" s="77" t="s">
        <v>118</v>
      </c>
      <c r="I80" s="80">
        <v>1</v>
      </c>
      <c r="J80" s="81">
        <v>6199</v>
      </c>
      <c r="K80" s="82">
        <f t="shared" si="4"/>
        <v>6199</v>
      </c>
      <c r="L80" s="65"/>
      <c r="M80" s="59"/>
    </row>
    <row r="81" spans="1:13" ht="28.5" x14ac:dyDescent="0.25">
      <c r="A81" s="59"/>
      <c r="B81" s="64"/>
      <c r="C81" s="76">
        <f t="shared" si="5"/>
        <v>63</v>
      </c>
      <c r="D81" s="77">
        <v>4233</v>
      </c>
      <c r="E81" s="78" t="s">
        <v>51</v>
      </c>
      <c r="F81" s="78"/>
      <c r="G81" s="79" t="s">
        <v>122</v>
      </c>
      <c r="H81" s="77" t="s">
        <v>118</v>
      </c>
      <c r="I81" s="80">
        <v>1</v>
      </c>
      <c r="J81" s="81">
        <v>6035</v>
      </c>
      <c r="K81" s="82">
        <f t="shared" si="4"/>
        <v>6035</v>
      </c>
      <c r="L81" s="65"/>
      <c r="M81" s="59"/>
    </row>
    <row r="82" spans="1:13" ht="28.5" x14ac:dyDescent="0.25">
      <c r="A82" s="59"/>
      <c r="B82" s="64"/>
      <c r="C82" s="76">
        <f t="shared" si="5"/>
        <v>64</v>
      </c>
      <c r="D82" s="77">
        <v>4234</v>
      </c>
      <c r="E82" s="78" t="s">
        <v>51</v>
      </c>
      <c r="F82" s="78"/>
      <c r="G82" s="79" t="s">
        <v>123</v>
      </c>
      <c r="H82" s="77" t="s">
        <v>118</v>
      </c>
      <c r="I82" s="80">
        <v>1</v>
      </c>
      <c r="J82" s="81">
        <v>6035</v>
      </c>
      <c r="K82" s="82">
        <f t="shared" si="4"/>
        <v>6035</v>
      </c>
      <c r="L82" s="65"/>
      <c r="M82" s="59"/>
    </row>
    <row r="83" spans="1:13" ht="71.25" x14ac:dyDescent="0.25">
      <c r="A83" s="59"/>
      <c r="B83" s="64"/>
      <c r="C83" s="76">
        <f t="shared" si="5"/>
        <v>65</v>
      </c>
      <c r="D83" s="77">
        <v>3708</v>
      </c>
      <c r="E83" s="78" t="s">
        <v>51</v>
      </c>
      <c r="F83" s="78"/>
      <c r="G83" s="79" t="s">
        <v>124</v>
      </c>
      <c r="H83" s="77" t="s">
        <v>118</v>
      </c>
      <c r="I83" s="80">
        <v>1</v>
      </c>
      <c r="J83" s="81">
        <v>5308</v>
      </c>
      <c r="K83" s="82">
        <f t="shared" si="4"/>
        <v>5308</v>
      </c>
      <c r="L83" s="65"/>
      <c r="M83" s="59"/>
    </row>
    <row r="84" spans="1:13" ht="16.5" thickBot="1" x14ac:dyDescent="0.3">
      <c r="A84" s="59"/>
      <c r="B84" s="64"/>
      <c r="C84" s="83" t="s">
        <v>54</v>
      </c>
      <c r="D84" s="94"/>
      <c r="E84" s="95"/>
      <c r="F84" s="96"/>
      <c r="G84" s="94"/>
      <c r="H84" s="94"/>
      <c r="I84" s="87"/>
      <c r="J84" s="94"/>
      <c r="K84" s="89">
        <f>SUM(K61:K83)</f>
        <v>7283291</v>
      </c>
      <c r="L84" s="65"/>
      <c r="M84" s="59"/>
    </row>
    <row r="85" spans="1:13" ht="16.5" thickBot="1" x14ac:dyDescent="0.3">
      <c r="A85" s="59"/>
      <c r="B85" s="64"/>
      <c r="C85" s="73" t="s">
        <v>125</v>
      </c>
      <c r="D85" s="74"/>
      <c r="E85" s="90"/>
      <c r="F85" s="90"/>
      <c r="G85" s="74"/>
      <c r="H85" s="74"/>
      <c r="I85" s="74"/>
      <c r="J85" s="74"/>
      <c r="K85" s="75"/>
      <c r="L85" s="65"/>
      <c r="M85" s="59"/>
    </row>
    <row r="86" spans="1:13" ht="42.75" x14ac:dyDescent="0.25">
      <c r="A86" s="59"/>
      <c r="B86" s="64"/>
      <c r="C86" s="76">
        <f>C83+1</f>
        <v>66</v>
      </c>
      <c r="D86" s="77" t="s">
        <v>126</v>
      </c>
      <c r="E86" s="78" t="s">
        <v>51</v>
      </c>
      <c r="F86" s="78" t="s">
        <v>127</v>
      </c>
      <c r="G86" s="79" t="s">
        <v>128</v>
      </c>
      <c r="H86" s="77" t="s">
        <v>57</v>
      </c>
      <c r="I86" s="80">
        <v>1</v>
      </c>
      <c r="J86" s="81">
        <v>1168482</v>
      </c>
      <c r="K86" s="82">
        <f t="shared" ref="K86:K105" si="6">ROUND(I86*J86,0)</f>
        <v>1168482</v>
      </c>
      <c r="L86" s="65"/>
      <c r="M86" s="59"/>
    </row>
    <row r="87" spans="1:13" ht="42.75" x14ac:dyDescent="0.25">
      <c r="A87" s="59"/>
      <c r="B87" s="64"/>
      <c r="C87" s="76">
        <f t="shared" ref="C87:C105" si="7">C86+1</f>
        <v>67</v>
      </c>
      <c r="D87" s="77" t="s">
        <v>129</v>
      </c>
      <c r="E87" s="78" t="s">
        <v>51</v>
      </c>
      <c r="F87" s="78" t="s">
        <v>127</v>
      </c>
      <c r="G87" s="79" t="s">
        <v>130</v>
      </c>
      <c r="H87" s="77" t="s">
        <v>57</v>
      </c>
      <c r="I87" s="80">
        <v>1</v>
      </c>
      <c r="J87" s="81">
        <v>1230417</v>
      </c>
      <c r="K87" s="82">
        <f t="shared" si="6"/>
        <v>1230417</v>
      </c>
      <c r="L87" s="65"/>
      <c r="M87" s="59"/>
    </row>
    <row r="88" spans="1:13" ht="71.25" x14ac:dyDescent="0.25">
      <c r="A88" s="59"/>
      <c r="B88" s="64"/>
      <c r="C88" s="76">
        <f t="shared" si="7"/>
        <v>68</v>
      </c>
      <c r="D88" s="77" t="s">
        <v>131</v>
      </c>
      <c r="E88" s="78" t="s">
        <v>51</v>
      </c>
      <c r="F88" s="78" t="s">
        <v>127</v>
      </c>
      <c r="G88" s="79" t="s">
        <v>132</v>
      </c>
      <c r="H88" s="77" t="s">
        <v>57</v>
      </c>
      <c r="I88" s="80">
        <v>1</v>
      </c>
      <c r="J88" s="81">
        <v>1212785</v>
      </c>
      <c r="K88" s="82">
        <f t="shared" si="6"/>
        <v>1212785</v>
      </c>
      <c r="L88" s="65"/>
      <c r="M88" s="59"/>
    </row>
    <row r="89" spans="1:13" ht="57" x14ac:dyDescent="0.25">
      <c r="A89" s="59"/>
      <c r="B89" s="64"/>
      <c r="C89" s="76">
        <f t="shared" si="7"/>
        <v>69</v>
      </c>
      <c r="D89" s="77" t="s">
        <v>133</v>
      </c>
      <c r="E89" s="78" t="s">
        <v>51</v>
      </c>
      <c r="F89" s="78" t="s">
        <v>127</v>
      </c>
      <c r="G89" s="79" t="s">
        <v>134</v>
      </c>
      <c r="H89" s="77" t="s">
        <v>57</v>
      </c>
      <c r="I89" s="80">
        <v>1</v>
      </c>
      <c r="J89" s="81">
        <v>1303726</v>
      </c>
      <c r="K89" s="82">
        <f t="shared" si="6"/>
        <v>1303726</v>
      </c>
      <c r="L89" s="65"/>
      <c r="M89" s="59"/>
    </row>
    <row r="90" spans="1:13" ht="42.75" x14ac:dyDescent="0.25">
      <c r="A90" s="59"/>
      <c r="B90" s="64"/>
      <c r="C90" s="76">
        <f t="shared" si="7"/>
        <v>70</v>
      </c>
      <c r="D90" s="77">
        <v>7751</v>
      </c>
      <c r="E90" s="78" t="s">
        <v>51</v>
      </c>
      <c r="F90" s="78"/>
      <c r="G90" s="79" t="s">
        <v>135</v>
      </c>
      <c r="H90" s="77" t="s">
        <v>57</v>
      </c>
      <c r="I90" s="80">
        <v>1</v>
      </c>
      <c r="J90" s="81">
        <v>121743</v>
      </c>
      <c r="K90" s="82">
        <f t="shared" si="6"/>
        <v>121743</v>
      </c>
      <c r="L90" s="65"/>
      <c r="M90" s="59"/>
    </row>
    <row r="91" spans="1:13" ht="42.75" x14ac:dyDescent="0.25">
      <c r="A91" s="59"/>
      <c r="B91" s="64"/>
      <c r="C91" s="76">
        <f t="shared" si="7"/>
        <v>71</v>
      </c>
      <c r="D91" s="77" t="s">
        <v>136</v>
      </c>
      <c r="E91" s="78" t="s">
        <v>51</v>
      </c>
      <c r="F91" s="78" t="s">
        <v>127</v>
      </c>
      <c r="G91" s="79" t="s">
        <v>137</v>
      </c>
      <c r="H91" s="77" t="s">
        <v>57</v>
      </c>
      <c r="I91" s="80">
        <v>1</v>
      </c>
      <c r="J91" s="81">
        <v>1227808</v>
      </c>
      <c r="K91" s="82">
        <f t="shared" si="6"/>
        <v>1227808</v>
      </c>
      <c r="L91" s="65"/>
      <c r="M91" s="59"/>
    </row>
    <row r="92" spans="1:13" ht="57" x14ac:dyDescent="0.25">
      <c r="A92" s="59"/>
      <c r="B92" s="64"/>
      <c r="C92" s="76">
        <f t="shared" si="7"/>
        <v>72</v>
      </c>
      <c r="D92" s="77" t="s">
        <v>138</v>
      </c>
      <c r="E92" s="78" t="s">
        <v>51</v>
      </c>
      <c r="F92" s="78" t="s">
        <v>127</v>
      </c>
      <c r="G92" s="79" t="s">
        <v>139</v>
      </c>
      <c r="H92" s="77" t="s">
        <v>57</v>
      </c>
      <c r="I92" s="80">
        <v>1</v>
      </c>
      <c r="J92" s="81">
        <v>1217496</v>
      </c>
      <c r="K92" s="82">
        <f t="shared" si="6"/>
        <v>1217496</v>
      </c>
      <c r="L92" s="65"/>
      <c r="M92" s="59"/>
    </row>
    <row r="93" spans="1:13" ht="28.5" x14ac:dyDescent="0.25">
      <c r="A93" s="59"/>
      <c r="B93" s="64"/>
      <c r="C93" s="76">
        <f t="shared" si="7"/>
        <v>73</v>
      </c>
      <c r="D93" s="77">
        <v>5362</v>
      </c>
      <c r="E93" s="78" t="s">
        <v>51</v>
      </c>
      <c r="F93" s="78"/>
      <c r="G93" s="79" t="s">
        <v>140</v>
      </c>
      <c r="H93" s="77" t="s">
        <v>57</v>
      </c>
      <c r="I93" s="80">
        <v>1</v>
      </c>
      <c r="J93" s="81">
        <v>395666</v>
      </c>
      <c r="K93" s="82">
        <f t="shared" si="6"/>
        <v>395666</v>
      </c>
      <c r="L93" s="65"/>
      <c r="M93" s="59"/>
    </row>
    <row r="94" spans="1:13" ht="28.5" x14ac:dyDescent="0.25">
      <c r="A94" s="59"/>
      <c r="B94" s="64"/>
      <c r="C94" s="76">
        <f t="shared" si="7"/>
        <v>74</v>
      </c>
      <c r="D94" s="77">
        <v>5363</v>
      </c>
      <c r="E94" s="78" t="s">
        <v>51</v>
      </c>
      <c r="F94" s="78"/>
      <c r="G94" s="79" t="s">
        <v>141</v>
      </c>
      <c r="H94" s="77" t="s">
        <v>57</v>
      </c>
      <c r="I94" s="80">
        <v>1</v>
      </c>
      <c r="J94" s="81">
        <v>382700</v>
      </c>
      <c r="K94" s="82">
        <f t="shared" si="6"/>
        <v>382700</v>
      </c>
      <c r="L94" s="65"/>
      <c r="M94" s="59"/>
    </row>
    <row r="95" spans="1:13" ht="42.75" x14ac:dyDescent="0.25">
      <c r="A95" s="59"/>
      <c r="B95" s="64"/>
      <c r="C95" s="76">
        <f t="shared" si="7"/>
        <v>75</v>
      </c>
      <c r="D95" s="77">
        <v>5364</v>
      </c>
      <c r="E95" s="78" t="s">
        <v>51</v>
      </c>
      <c r="F95" s="78"/>
      <c r="G95" s="79" t="s">
        <v>142</v>
      </c>
      <c r="H95" s="77" t="s">
        <v>57</v>
      </c>
      <c r="I95" s="80">
        <v>1</v>
      </c>
      <c r="J95" s="81">
        <v>374813</v>
      </c>
      <c r="K95" s="82">
        <f t="shared" si="6"/>
        <v>374813</v>
      </c>
      <c r="L95" s="65"/>
      <c r="M95" s="59"/>
    </row>
    <row r="96" spans="1:13" ht="42.75" x14ac:dyDescent="0.25">
      <c r="A96" s="59"/>
      <c r="B96" s="64"/>
      <c r="C96" s="76">
        <f t="shared" si="7"/>
        <v>76</v>
      </c>
      <c r="D96" s="77">
        <v>5374</v>
      </c>
      <c r="E96" s="78" t="s">
        <v>51</v>
      </c>
      <c r="F96" s="78"/>
      <c r="G96" s="79" t="s">
        <v>143</v>
      </c>
      <c r="H96" s="77" t="s">
        <v>57</v>
      </c>
      <c r="I96" s="80">
        <v>1</v>
      </c>
      <c r="J96" s="81">
        <v>224890</v>
      </c>
      <c r="K96" s="82">
        <f t="shared" si="6"/>
        <v>224890</v>
      </c>
      <c r="L96" s="65"/>
      <c r="M96" s="59"/>
    </row>
    <row r="97" spans="1:13" ht="28.5" x14ac:dyDescent="0.25">
      <c r="A97" s="59"/>
      <c r="B97" s="64"/>
      <c r="C97" s="76">
        <f t="shared" si="7"/>
        <v>77</v>
      </c>
      <c r="D97" s="77" t="s">
        <v>144</v>
      </c>
      <c r="E97" s="78" t="s">
        <v>51</v>
      </c>
      <c r="F97" s="78" t="s">
        <v>127</v>
      </c>
      <c r="G97" s="79" t="s">
        <v>145</v>
      </c>
      <c r="H97" s="77" t="s">
        <v>57</v>
      </c>
      <c r="I97" s="80">
        <v>1</v>
      </c>
      <c r="J97" s="81">
        <v>1593598</v>
      </c>
      <c r="K97" s="82">
        <f t="shared" si="6"/>
        <v>1593598</v>
      </c>
      <c r="L97" s="65"/>
      <c r="M97" s="59"/>
    </row>
    <row r="98" spans="1:13" ht="28.5" x14ac:dyDescent="0.25">
      <c r="A98" s="59"/>
      <c r="B98" s="64"/>
      <c r="C98" s="76">
        <f t="shared" si="7"/>
        <v>78</v>
      </c>
      <c r="D98" s="77" t="s">
        <v>146</v>
      </c>
      <c r="E98" s="78" t="s">
        <v>51</v>
      </c>
      <c r="F98" s="78" t="s">
        <v>127</v>
      </c>
      <c r="G98" s="79" t="s">
        <v>147</v>
      </c>
      <c r="H98" s="77" t="s">
        <v>53</v>
      </c>
      <c r="I98" s="80">
        <v>1</v>
      </c>
      <c r="J98" s="81">
        <v>2993</v>
      </c>
      <c r="K98" s="82">
        <f t="shared" si="6"/>
        <v>2993</v>
      </c>
      <c r="L98" s="65"/>
      <c r="M98" s="59"/>
    </row>
    <row r="99" spans="1:13" ht="42.75" x14ac:dyDescent="0.25">
      <c r="A99" s="59"/>
      <c r="B99" s="64"/>
      <c r="C99" s="76">
        <f t="shared" si="7"/>
        <v>79</v>
      </c>
      <c r="D99" s="77" t="s">
        <v>148</v>
      </c>
      <c r="E99" s="78" t="s">
        <v>51</v>
      </c>
      <c r="F99" s="78" t="s">
        <v>127</v>
      </c>
      <c r="G99" s="79" t="s">
        <v>149</v>
      </c>
      <c r="H99" s="77" t="s">
        <v>57</v>
      </c>
      <c r="I99" s="80">
        <v>1</v>
      </c>
      <c r="J99" s="81">
        <v>1279277</v>
      </c>
      <c r="K99" s="82">
        <f t="shared" si="6"/>
        <v>1279277</v>
      </c>
      <c r="L99" s="65"/>
      <c r="M99" s="59"/>
    </row>
    <row r="100" spans="1:13" ht="57" x14ac:dyDescent="0.25">
      <c r="A100" s="59"/>
      <c r="B100" s="64"/>
      <c r="C100" s="76">
        <f t="shared" si="7"/>
        <v>80</v>
      </c>
      <c r="D100" s="77" t="s">
        <v>150</v>
      </c>
      <c r="E100" s="78" t="s">
        <v>51</v>
      </c>
      <c r="F100" s="78" t="s">
        <v>127</v>
      </c>
      <c r="G100" s="79" t="s">
        <v>151</v>
      </c>
      <c r="H100" s="77" t="s">
        <v>57</v>
      </c>
      <c r="I100" s="80">
        <v>1</v>
      </c>
      <c r="J100" s="81">
        <v>1233015</v>
      </c>
      <c r="K100" s="82">
        <f t="shared" si="6"/>
        <v>1233015</v>
      </c>
      <c r="L100" s="65"/>
      <c r="M100" s="59"/>
    </row>
    <row r="101" spans="1:13" ht="28.5" x14ac:dyDescent="0.25">
      <c r="A101" s="59"/>
      <c r="B101" s="64"/>
      <c r="C101" s="76">
        <f t="shared" si="7"/>
        <v>81</v>
      </c>
      <c r="D101" s="77" t="s">
        <v>152</v>
      </c>
      <c r="E101" s="78" t="s">
        <v>51</v>
      </c>
      <c r="F101" s="78" t="s">
        <v>127</v>
      </c>
      <c r="G101" s="79" t="s">
        <v>153</v>
      </c>
      <c r="H101" s="77" t="s">
        <v>53</v>
      </c>
      <c r="I101" s="80">
        <v>1</v>
      </c>
      <c r="J101" s="81">
        <v>4629</v>
      </c>
      <c r="K101" s="82">
        <f t="shared" si="6"/>
        <v>4629</v>
      </c>
      <c r="L101" s="65"/>
      <c r="M101" s="59"/>
    </row>
    <row r="102" spans="1:13" ht="28.5" x14ac:dyDescent="0.25">
      <c r="A102" s="59"/>
      <c r="B102" s="64"/>
      <c r="C102" s="76">
        <f t="shared" si="7"/>
        <v>82</v>
      </c>
      <c r="D102" s="77" t="s">
        <v>154</v>
      </c>
      <c r="E102" s="78" t="s">
        <v>51</v>
      </c>
      <c r="F102" s="78" t="s">
        <v>127</v>
      </c>
      <c r="G102" s="79" t="s">
        <v>155</v>
      </c>
      <c r="H102" s="77" t="s">
        <v>53</v>
      </c>
      <c r="I102" s="80">
        <v>1</v>
      </c>
      <c r="J102" s="81">
        <v>3277</v>
      </c>
      <c r="K102" s="82">
        <f t="shared" si="6"/>
        <v>3277</v>
      </c>
      <c r="L102" s="65"/>
      <c r="M102" s="59"/>
    </row>
    <row r="103" spans="1:13" ht="28.5" x14ac:dyDescent="0.25">
      <c r="A103" s="59"/>
      <c r="B103" s="64"/>
      <c r="C103" s="76">
        <f t="shared" si="7"/>
        <v>83</v>
      </c>
      <c r="D103" s="77" t="s">
        <v>156</v>
      </c>
      <c r="E103" s="78" t="s">
        <v>51</v>
      </c>
      <c r="F103" s="78" t="s">
        <v>127</v>
      </c>
      <c r="G103" s="79" t="s">
        <v>157</v>
      </c>
      <c r="H103" s="77" t="s">
        <v>53</v>
      </c>
      <c r="I103" s="80">
        <v>1</v>
      </c>
      <c r="J103" s="81">
        <v>5178</v>
      </c>
      <c r="K103" s="82">
        <f t="shared" si="6"/>
        <v>5178</v>
      </c>
      <c r="L103" s="65"/>
      <c r="M103" s="59"/>
    </row>
    <row r="104" spans="1:13" ht="28.5" x14ac:dyDescent="0.25">
      <c r="A104" s="59"/>
      <c r="B104" s="64"/>
      <c r="C104" s="76">
        <f t="shared" si="7"/>
        <v>84</v>
      </c>
      <c r="D104" s="77" t="s">
        <v>158</v>
      </c>
      <c r="E104" s="78" t="s">
        <v>51</v>
      </c>
      <c r="F104" s="78" t="s">
        <v>127</v>
      </c>
      <c r="G104" s="79" t="s">
        <v>159</v>
      </c>
      <c r="H104" s="77" t="s">
        <v>53</v>
      </c>
      <c r="I104" s="80">
        <v>1</v>
      </c>
      <c r="J104" s="81">
        <v>3889</v>
      </c>
      <c r="K104" s="82">
        <f t="shared" si="6"/>
        <v>3889</v>
      </c>
      <c r="L104" s="65"/>
      <c r="M104" s="59"/>
    </row>
    <row r="105" spans="1:13" ht="28.5" x14ac:dyDescent="0.25">
      <c r="A105" s="59"/>
      <c r="B105" s="64"/>
      <c r="C105" s="76">
        <f t="shared" si="7"/>
        <v>85</v>
      </c>
      <c r="D105" s="77" t="s">
        <v>160</v>
      </c>
      <c r="E105" s="78" t="s">
        <v>51</v>
      </c>
      <c r="F105" s="78" t="s">
        <v>127</v>
      </c>
      <c r="G105" s="79" t="s">
        <v>161</v>
      </c>
      <c r="H105" s="77" t="s">
        <v>53</v>
      </c>
      <c r="I105" s="80">
        <v>1</v>
      </c>
      <c r="J105" s="81">
        <v>4107</v>
      </c>
      <c r="K105" s="82">
        <f t="shared" si="6"/>
        <v>4107</v>
      </c>
      <c r="L105" s="65"/>
      <c r="M105" s="59"/>
    </row>
    <row r="106" spans="1:13" ht="16.5" thickBot="1" x14ac:dyDescent="0.3">
      <c r="A106" s="59"/>
      <c r="B106" s="64"/>
      <c r="C106" s="83" t="s">
        <v>54</v>
      </c>
      <c r="D106" s="94"/>
      <c r="E106" s="95"/>
      <c r="F106" s="96"/>
      <c r="G106" s="94"/>
      <c r="H106" s="94"/>
      <c r="I106" s="87"/>
      <c r="J106" s="94"/>
      <c r="K106" s="89">
        <f>SUM(K86:K105)</f>
        <v>12990489</v>
      </c>
      <c r="L106" s="65"/>
      <c r="M106" s="59"/>
    </row>
    <row r="107" spans="1:13" ht="16.5" thickBot="1" x14ac:dyDescent="0.3">
      <c r="A107" s="59"/>
      <c r="B107" s="64"/>
      <c r="C107" s="73" t="s">
        <v>162</v>
      </c>
      <c r="D107" s="74"/>
      <c r="E107" s="90"/>
      <c r="F107" s="90"/>
      <c r="G107" s="74"/>
      <c r="H107" s="74"/>
      <c r="I107" s="74"/>
      <c r="J107" s="74"/>
      <c r="K107" s="75"/>
      <c r="L107" s="65"/>
      <c r="M107" s="59"/>
    </row>
    <row r="108" spans="1:13" ht="42.75" x14ac:dyDescent="0.25">
      <c r="A108" s="59"/>
      <c r="B108" s="64"/>
      <c r="C108" s="76">
        <f>C105+1</f>
        <v>86</v>
      </c>
      <c r="D108" s="77">
        <v>6102</v>
      </c>
      <c r="E108" s="78" t="s">
        <v>51</v>
      </c>
      <c r="F108" s="78"/>
      <c r="G108" s="79" t="s">
        <v>163</v>
      </c>
      <c r="H108" s="77" t="s">
        <v>64</v>
      </c>
      <c r="I108" s="80">
        <v>1</v>
      </c>
      <c r="J108" s="81">
        <v>34134</v>
      </c>
      <c r="K108" s="82">
        <f t="shared" ref="K108:K139" si="8">ROUND(I108*J108,0)</f>
        <v>34134</v>
      </c>
      <c r="L108" s="65"/>
      <c r="M108" s="59"/>
    </row>
    <row r="109" spans="1:13" ht="42.75" x14ac:dyDescent="0.25">
      <c r="A109" s="59"/>
      <c r="B109" s="64"/>
      <c r="C109" s="76">
        <f t="shared" ref="C109:C139" si="9">C108+1</f>
        <v>87</v>
      </c>
      <c r="D109" s="77">
        <v>5131</v>
      </c>
      <c r="E109" s="78" t="s">
        <v>51</v>
      </c>
      <c r="F109" s="78"/>
      <c r="G109" s="79" t="s">
        <v>164</v>
      </c>
      <c r="H109" s="77" t="s">
        <v>64</v>
      </c>
      <c r="I109" s="80">
        <v>1</v>
      </c>
      <c r="J109" s="81">
        <v>209852</v>
      </c>
      <c r="K109" s="82">
        <f t="shared" si="8"/>
        <v>209852</v>
      </c>
      <c r="L109" s="65"/>
      <c r="M109" s="59"/>
    </row>
    <row r="110" spans="1:13" ht="42.75" x14ac:dyDescent="0.25">
      <c r="A110" s="59"/>
      <c r="B110" s="64"/>
      <c r="C110" s="76">
        <f t="shared" si="9"/>
        <v>88</v>
      </c>
      <c r="D110" s="77">
        <v>8228</v>
      </c>
      <c r="E110" s="78" t="s">
        <v>51</v>
      </c>
      <c r="F110" s="78"/>
      <c r="G110" s="79" t="s">
        <v>165</v>
      </c>
      <c r="H110" s="77" t="s">
        <v>64</v>
      </c>
      <c r="I110" s="80">
        <v>1</v>
      </c>
      <c r="J110" s="81">
        <v>27170</v>
      </c>
      <c r="K110" s="82">
        <f t="shared" si="8"/>
        <v>27170</v>
      </c>
      <c r="L110" s="65"/>
      <c r="M110" s="59"/>
    </row>
    <row r="111" spans="1:13" ht="28.5" x14ac:dyDescent="0.25">
      <c r="A111" s="59"/>
      <c r="B111" s="64"/>
      <c r="C111" s="76">
        <f t="shared" si="9"/>
        <v>89</v>
      </c>
      <c r="D111" s="77">
        <v>6299</v>
      </c>
      <c r="E111" s="78" t="s">
        <v>51</v>
      </c>
      <c r="F111" s="78"/>
      <c r="G111" s="79" t="s">
        <v>166</v>
      </c>
      <c r="H111" s="77" t="s">
        <v>57</v>
      </c>
      <c r="I111" s="80">
        <v>1</v>
      </c>
      <c r="J111" s="81">
        <v>714984</v>
      </c>
      <c r="K111" s="82">
        <f t="shared" si="8"/>
        <v>714984</v>
      </c>
      <c r="L111" s="65"/>
      <c r="M111" s="59"/>
    </row>
    <row r="112" spans="1:13" ht="42.75" x14ac:dyDescent="0.25">
      <c r="A112" s="59"/>
      <c r="B112" s="64"/>
      <c r="C112" s="76">
        <f t="shared" si="9"/>
        <v>90</v>
      </c>
      <c r="D112" s="77">
        <v>8166</v>
      </c>
      <c r="E112" s="78" t="s">
        <v>51</v>
      </c>
      <c r="F112" s="78"/>
      <c r="G112" s="79" t="s">
        <v>167</v>
      </c>
      <c r="H112" s="77" t="s">
        <v>53</v>
      </c>
      <c r="I112" s="80">
        <v>1</v>
      </c>
      <c r="J112" s="81">
        <v>107785</v>
      </c>
      <c r="K112" s="82">
        <f t="shared" si="8"/>
        <v>107785</v>
      </c>
      <c r="L112" s="65"/>
      <c r="M112" s="59"/>
    </row>
    <row r="113" spans="1:13" ht="28.5" x14ac:dyDescent="0.25">
      <c r="A113" s="59"/>
      <c r="B113" s="64"/>
      <c r="C113" s="76">
        <f t="shared" si="9"/>
        <v>91</v>
      </c>
      <c r="D113" s="77">
        <v>8185</v>
      </c>
      <c r="E113" s="78" t="s">
        <v>51</v>
      </c>
      <c r="F113" s="78"/>
      <c r="G113" s="79" t="s">
        <v>168</v>
      </c>
      <c r="H113" s="77" t="s">
        <v>68</v>
      </c>
      <c r="I113" s="80">
        <v>1</v>
      </c>
      <c r="J113" s="81">
        <v>57447</v>
      </c>
      <c r="K113" s="82">
        <f t="shared" si="8"/>
        <v>57447</v>
      </c>
      <c r="L113" s="65"/>
      <c r="M113" s="59"/>
    </row>
    <row r="114" spans="1:13" ht="28.5" x14ac:dyDescent="0.25">
      <c r="A114" s="59"/>
      <c r="B114" s="64"/>
      <c r="C114" s="76">
        <f t="shared" si="9"/>
        <v>92</v>
      </c>
      <c r="D114" s="77">
        <v>8503</v>
      </c>
      <c r="E114" s="78" t="s">
        <v>51</v>
      </c>
      <c r="F114" s="78"/>
      <c r="G114" s="79" t="s">
        <v>169</v>
      </c>
      <c r="H114" s="77" t="s">
        <v>68</v>
      </c>
      <c r="I114" s="80">
        <v>1</v>
      </c>
      <c r="J114" s="81">
        <v>114795</v>
      </c>
      <c r="K114" s="82">
        <f t="shared" si="8"/>
        <v>114795</v>
      </c>
      <c r="L114" s="65"/>
      <c r="M114" s="59"/>
    </row>
    <row r="115" spans="1:13" ht="15.75" x14ac:dyDescent="0.25">
      <c r="A115" s="59"/>
      <c r="B115" s="64"/>
      <c r="C115" s="76">
        <f t="shared" si="9"/>
        <v>93</v>
      </c>
      <c r="D115" s="77">
        <v>3806</v>
      </c>
      <c r="E115" s="78" t="s">
        <v>51</v>
      </c>
      <c r="F115" s="78"/>
      <c r="G115" s="79" t="s">
        <v>104</v>
      </c>
      <c r="H115" s="77" t="s">
        <v>53</v>
      </c>
      <c r="I115" s="80">
        <v>1</v>
      </c>
      <c r="J115" s="81">
        <v>2621</v>
      </c>
      <c r="K115" s="82">
        <f t="shared" si="8"/>
        <v>2621</v>
      </c>
      <c r="L115" s="65"/>
      <c r="M115" s="59"/>
    </row>
    <row r="116" spans="1:13" ht="42.75" x14ac:dyDescent="0.25">
      <c r="A116" s="59"/>
      <c r="B116" s="64"/>
      <c r="C116" s="76">
        <f t="shared" si="9"/>
        <v>94</v>
      </c>
      <c r="D116" s="77">
        <v>8169</v>
      </c>
      <c r="E116" s="78" t="s">
        <v>51</v>
      </c>
      <c r="F116" s="78"/>
      <c r="G116" s="79" t="s">
        <v>170</v>
      </c>
      <c r="H116" s="77" t="s">
        <v>53</v>
      </c>
      <c r="I116" s="80">
        <v>1</v>
      </c>
      <c r="J116" s="81">
        <v>107785</v>
      </c>
      <c r="K116" s="82">
        <f t="shared" si="8"/>
        <v>107785</v>
      </c>
      <c r="L116" s="65"/>
      <c r="M116" s="59"/>
    </row>
    <row r="117" spans="1:13" ht="42.75" x14ac:dyDescent="0.25">
      <c r="A117" s="59"/>
      <c r="B117" s="64"/>
      <c r="C117" s="76">
        <f t="shared" si="9"/>
        <v>95</v>
      </c>
      <c r="D117" s="77">
        <v>3811</v>
      </c>
      <c r="E117" s="78" t="s">
        <v>51</v>
      </c>
      <c r="F117" s="78"/>
      <c r="G117" s="79" t="s">
        <v>105</v>
      </c>
      <c r="H117" s="77" t="s">
        <v>64</v>
      </c>
      <c r="I117" s="80">
        <v>1</v>
      </c>
      <c r="J117" s="81">
        <v>2721</v>
      </c>
      <c r="K117" s="82">
        <f t="shared" si="8"/>
        <v>2721</v>
      </c>
      <c r="L117" s="65"/>
      <c r="M117" s="59"/>
    </row>
    <row r="118" spans="1:13" ht="28.5" x14ac:dyDescent="0.25">
      <c r="A118" s="59"/>
      <c r="B118" s="64"/>
      <c r="C118" s="76">
        <f t="shared" si="9"/>
        <v>96</v>
      </c>
      <c r="D118" s="77">
        <v>6510</v>
      </c>
      <c r="E118" s="78" t="s">
        <v>51</v>
      </c>
      <c r="F118" s="78"/>
      <c r="G118" s="79" t="s">
        <v>171</v>
      </c>
      <c r="H118" s="77" t="s">
        <v>64</v>
      </c>
      <c r="I118" s="80">
        <v>1</v>
      </c>
      <c r="J118" s="81">
        <v>60183</v>
      </c>
      <c r="K118" s="82">
        <f t="shared" si="8"/>
        <v>60183</v>
      </c>
      <c r="L118" s="65"/>
      <c r="M118" s="59"/>
    </row>
    <row r="119" spans="1:13" ht="28.5" x14ac:dyDescent="0.25">
      <c r="A119" s="59"/>
      <c r="B119" s="64"/>
      <c r="C119" s="76">
        <f t="shared" si="9"/>
        <v>97</v>
      </c>
      <c r="D119" s="77">
        <v>7776</v>
      </c>
      <c r="E119" s="78" t="s">
        <v>51</v>
      </c>
      <c r="F119" s="78"/>
      <c r="G119" s="79" t="s">
        <v>172</v>
      </c>
      <c r="H119" s="77" t="s">
        <v>57</v>
      </c>
      <c r="I119" s="80">
        <v>1</v>
      </c>
      <c r="J119" s="81">
        <v>233748</v>
      </c>
      <c r="K119" s="82">
        <f t="shared" si="8"/>
        <v>233748</v>
      </c>
      <c r="L119" s="65"/>
      <c r="M119" s="59"/>
    </row>
    <row r="120" spans="1:13" ht="28.5" x14ac:dyDescent="0.25">
      <c r="A120" s="59"/>
      <c r="B120" s="64"/>
      <c r="C120" s="76">
        <f t="shared" si="9"/>
        <v>98</v>
      </c>
      <c r="D120" s="77">
        <v>3837</v>
      </c>
      <c r="E120" s="78" t="s">
        <v>51</v>
      </c>
      <c r="F120" s="78"/>
      <c r="G120" s="79" t="s">
        <v>106</v>
      </c>
      <c r="H120" s="77" t="s">
        <v>64</v>
      </c>
      <c r="I120" s="80">
        <v>1</v>
      </c>
      <c r="J120" s="81">
        <v>14526</v>
      </c>
      <c r="K120" s="82">
        <f t="shared" si="8"/>
        <v>14526</v>
      </c>
      <c r="L120" s="65"/>
      <c r="M120" s="59"/>
    </row>
    <row r="121" spans="1:13" ht="28.5" x14ac:dyDescent="0.25">
      <c r="A121" s="59"/>
      <c r="B121" s="64"/>
      <c r="C121" s="76">
        <f t="shared" si="9"/>
        <v>99</v>
      </c>
      <c r="D121" s="77">
        <v>4085</v>
      </c>
      <c r="E121" s="78" t="s">
        <v>51</v>
      </c>
      <c r="F121" s="78"/>
      <c r="G121" s="79" t="s">
        <v>173</v>
      </c>
      <c r="H121" s="77" t="s">
        <v>68</v>
      </c>
      <c r="I121" s="80">
        <v>1</v>
      </c>
      <c r="J121" s="81">
        <v>103630</v>
      </c>
      <c r="K121" s="82">
        <f t="shared" si="8"/>
        <v>103630</v>
      </c>
      <c r="L121" s="65"/>
      <c r="M121" s="59"/>
    </row>
    <row r="122" spans="1:13" ht="28.5" x14ac:dyDescent="0.25">
      <c r="A122" s="59"/>
      <c r="B122" s="64"/>
      <c r="C122" s="76">
        <f t="shared" si="9"/>
        <v>100</v>
      </c>
      <c r="D122" s="77">
        <v>4989</v>
      </c>
      <c r="E122" s="78" t="s">
        <v>51</v>
      </c>
      <c r="F122" s="78"/>
      <c r="G122" s="79" t="s">
        <v>174</v>
      </c>
      <c r="H122" s="77" t="s">
        <v>64</v>
      </c>
      <c r="I122" s="80">
        <v>1</v>
      </c>
      <c r="J122" s="81">
        <v>159244</v>
      </c>
      <c r="K122" s="82">
        <f t="shared" si="8"/>
        <v>159244</v>
      </c>
      <c r="L122" s="65"/>
      <c r="M122" s="59"/>
    </row>
    <row r="123" spans="1:13" ht="28.5" x14ac:dyDescent="0.25">
      <c r="A123" s="59"/>
      <c r="B123" s="64"/>
      <c r="C123" s="76">
        <f t="shared" si="9"/>
        <v>101</v>
      </c>
      <c r="D123" s="77">
        <v>4232</v>
      </c>
      <c r="E123" s="78" t="s">
        <v>51</v>
      </c>
      <c r="F123" s="78"/>
      <c r="G123" s="79" t="s">
        <v>121</v>
      </c>
      <c r="H123" s="77" t="s">
        <v>118</v>
      </c>
      <c r="I123" s="80">
        <v>1</v>
      </c>
      <c r="J123" s="81">
        <v>6199</v>
      </c>
      <c r="K123" s="82">
        <f t="shared" si="8"/>
        <v>6199</v>
      </c>
      <c r="L123" s="65"/>
      <c r="M123" s="59"/>
    </row>
    <row r="124" spans="1:13" ht="42.75" x14ac:dyDescent="0.25">
      <c r="A124" s="59"/>
      <c r="B124" s="64"/>
      <c r="C124" s="76">
        <f t="shared" si="9"/>
        <v>102</v>
      </c>
      <c r="D124" s="77">
        <v>4588</v>
      </c>
      <c r="E124" s="78" t="s">
        <v>51</v>
      </c>
      <c r="F124" s="78"/>
      <c r="G124" s="79" t="s">
        <v>175</v>
      </c>
      <c r="H124" s="77" t="s">
        <v>53</v>
      </c>
      <c r="I124" s="80">
        <v>1</v>
      </c>
      <c r="J124" s="81">
        <v>483829</v>
      </c>
      <c r="K124" s="82">
        <f t="shared" si="8"/>
        <v>483829</v>
      </c>
      <c r="L124" s="65"/>
      <c r="M124" s="59"/>
    </row>
    <row r="125" spans="1:13" ht="28.5" x14ac:dyDescent="0.25">
      <c r="A125" s="59"/>
      <c r="B125" s="64"/>
      <c r="C125" s="76">
        <f t="shared" si="9"/>
        <v>103</v>
      </c>
      <c r="D125" s="77">
        <v>4908</v>
      </c>
      <c r="E125" s="78" t="s">
        <v>51</v>
      </c>
      <c r="F125" s="78"/>
      <c r="G125" s="79" t="s">
        <v>94</v>
      </c>
      <c r="H125" s="77" t="s">
        <v>57</v>
      </c>
      <c r="I125" s="80">
        <v>1</v>
      </c>
      <c r="J125" s="81">
        <v>109151</v>
      </c>
      <c r="K125" s="82">
        <f t="shared" si="8"/>
        <v>109151</v>
      </c>
      <c r="L125" s="65"/>
      <c r="M125" s="59"/>
    </row>
    <row r="126" spans="1:13" ht="28.5" x14ac:dyDescent="0.25">
      <c r="A126" s="59"/>
      <c r="B126" s="64"/>
      <c r="C126" s="76">
        <f t="shared" si="9"/>
        <v>104</v>
      </c>
      <c r="D126" s="77">
        <v>4959</v>
      </c>
      <c r="E126" s="78" t="s">
        <v>51</v>
      </c>
      <c r="F126" s="78"/>
      <c r="G126" s="79" t="s">
        <v>176</v>
      </c>
      <c r="H126" s="77" t="s">
        <v>118</v>
      </c>
      <c r="I126" s="80">
        <v>1</v>
      </c>
      <c r="J126" s="81">
        <v>4353</v>
      </c>
      <c r="K126" s="82">
        <f t="shared" si="8"/>
        <v>4353</v>
      </c>
      <c r="L126" s="65"/>
      <c r="M126" s="59"/>
    </row>
    <row r="127" spans="1:13" ht="28.5" x14ac:dyDescent="0.25">
      <c r="A127" s="59"/>
      <c r="B127" s="64"/>
      <c r="C127" s="76">
        <f t="shared" si="9"/>
        <v>105</v>
      </c>
      <c r="D127" s="77">
        <v>4907</v>
      </c>
      <c r="E127" s="78" t="s">
        <v>51</v>
      </c>
      <c r="F127" s="78"/>
      <c r="G127" s="79" t="s">
        <v>177</v>
      </c>
      <c r="H127" s="77" t="s">
        <v>57</v>
      </c>
      <c r="I127" s="80">
        <v>1</v>
      </c>
      <c r="J127" s="81">
        <v>159960</v>
      </c>
      <c r="K127" s="82">
        <f t="shared" si="8"/>
        <v>159960</v>
      </c>
      <c r="L127" s="65"/>
      <c r="M127" s="59"/>
    </row>
    <row r="128" spans="1:13" ht="42.75" x14ac:dyDescent="0.25">
      <c r="A128" s="59"/>
      <c r="B128" s="64"/>
      <c r="C128" s="76">
        <f t="shared" si="9"/>
        <v>106</v>
      </c>
      <c r="D128" s="77">
        <v>4856</v>
      </c>
      <c r="E128" s="78" t="s">
        <v>51</v>
      </c>
      <c r="F128" s="78"/>
      <c r="G128" s="79" t="s">
        <v>178</v>
      </c>
      <c r="H128" s="77" t="s">
        <v>53</v>
      </c>
      <c r="I128" s="80">
        <v>1</v>
      </c>
      <c r="J128" s="81">
        <v>93559</v>
      </c>
      <c r="K128" s="82">
        <f t="shared" si="8"/>
        <v>93559</v>
      </c>
      <c r="L128" s="65"/>
      <c r="M128" s="59"/>
    </row>
    <row r="129" spans="1:13" ht="28.5" x14ac:dyDescent="0.25">
      <c r="A129" s="59"/>
      <c r="B129" s="64"/>
      <c r="C129" s="76">
        <f t="shared" si="9"/>
        <v>107</v>
      </c>
      <c r="D129" s="77">
        <v>3207</v>
      </c>
      <c r="E129" s="78" t="s">
        <v>51</v>
      </c>
      <c r="F129" s="78"/>
      <c r="G129" s="79" t="s">
        <v>179</v>
      </c>
      <c r="H129" s="77" t="s">
        <v>68</v>
      </c>
      <c r="I129" s="80">
        <v>1</v>
      </c>
      <c r="J129" s="81">
        <v>75083</v>
      </c>
      <c r="K129" s="82">
        <f t="shared" si="8"/>
        <v>75083</v>
      </c>
      <c r="L129" s="65"/>
      <c r="M129" s="59"/>
    </row>
    <row r="130" spans="1:13" ht="28.5" x14ac:dyDescent="0.25">
      <c r="A130" s="59"/>
      <c r="B130" s="64"/>
      <c r="C130" s="76">
        <f t="shared" si="9"/>
        <v>108</v>
      </c>
      <c r="D130" s="77">
        <v>4088</v>
      </c>
      <c r="E130" s="78" t="s">
        <v>51</v>
      </c>
      <c r="F130" s="78"/>
      <c r="G130" s="79" t="s">
        <v>180</v>
      </c>
      <c r="H130" s="77" t="s">
        <v>64</v>
      </c>
      <c r="I130" s="80">
        <v>1</v>
      </c>
      <c r="J130" s="81">
        <v>80345</v>
      </c>
      <c r="K130" s="82">
        <f t="shared" si="8"/>
        <v>80345</v>
      </c>
      <c r="L130" s="65"/>
      <c r="M130" s="59"/>
    </row>
    <row r="131" spans="1:13" ht="28.5" x14ac:dyDescent="0.25">
      <c r="A131" s="59"/>
      <c r="B131" s="64"/>
      <c r="C131" s="76">
        <f t="shared" si="9"/>
        <v>109</v>
      </c>
      <c r="D131" s="77">
        <v>4855</v>
      </c>
      <c r="E131" s="78" t="s">
        <v>51</v>
      </c>
      <c r="F131" s="78"/>
      <c r="G131" s="79" t="s">
        <v>181</v>
      </c>
      <c r="H131" s="77" t="s">
        <v>53</v>
      </c>
      <c r="I131" s="80">
        <v>1</v>
      </c>
      <c r="J131" s="81">
        <v>64729</v>
      </c>
      <c r="K131" s="82">
        <f t="shared" si="8"/>
        <v>64729</v>
      </c>
      <c r="L131" s="65"/>
      <c r="M131" s="59"/>
    </row>
    <row r="132" spans="1:13" ht="15.75" x14ac:dyDescent="0.25">
      <c r="A132" s="59"/>
      <c r="B132" s="64"/>
      <c r="C132" s="76">
        <f t="shared" si="9"/>
        <v>110</v>
      </c>
      <c r="D132" s="77">
        <v>3751</v>
      </c>
      <c r="E132" s="78" t="s">
        <v>51</v>
      </c>
      <c r="F132" s="78"/>
      <c r="G132" s="79" t="s">
        <v>182</v>
      </c>
      <c r="H132" s="77" t="s">
        <v>64</v>
      </c>
      <c r="I132" s="80">
        <v>1</v>
      </c>
      <c r="J132" s="81">
        <v>71986</v>
      </c>
      <c r="K132" s="82">
        <f t="shared" si="8"/>
        <v>71986</v>
      </c>
      <c r="L132" s="65"/>
      <c r="M132" s="59"/>
    </row>
    <row r="133" spans="1:13" ht="28.5" x14ac:dyDescent="0.25">
      <c r="A133" s="59"/>
      <c r="B133" s="64"/>
      <c r="C133" s="76">
        <f t="shared" si="9"/>
        <v>111</v>
      </c>
      <c r="D133" s="77">
        <v>4394</v>
      </c>
      <c r="E133" s="78" t="s">
        <v>51</v>
      </c>
      <c r="F133" s="78"/>
      <c r="G133" s="79" t="s">
        <v>183</v>
      </c>
      <c r="H133" s="77" t="s">
        <v>53</v>
      </c>
      <c r="I133" s="80">
        <v>1</v>
      </c>
      <c r="J133" s="81">
        <v>116722</v>
      </c>
      <c r="K133" s="82">
        <f t="shared" si="8"/>
        <v>116722</v>
      </c>
      <c r="L133" s="65"/>
      <c r="M133" s="59"/>
    </row>
    <row r="134" spans="1:13" ht="15.75" x14ac:dyDescent="0.25">
      <c r="A134" s="59"/>
      <c r="B134" s="64"/>
      <c r="C134" s="76">
        <f t="shared" si="9"/>
        <v>112</v>
      </c>
      <c r="D134" s="77">
        <v>3465</v>
      </c>
      <c r="E134" s="78" t="s">
        <v>51</v>
      </c>
      <c r="F134" s="78"/>
      <c r="G134" s="79" t="s">
        <v>184</v>
      </c>
      <c r="H134" s="77" t="s">
        <v>57</v>
      </c>
      <c r="I134" s="80">
        <v>1</v>
      </c>
      <c r="J134" s="81">
        <v>574508</v>
      </c>
      <c r="K134" s="82">
        <f t="shared" si="8"/>
        <v>574508</v>
      </c>
      <c r="L134" s="65"/>
      <c r="M134" s="59"/>
    </row>
    <row r="135" spans="1:13" ht="28.5" x14ac:dyDescent="0.25">
      <c r="A135" s="59"/>
      <c r="B135" s="64"/>
      <c r="C135" s="76">
        <f t="shared" si="9"/>
        <v>113</v>
      </c>
      <c r="D135" s="77">
        <v>3548</v>
      </c>
      <c r="E135" s="78" t="s">
        <v>51</v>
      </c>
      <c r="F135" s="78"/>
      <c r="G135" s="79" t="s">
        <v>185</v>
      </c>
      <c r="H135" s="77" t="s">
        <v>68</v>
      </c>
      <c r="I135" s="80">
        <v>1</v>
      </c>
      <c r="J135" s="81">
        <v>229497</v>
      </c>
      <c r="K135" s="82">
        <f t="shared" si="8"/>
        <v>229497</v>
      </c>
      <c r="L135" s="65"/>
      <c r="M135" s="59"/>
    </row>
    <row r="136" spans="1:13" ht="15.75" x14ac:dyDescent="0.25">
      <c r="A136" s="59"/>
      <c r="B136" s="64"/>
      <c r="C136" s="76">
        <f t="shared" si="9"/>
        <v>114</v>
      </c>
      <c r="D136" s="77">
        <v>3466</v>
      </c>
      <c r="E136" s="78" t="s">
        <v>51</v>
      </c>
      <c r="F136" s="78"/>
      <c r="G136" s="79" t="s">
        <v>186</v>
      </c>
      <c r="H136" s="77" t="s">
        <v>57</v>
      </c>
      <c r="I136" s="80">
        <v>1</v>
      </c>
      <c r="J136" s="81">
        <v>591508</v>
      </c>
      <c r="K136" s="82">
        <f t="shared" si="8"/>
        <v>591508</v>
      </c>
      <c r="L136" s="65"/>
      <c r="M136" s="59"/>
    </row>
    <row r="137" spans="1:13" ht="28.5" x14ac:dyDescent="0.25">
      <c r="A137" s="59"/>
      <c r="B137" s="64"/>
      <c r="C137" s="76">
        <f t="shared" si="9"/>
        <v>115</v>
      </c>
      <c r="D137" s="77">
        <v>3210</v>
      </c>
      <c r="E137" s="78" t="s">
        <v>51</v>
      </c>
      <c r="F137" s="78"/>
      <c r="G137" s="79" t="s">
        <v>187</v>
      </c>
      <c r="H137" s="77" t="s">
        <v>64</v>
      </c>
      <c r="I137" s="80">
        <v>1</v>
      </c>
      <c r="J137" s="81">
        <v>72395</v>
      </c>
      <c r="K137" s="82">
        <f t="shared" si="8"/>
        <v>72395</v>
      </c>
      <c r="L137" s="65"/>
      <c r="M137" s="59"/>
    </row>
    <row r="138" spans="1:13" ht="15.75" x14ac:dyDescent="0.25">
      <c r="A138" s="59"/>
      <c r="B138" s="64"/>
      <c r="C138" s="76">
        <f t="shared" si="9"/>
        <v>116</v>
      </c>
      <c r="D138" s="77">
        <v>3468</v>
      </c>
      <c r="E138" s="78" t="s">
        <v>51</v>
      </c>
      <c r="F138" s="78"/>
      <c r="G138" s="79" t="s">
        <v>188</v>
      </c>
      <c r="H138" s="77" t="s">
        <v>57</v>
      </c>
      <c r="I138" s="80">
        <v>1</v>
      </c>
      <c r="J138" s="81">
        <v>501362</v>
      </c>
      <c r="K138" s="82">
        <f t="shared" si="8"/>
        <v>501362</v>
      </c>
      <c r="L138" s="65"/>
      <c r="M138" s="59"/>
    </row>
    <row r="139" spans="1:13" ht="15.75" x14ac:dyDescent="0.25">
      <c r="A139" s="59"/>
      <c r="B139" s="64"/>
      <c r="C139" s="76">
        <f t="shared" si="9"/>
        <v>117</v>
      </c>
      <c r="D139" s="77">
        <v>3027</v>
      </c>
      <c r="E139" s="78" t="s">
        <v>51</v>
      </c>
      <c r="F139" s="78"/>
      <c r="G139" s="79" t="s">
        <v>189</v>
      </c>
      <c r="H139" s="77" t="s">
        <v>64</v>
      </c>
      <c r="I139" s="80">
        <v>1</v>
      </c>
      <c r="J139" s="81">
        <v>79509</v>
      </c>
      <c r="K139" s="82">
        <f t="shared" si="8"/>
        <v>79509</v>
      </c>
      <c r="L139" s="65"/>
      <c r="M139" s="59"/>
    </row>
    <row r="140" spans="1:13" ht="16.5" thickBot="1" x14ac:dyDescent="0.3">
      <c r="A140" s="59"/>
      <c r="B140" s="64"/>
      <c r="C140" s="83" t="s">
        <v>54</v>
      </c>
      <c r="D140" s="97"/>
      <c r="E140" s="98"/>
      <c r="F140" s="98"/>
      <c r="G140" s="99"/>
      <c r="H140" s="97"/>
      <c r="I140" s="87"/>
      <c r="J140" s="100"/>
      <c r="K140" s="101">
        <f>SUM(K108:K139)</f>
        <v>5265320</v>
      </c>
      <c r="L140" s="65"/>
      <c r="M140" s="59"/>
    </row>
    <row r="141" spans="1:13" ht="16.5" thickBot="1" x14ac:dyDescent="0.3">
      <c r="A141" s="59"/>
      <c r="B141" s="64"/>
      <c r="C141" s="73" t="s">
        <v>190</v>
      </c>
      <c r="D141" s="74"/>
      <c r="E141" s="90"/>
      <c r="F141" s="90"/>
      <c r="G141" s="74"/>
      <c r="H141" s="74"/>
      <c r="I141" s="74"/>
      <c r="J141" s="74"/>
      <c r="K141" s="75"/>
      <c r="L141" s="65"/>
      <c r="M141" s="59"/>
    </row>
    <row r="142" spans="1:13" ht="15.75" x14ac:dyDescent="0.25">
      <c r="A142" s="59"/>
      <c r="B142" s="64"/>
      <c r="C142" s="76">
        <f>C139+1</f>
        <v>118</v>
      </c>
      <c r="D142" s="77">
        <v>3404</v>
      </c>
      <c r="E142" s="78" t="s">
        <v>51</v>
      </c>
      <c r="F142" s="78"/>
      <c r="G142" s="79" t="s">
        <v>191</v>
      </c>
      <c r="H142" s="77" t="s">
        <v>68</v>
      </c>
      <c r="I142" s="80">
        <v>1</v>
      </c>
      <c r="J142" s="81">
        <v>176451</v>
      </c>
      <c r="K142" s="82">
        <f>ROUND(I142*J142,0)</f>
        <v>176451</v>
      </c>
      <c r="L142" s="65"/>
      <c r="M142" s="59"/>
    </row>
    <row r="143" spans="1:13" ht="15.75" x14ac:dyDescent="0.25">
      <c r="A143" s="59"/>
      <c r="B143" s="64"/>
      <c r="C143" s="76">
        <f t="shared" ref="C143:C168" si="10">C142+1</f>
        <v>119</v>
      </c>
      <c r="D143" s="77">
        <v>3225</v>
      </c>
      <c r="E143" s="78" t="s">
        <v>51</v>
      </c>
      <c r="F143" s="78"/>
      <c r="G143" s="79" t="s">
        <v>192</v>
      </c>
      <c r="H143" s="77" t="s">
        <v>64</v>
      </c>
      <c r="I143" s="80">
        <v>1</v>
      </c>
      <c r="J143" s="81">
        <v>61102</v>
      </c>
      <c r="K143" s="82">
        <f>ROUND(I143*J143,0)</f>
        <v>61102</v>
      </c>
      <c r="L143" s="65"/>
      <c r="M143" s="59"/>
    </row>
    <row r="144" spans="1:13" ht="15.75" x14ac:dyDescent="0.25">
      <c r="A144" s="59"/>
      <c r="B144" s="64"/>
      <c r="C144" s="76">
        <f t="shared" si="10"/>
        <v>120</v>
      </c>
      <c r="D144" s="77">
        <v>3197</v>
      </c>
      <c r="E144" s="78" t="s">
        <v>51</v>
      </c>
      <c r="F144" s="78"/>
      <c r="G144" s="79" t="s">
        <v>193</v>
      </c>
      <c r="H144" s="77" t="s">
        <v>68</v>
      </c>
      <c r="I144" s="80">
        <v>1</v>
      </c>
      <c r="J144" s="81">
        <v>288516</v>
      </c>
      <c r="K144" s="82">
        <f t="shared" ref="K144:K168" si="11">ROUND(I144*J144,0)</f>
        <v>288516</v>
      </c>
      <c r="L144" s="65"/>
      <c r="M144" s="59"/>
    </row>
    <row r="145" spans="1:13" ht="15.75" x14ac:dyDescent="0.25">
      <c r="A145" s="59"/>
      <c r="B145" s="64"/>
      <c r="C145" s="76">
        <f t="shared" si="10"/>
        <v>121</v>
      </c>
      <c r="D145" s="77">
        <v>8415</v>
      </c>
      <c r="E145" s="78" t="s">
        <v>51</v>
      </c>
      <c r="F145" s="78"/>
      <c r="G145" s="79" t="s">
        <v>194</v>
      </c>
      <c r="H145" s="77" t="s">
        <v>68</v>
      </c>
      <c r="I145" s="80">
        <v>1</v>
      </c>
      <c r="J145" s="81">
        <v>912641</v>
      </c>
      <c r="K145" s="82">
        <f t="shared" si="11"/>
        <v>912641</v>
      </c>
      <c r="L145" s="65"/>
      <c r="M145" s="59"/>
    </row>
    <row r="146" spans="1:13" ht="28.5" x14ac:dyDescent="0.25">
      <c r="A146" s="59"/>
      <c r="B146" s="64"/>
      <c r="C146" s="76">
        <f t="shared" si="10"/>
        <v>122</v>
      </c>
      <c r="D146" s="77">
        <v>8422</v>
      </c>
      <c r="E146" s="78" t="s">
        <v>51</v>
      </c>
      <c r="F146" s="78"/>
      <c r="G146" s="79" t="s">
        <v>195</v>
      </c>
      <c r="H146" s="77" t="s">
        <v>68</v>
      </c>
      <c r="I146" s="80">
        <v>1</v>
      </c>
      <c r="J146" s="81">
        <v>743161</v>
      </c>
      <c r="K146" s="82">
        <f t="shared" si="11"/>
        <v>743161</v>
      </c>
      <c r="L146" s="65"/>
      <c r="M146" s="59"/>
    </row>
    <row r="147" spans="1:13" ht="15.75" x14ac:dyDescent="0.25">
      <c r="A147" s="59"/>
      <c r="B147" s="64"/>
      <c r="C147" s="76">
        <f t="shared" si="10"/>
        <v>123</v>
      </c>
      <c r="D147" s="77">
        <v>3227</v>
      </c>
      <c r="E147" s="78" t="s">
        <v>51</v>
      </c>
      <c r="F147" s="78"/>
      <c r="G147" s="79" t="s">
        <v>196</v>
      </c>
      <c r="H147" s="77" t="s">
        <v>64</v>
      </c>
      <c r="I147" s="80">
        <v>1</v>
      </c>
      <c r="J147" s="81">
        <v>134882</v>
      </c>
      <c r="K147" s="82">
        <f t="shared" si="11"/>
        <v>134882</v>
      </c>
      <c r="L147" s="65"/>
      <c r="M147" s="59"/>
    </row>
    <row r="148" spans="1:13" ht="15.75" x14ac:dyDescent="0.25">
      <c r="A148" s="59"/>
      <c r="B148" s="64"/>
      <c r="C148" s="76">
        <f t="shared" si="10"/>
        <v>124</v>
      </c>
      <c r="D148" s="77">
        <v>7537</v>
      </c>
      <c r="E148" s="78" t="s">
        <v>51</v>
      </c>
      <c r="F148" s="78"/>
      <c r="G148" s="79" t="s">
        <v>197</v>
      </c>
      <c r="H148" s="77" t="s">
        <v>68</v>
      </c>
      <c r="I148" s="80">
        <v>1</v>
      </c>
      <c r="J148" s="81">
        <v>1333008</v>
      </c>
      <c r="K148" s="82">
        <f t="shared" si="11"/>
        <v>1333008</v>
      </c>
      <c r="L148" s="65"/>
      <c r="M148" s="59"/>
    </row>
    <row r="149" spans="1:13" ht="15.75" x14ac:dyDescent="0.25">
      <c r="A149" s="59"/>
      <c r="B149" s="64"/>
      <c r="C149" s="76">
        <f t="shared" si="10"/>
        <v>125</v>
      </c>
      <c r="D149" s="77">
        <v>4420</v>
      </c>
      <c r="E149" s="78" t="s">
        <v>51</v>
      </c>
      <c r="F149" s="78"/>
      <c r="G149" s="79" t="s">
        <v>198</v>
      </c>
      <c r="H149" s="77" t="s">
        <v>68</v>
      </c>
      <c r="I149" s="80">
        <v>1</v>
      </c>
      <c r="J149" s="81">
        <v>134259</v>
      </c>
      <c r="K149" s="82">
        <f t="shared" si="11"/>
        <v>134259</v>
      </c>
      <c r="L149" s="65"/>
      <c r="M149" s="59"/>
    </row>
    <row r="150" spans="1:13" ht="15.75" x14ac:dyDescent="0.25">
      <c r="A150" s="59"/>
      <c r="B150" s="64"/>
      <c r="C150" s="76">
        <f t="shared" si="10"/>
        <v>126</v>
      </c>
      <c r="D150" s="77">
        <v>7535</v>
      </c>
      <c r="E150" s="78" t="s">
        <v>51</v>
      </c>
      <c r="F150" s="78"/>
      <c r="G150" s="79" t="s">
        <v>199</v>
      </c>
      <c r="H150" s="77" t="s">
        <v>68</v>
      </c>
      <c r="I150" s="80">
        <v>1</v>
      </c>
      <c r="J150" s="81">
        <v>3586882</v>
      </c>
      <c r="K150" s="82">
        <f t="shared" si="11"/>
        <v>3586882</v>
      </c>
      <c r="L150" s="65"/>
      <c r="M150" s="59"/>
    </row>
    <row r="151" spans="1:13" ht="28.5" x14ac:dyDescent="0.25">
      <c r="A151" s="59"/>
      <c r="B151" s="64"/>
      <c r="C151" s="76">
        <f t="shared" si="10"/>
        <v>127</v>
      </c>
      <c r="D151" s="77">
        <v>3024</v>
      </c>
      <c r="E151" s="78" t="s">
        <v>51</v>
      </c>
      <c r="F151" s="78"/>
      <c r="G151" s="79" t="s">
        <v>200</v>
      </c>
      <c r="H151" s="77" t="s">
        <v>57</v>
      </c>
      <c r="I151" s="80">
        <v>1</v>
      </c>
      <c r="J151" s="81">
        <v>146742</v>
      </c>
      <c r="K151" s="82">
        <f t="shared" si="11"/>
        <v>146742</v>
      </c>
      <c r="L151" s="65"/>
      <c r="M151" s="59"/>
    </row>
    <row r="152" spans="1:13" ht="28.5" x14ac:dyDescent="0.25">
      <c r="A152" s="59"/>
      <c r="B152" s="64"/>
      <c r="C152" s="76">
        <f t="shared" si="10"/>
        <v>128</v>
      </c>
      <c r="D152" s="77">
        <v>5412</v>
      </c>
      <c r="E152" s="78" t="s">
        <v>51</v>
      </c>
      <c r="F152" s="78"/>
      <c r="G152" s="79" t="s">
        <v>85</v>
      </c>
      <c r="H152" s="77" t="s">
        <v>57</v>
      </c>
      <c r="I152" s="80">
        <v>1</v>
      </c>
      <c r="J152" s="81">
        <v>156087</v>
      </c>
      <c r="K152" s="82">
        <f t="shared" si="11"/>
        <v>156087</v>
      </c>
      <c r="L152" s="65"/>
      <c r="M152" s="59"/>
    </row>
    <row r="153" spans="1:13" ht="42.75" x14ac:dyDescent="0.25">
      <c r="A153" s="59"/>
      <c r="B153" s="64"/>
      <c r="C153" s="76">
        <f t="shared" si="10"/>
        <v>129</v>
      </c>
      <c r="D153" s="77">
        <v>5186</v>
      </c>
      <c r="E153" s="78" t="s">
        <v>51</v>
      </c>
      <c r="F153" s="78"/>
      <c r="G153" s="79" t="s">
        <v>201</v>
      </c>
      <c r="H153" s="77" t="s">
        <v>68</v>
      </c>
      <c r="I153" s="80">
        <v>1</v>
      </c>
      <c r="J153" s="81">
        <v>446691</v>
      </c>
      <c r="K153" s="82">
        <f t="shared" si="11"/>
        <v>446691</v>
      </c>
      <c r="L153" s="65"/>
      <c r="M153" s="59"/>
    </row>
    <row r="154" spans="1:13" ht="15.75" x14ac:dyDescent="0.25">
      <c r="A154" s="59"/>
      <c r="B154" s="64"/>
      <c r="C154" s="76">
        <f t="shared" si="10"/>
        <v>130</v>
      </c>
      <c r="D154" s="77">
        <v>4899</v>
      </c>
      <c r="E154" s="78" t="s">
        <v>51</v>
      </c>
      <c r="F154" s="78"/>
      <c r="G154" s="79" t="s">
        <v>202</v>
      </c>
      <c r="H154" s="77" t="s">
        <v>68</v>
      </c>
      <c r="I154" s="80">
        <v>1</v>
      </c>
      <c r="J154" s="81">
        <v>238291</v>
      </c>
      <c r="K154" s="82">
        <f t="shared" si="11"/>
        <v>238291</v>
      </c>
      <c r="L154" s="65"/>
      <c r="M154" s="59"/>
    </row>
    <row r="155" spans="1:13" ht="15.75" x14ac:dyDescent="0.25">
      <c r="A155" s="59"/>
      <c r="B155" s="64"/>
      <c r="C155" s="76">
        <f t="shared" si="10"/>
        <v>131</v>
      </c>
      <c r="D155" s="77">
        <v>3602</v>
      </c>
      <c r="E155" s="78" t="s">
        <v>51</v>
      </c>
      <c r="F155" s="78"/>
      <c r="G155" s="79" t="s">
        <v>203</v>
      </c>
      <c r="H155" s="77" t="s">
        <v>68</v>
      </c>
      <c r="I155" s="80">
        <v>1</v>
      </c>
      <c r="J155" s="81">
        <v>112564</v>
      </c>
      <c r="K155" s="82">
        <f t="shared" si="11"/>
        <v>112564</v>
      </c>
      <c r="L155" s="65"/>
      <c r="M155" s="59"/>
    </row>
    <row r="156" spans="1:13" ht="15.75" x14ac:dyDescent="0.25">
      <c r="A156" s="59"/>
      <c r="B156" s="64"/>
      <c r="C156" s="76">
        <f t="shared" si="10"/>
        <v>132</v>
      </c>
      <c r="D156" s="77">
        <v>3305</v>
      </c>
      <c r="E156" s="78" t="s">
        <v>51</v>
      </c>
      <c r="F156" s="78"/>
      <c r="G156" s="79" t="s">
        <v>204</v>
      </c>
      <c r="H156" s="77" t="s">
        <v>68</v>
      </c>
      <c r="I156" s="80">
        <v>1</v>
      </c>
      <c r="J156" s="81">
        <v>254765</v>
      </c>
      <c r="K156" s="82">
        <f t="shared" si="11"/>
        <v>254765</v>
      </c>
      <c r="L156" s="65"/>
      <c r="M156" s="59"/>
    </row>
    <row r="157" spans="1:13" ht="15.75" x14ac:dyDescent="0.25">
      <c r="A157" s="59"/>
      <c r="B157" s="64"/>
      <c r="C157" s="76">
        <f t="shared" si="10"/>
        <v>133</v>
      </c>
      <c r="D157" s="77">
        <v>4422</v>
      </c>
      <c r="E157" s="78" t="s">
        <v>51</v>
      </c>
      <c r="F157" s="78"/>
      <c r="G157" s="79" t="s">
        <v>205</v>
      </c>
      <c r="H157" s="77" t="s">
        <v>68</v>
      </c>
      <c r="I157" s="80">
        <v>1</v>
      </c>
      <c r="J157" s="81">
        <v>234003</v>
      </c>
      <c r="K157" s="82">
        <f t="shared" si="11"/>
        <v>234003</v>
      </c>
      <c r="L157" s="65"/>
      <c r="M157" s="59"/>
    </row>
    <row r="158" spans="1:13" ht="15.75" x14ac:dyDescent="0.25">
      <c r="A158" s="59"/>
      <c r="B158" s="64"/>
      <c r="C158" s="76">
        <f t="shared" si="10"/>
        <v>134</v>
      </c>
      <c r="D158" s="77">
        <v>3282</v>
      </c>
      <c r="E158" s="78" t="s">
        <v>51</v>
      </c>
      <c r="F158" s="78"/>
      <c r="G158" s="79" t="s">
        <v>206</v>
      </c>
      <c r="H158" s="77" t="s">
        <v>68</v>
      </c>
      <c r="I158" s="80">
        <v>1</v>
      </c>
      <c r="J158" s="81">
        <v>367278</v>
      </c>
      <c r="K158" s="82">
        <f t="shared" si="11"/>
        <v>367278</v>
      </c>
      <c r="L158" s="65"/>
      <c r="M158" s="59"/>
    </row>
    <row r="159" spans="1:13" ht="15.75" x14ac:dyDescent="0.25">
      <c r="A159" s="59"/>
      <c r="B159" s="64"/>
      <c r="C159" s="76">
        <f t="shared" si="10"/>
        <v>135</v>
      </c>
      <c r="D159" s="77">
        <v>3293</v>
      </c>
      <c r="E159" s="78" t="s">
        <v>51</v>
      </c>
      <c r="F159" s="78"/>
      <c r="G159" s="79" t="s">
        <v>207</v>
      </c>
      <c r="H159" s="77" t="s">
        <v>68</v>
      </c>
      <c r="I159" s="80">
        <v>1</v>
      </c>
      <c r="J159" s="81">
        <v>303493</v>
      </c>
      <c r="K159" s="82">
        <f t="shared" si="11"/>
        <v>303493</v>
      </c>
      <c r="L159" s="65"/>
      <c r="M159" s="59"/>
    </row>
    <row r="160" spans="1:13" ht="28.5" x14ac:dyDescent="0.25">
      <c r="A160" s="59"/>
      <c r="B160" s="64"/>
      <c r="C160" s="76">
        <f t="shared" si="10"/>
        <v>136</v>
      </c>
      <c r="D160" s="77">
        <v>4402</v>
      </c>
      <c r="E160" s="78" t="s">
        <v>51</v>
      </c>
      <c r="F160" s="78"/>
      <c r="G160" s="79" t="s">
        <v>208</v>
      </c>
      <c r="H160" s="77" t="s">
        <v>68</v>
      </c>
      <c r="I160" s="80">
        <v>1</v>
      </c>
      <c r="J160" s="81">
        <v>1290967</v>
      </c>
      <c r="K160" s="82">
        <f t="shared" si="11"/>
        <v>1290967</v>
      </c>
      <c r="L160" s="65"/>
      <c r="M160" s="59"/>
    </row>
    <row r="161" spans="1:13" ht="15.75" x14ac:dyDescent="0.25">
      <c r="A161" s="59"/>
      <c r="B161" s="64"/>
      <c r="C161" s="76">
        <f t="shared" si="10"/>
        <v>137</v>
      </c>
      <c r="D161" s="77">
        <v>3239</v>
      </c>
      <c r="E161" s="78" t="s">
        <v>51</v>
      </c>
      <c r="F161" s="78"/>
      <c r="G161" s="79" t="s">
        <v>209</v>
      </c>
      <c r="H161" s="77" t="s">
        <v>64</v>
      </c>
      <c r="I161" s="80">
        <v>1</v>
      </c>
      <c r="J161" s="81">
        <v>38479</v>
      </c>
      <c r="K161" s="82">
        <f t="shared" si="11"/>
        <v>38479</v>
      </c>
      <c r="L161" s="65"/>
      <c r="M161" s="59"/>
    </row>
    <row r="162" spans="1:13" ht="15.75" x14ac:dyDescent="0.25">
      <c r="A162" s="59"/>
      <c r="B162" s="64"/>
      <c r="C162" s="76">
        <f t="shared" si="10"/>
        <v>138</v>
      </c>
      <c r="D162" s="77">
        <v>4262</v>
      </c>
      <c r="E162" s="78" t="s">
        <v>51</v>
      </c>
      <c r="F162" s="78"/>
      <c r="G162" s="79" t="s">
        <v>210</v>
      </c>
      <c r="H162" s="77" t="s">
        <v>57</v>
      </c>
      <c r="I162" s="80">
        <v>1</v>
      </c>
      <c r="J162" s="81">
        <v>6476</v>
      </c>
      <c r="K162" s="82">
        <f t="shared" si="11"/>
        <v>6476</v>
      </c>
      <c r="L162" s="65"/>
      <c r="M162" s="59"/>
    </row>
    <row r="163" spans="1:13" ht="15.75" x14ac:dyDescent="0.25">
      <c r="A163" s="59"/>
      <c r="B163" s="64"/>
      <c r="C163" s="76">
        <f t="shared" si="10"/>
        <v>139</v>
      </c>
      <c r="D163" s="77">
        <v>4138</v>
      </c>
      <c r="E163" s="78" t="s">
        <v>51</v>
      </c>
      <c r="F163" s="78"/>
      <c r="G163" s="79" t="s">
        <v>211</v>
      </c>
      <c r="H163" s="77" t="s">
        <v>68</v>
      </c>
      <c r="I163" s="80">
        <v>1</v>
      </c>
      <c r="J163" s="81">
        <v>214244</v>
      </c>
      <c r="K163" s="82">
        <f t="shared" si="11"/>
        <v>214244</v>
      </c>
      <c r="L163" s="65"/>
      <c r="M163" s="59"/>
    </row>
    <row r="164" spans="1:13" ht="15.75" x14ac:dyDescent="0.25">
      <c r="A164" s="59"/>
      <c r="B164" s="64"/>
      <c r="C164" s="76">
        <f t="shared" si="10"/>
        <v>140</v>
      </c>
      <c r="D164" s="77">
        <v>3687</v>
      </c>
      <c r="E164" s="78" t="s">
        <v>51</v>
      </c>
      <c r="F164" s="78"/>
      <c r="G164" s="79" t="s">
        <v>212</v>
      </c>
      <c r="H164" s="77" t="s">
        <v>68</v>
      </c>
      <c r="I164" s="80">
        <v>1</v>
      </c>
      <c r="J164" s="81">
        <v>267468</v>
      </c>
      <c r="K164" s="82">
        <f t="shared" si="11"/>
        <v>267468</v>
      </c>
      <c r="L164" s="65"/>
      <c r="M164" s="59"/>
    </row>
    <row r="165" spans="1:13" ht="15.75" x14ac:dyDescent="0.25">
      <c r="A165" s="59"/>
      <c r="B165" s="64"/>
      <c r="C165" s="76">
        <f t="shared" si="10"/>
        <v>141</v>
      </c>
      <c r="D165" s="77">
        <v>3601</v>
      </c>
      <c r="E165" s="78" t="s">
        <v>51</v>
      </c>
      <c r="F165" s="78"/>
      <c r="G165" s="79" t="s">
        <v>213</v>
      </c>
      <c r="H165" s="77" t="s">
        <v>68</v>
      </c>
      <c r="I165" s="80">
        <v>1</v>
      </c>
      <c r="J165" s="81">
        <v>78132</v>
      </c>
      <c r="K165" s="82">
        <f t="shared" si="11"/>
        <v>78132</v>
      </c>
      <c r="L165" s="65"/>
      <c r="M165" s="59"/>
    </row>
    <row r="166" spans="1:13" ht="28.5" x14ac:dyDescent="0.25">
      <c r="A166" s="59"/>
      <c r="B166" s="64"/>
      <c r="C166" s="76">
        <f t="shared" si="10"/>
        <v>142</v>
      </c>
      <c r="D166" s="77">
        <v>3325</v>
      </c>
      <c r="E166" s="78" t="s">
        <v>51</v>
      </c>
      <c r="F166" s="78"/>
      <c r="G166" s="79" t="s">
        <v>214</v>
      </c>
      <c r="H166" s="77" t="s">
        <v>68</v>
      </c>
      <c r="I166" s="80">
        <v>1</v>
      </c>
      <c r="J166" s="81">
        <v>3563225</v>
      </c>
      <c r="K166" s="82">
        <f t="shared" si="11"/>
        <v>3563225</v>
      </c>
      <c r="L166" s="65"/>
      <c r="M166" s="59"/>
    </row>
    <row r="167" spans="1:13" ht="15.75" x14ac:dyDescent="0.25">
      <c r="A167" s="59"/>
      <c r="B167" s="64"/>
      <c r="C167" s="76">
        <f t="shared" si="10"/>
        <v>143</v>
      </c>
      <c r="D167" s="77">
        <v>3226</v>
      </c>
      <c r="E167" s="78" t="s">
        <v>51</v>
      </c>
      <c r="F167" s="78"/>
      <c r="G167" s="79" t="s">
        <v>215</v>
      </c>
      <c r="H167" s="77" t="s">
        <v>64</v>
      </c>
      <c r="I167" s="80">
        <v>1</v>
      </c>
      <c r="J167" s="81">
        <v>64188</v>
      </c>
      <c r="K167" s="82">
        <f t="shared" si="11"/>
        <v>64188</v>
      </c>
      <c r="L167" s="65"/>
      <c r="M167" s="59"/>
    </row>
    <row r="168" spans="1:13" ht="42.75" x14ac:dyDescent="0.25">
      <c r="A168" s="59"/>
      <c r="B168" s="64"/>
      <c r="C168" s="76">
        <f t="shared" si="10"/>
        <v>144</v>
      </c>
      <c r="D168" s="77">
        <v>3017</v>
      </c>
      <c r="E168" s="78" t="s">
        <v>51</v>
      </c>
      <c r="F168" s="78"/>
      <c r="G168" s="79" t="s">
        <v>58</v>
      </c>
      <c r="H168" s="77" t="s">
        <v>57</v>
      </c>
      <c r="I168" s="80">
        <v>1</v>
      </c>
      <c r="J168" s="81">
        <v>45930</v>
      </c>
      <c r="K168" s="82">
        <f t="shared" si="11"/>
        <v>45930</v>
      </c>
      <c r="L168" s="65"/>
      <c r="M168" s="59"/>
    </row>
    <row r="169" spans="1:13" ht="16.5" thickBot="1" x14ac:dyDescent="0.3">
      <c r="A169" s="59"/>
      <c r="B169" s="64"/>
      <c r="C169" s="83" t="s">
        <v>54</v>
      </c>
      <c r="D169" s="97"/>
      <c r="E169" s="78" t="s">
        <v>51</v>
      </c>
      <c r="F169" s="98"/>
      <c r="G169" s="99"/>
      <c r="H169" s="97"/>
      <c r="I169" s="87"/>
      <c r="J169" s="100"/>
      <c r="K169" s="101">
        <f>SUM(K142:K168)</f>
        <v>15199925</v>
      </c>
      <c r="L169" s="65"/>
      <c r="M169" s="59"/>
    </row>
    <row r="170" spans="1:13" ht="16.5" thickBot="1" x14ac:dyDescent="0.3">
      <c r="A170" s="59"/>
      <c r="B170" s="64"/>
      <c r="C170" s="73" t="s">
        <v>216</v>
      </c>
      <c r="D170" s="74"/>
      <c r="E170" s="90"/>
      <c r="F170" s="90"/>
      <c r="G170" s="74"/>
      <c r="H170" s="74"/>
      <c r="I170" s="74"/>
      <c r="J170" s="74"/>
      <c r="K170" s="75"/>
      <c r="L170" s="65"/>
      <c r="M170" s="59"/>
    </row>
    <row r="171" spans="1:13" ht="128.25" x14ac:dyDescent="0.25">
      <c r="A171" s="59"/>
      <c r="B171" s="64"/>
      <c r="C171" s="76">
        <f>C168+1</f>
        <v>145</v>
      </c>
      <c r="D171" s="77">
        <v>8006</v>
      </c>
      <c r="E171" s="78" t="s">
        <v>51</v>
      </c>
      <c r="F171" s="78"/>
      <c r="G171" s="79" t="s">
        <v>217</v>
      </c>
      <c r="H171" s="77" t="s">
        <v>64</v>
      </c>
      <c r="I171" s="80">
        <v>1</v>
      </c>
      <c r="J171" s="81">
        <v>2471724</v>
      </c>
      <c r="K171" s="82">
        <f>ROUND(I171*J171,0)</f>
        <v>2471724</v>
      </c>
      <c r="L171" s="65"/>
      <c r="M171" s="59"/>
    </row>
    <row r="172" spans="1:13" ht="128.25" x14ac:dyDescent="0.25">
      <c r="A172" s="59"/>
      <c r="B172" s="64"/>
      <c r="C172" s="76">
        <f t="shared" ref="C172:C216" si="12">C171+1</f>
        <v>146</v>
      </c>
      <c r="D172" s="77">
        <v>8002</v>
      </c>
      <c r="E172" s="78" t="s">
        <v>51</v>
      </c>
      <c r="F172" s="78"/>
      <c r="G172" s="79" t="s">
        <v>218</v>
      </c>
      <c r="H172" s="77" t="s">
        <v>64</v>
      </c>
      <c r="I172" s="80">
        <v>1</v>
      </c>
      <c r="J172" s="81">
        <v>1511570</v>
      </c>
      <c r="K172" s="82">
        <f>ROUND(I172*J172,0)</f>
        <v>1511570</v>
      </c>
      <c r="L172" s="65"/>
      <c r="M172" s="59"/>
    </row>
    <row r="173" spans="1:13" ht="128.25" x14ac:dyDescent="0.25">
      <c r="A173" s="59"/>
      <c r="B173" s="64"/>
      <c r="C173" s="76">
        <f t="shared" si="12"/>
        <v>147</v>
      </c>
      <c r="D173" s="77">
        <v>8007</v>
      </c>
      <c r="E173" s="78" t="s">
        <v>51</v>
      </c>
      <c r="F173" s="78"/>
      <c r="G173" s="79" t="s">
        <v>219</v>
      </c>
      <c r="H173" s="77" t="s">
        <v>64</v>
      </c>
      <c r="I173" s="80">
        <v>1</v>
      </c>
      <c r="J173" s="81">
        <v>3036463</v>
      </c>
      <c r="K173" s="82">
        <f>ROUND(I173*J173,0)</f>
        <v>3036463</v>
      </c>
      <c r="L173" s="65"/>
      <c r="M173" s="59"/>
    </row>
    <row r="174" spans="1:13" ht="128.25" x14ac:dyDescent="0.25">
      <c r="A174" s="59"/>
      <c r="B174" s="64"/>
      <c r="C174" s="76">
        <f t="shared" si="12"/>
        <v>148</v>
      </c>
      <c r="D174" s="77">
        <v>8003</v>
      </c>
      <c r="E174" s="78" t="s">
        <v>51</v>
      </c>
      <c r="F174" s="78"/>
      <c r="G174" s="79" t="s">
        <v>220</v>
      </c>
      <c r="H174" s="77" t="s">
        <v>64</v>
      </c>
      <c r="I174" s="80">
        <v>1</v>
      </c>
      <c r="J174" s="81">
        <v>1669022</v>
      </c>
      <c r="K174" s="82">
        <f t="shared" ref="K174:K216" si="13">ROUND(I174*J174,0)</f>
        <v>1669022</v>
      </c>
      <c r="L174" s="65"/>
      <c r="M174" s="59"/>
    </row>
    <row r="175" spans="1:13" ht="128.25" x14ac:dyDescent="0.25">
      <c r="A175" s="59"/>
      <c r="B175" s="64"/>
      <c r="C175" s="76">
        <f t="shared" si="12"/>
        <v>149</v>
      </c>
      <c r="D175" s="77">
        <v>8008</v>
      </c>
      <c r="E175" s="78" t="s">
        <v>51</v>
      </c>
      <c r="F175" s="78"/>
      <c r="G175" s="79" t="s">
        <v>221</v>
      </c>
      <c r="H175" s="77" t="s">
        <v>64</v>
      </c>
      <c r="I175" s="80">
        <v>1</v>
      </c>
      <c r="J175" s="81">
        <v>3371550</v>
      </c>
      <c r="K175" s="82">
        <f t="shared" si="13"/>
        <v>3371550</v>
      </c>
      <c r="L175" s="65"/>
      <c r="M175" s="59"/>
    </row>
    <row r="176" spans="1:13" ht="128.25" x14ac:dyDescent="0.25">
      <c r="A176" s="59"/>
      <c r="B176" s="64"/>
      <c r="C176" s="76">
        <f t="shared" si="12"/>
        <v>150</v>
      </c>
      <c r="D176" s="77">
        <v>8004</v>
      </c>
      <c r="E176" s="78" t="s">
        <v>51</v>
      </c>
      <c r="F176" s="78"/>
      <c r="G176" s="79" t="s">
        <v>222</v>
      </c>
      <c r="H176" s="77" t="s">
        <v>64</v>
      </c>
      <c r="I176" s="80">
        <v>1</v>
      </c>
      <c r="J176" s="81">
        <v>1983270</v>
      </c>
      <c r="K176" s="82">
        <f t="shared" si="13"/>
        <v>1983270</v>
      </c>
      <c r="L176" s="65"/>
      <c r="M176" s="59"/>
    </row>
    <row r="177" spans="1:13" ht="114" x14ac:dyDescent="0.25">
      <c r="A177" s="59"/>
      <c r="B177" s="64"/>
      <c r="C177" s="76">
        <f t="shared" si="12"/>
        <v>151</v>
      </c>
      <c r="D177" s="77">
        <v>8001</v>
      </c>
      <c r="E177" s="78" t="s">
        <v>51</v>
      </c>
      <c r="F177" s="78"/>
      <c r="G177" s="79" t="s">
        <v>223</v>
      </c>
      <c r="H177" s="77" t="s">
        <v>64</v>
      </c>
      <c r="I177" s="80">
        <v>1</v>
      </c>
      <c r="J177" s="81">
        <v>1437451</v>
      </c>
      <c r="K177" s="82">
        <f t="shared" si="13"/>
        <v>1437451</v>
      </c>
      <c r="L177" s="65"/>
      <c r="M177" s="59"/>
    </row>
    <row r="178" spans="1:13" ht="128.25" x14ac:dyDescent="0.25">
      <c r="A178" s="59"/>
      <c r="B178" s="64"/>
      <c r="C178" s="76">
        <f t="shared" si="12"/>
        <v>152</v>
      </c>
      <c r="D178" s="77">
        <v>8005</v>
      </c>
      <c r="E178" s="78" t="s">
        <v>51</v>
      </c>
      <c r="F178" s="78"/>
      <c r="G178" s="79" t="s">
        <v>224</v>
      </c>
      <c r="H178" s="77" t="s">
        <v>64</v>
      </c>
      <c r="I178" s="80">
        <v>1</v>
      </c>
      <c r="J178" s="81">
        <v>2264802</v>
      </c>
      <c r="K178" s="82">
        <f t="shared" si="13"/>
        <v>2264802</v>
      </c>
      <c r="L178" s="65"/>
      <c r="M178" s="59"/>
    </row>
    <row r="179" spans="1:13" ht="15.75" x14ac:dyDescent="0.25">
      <c r="A179" s="59"/>
      <c r="B179" s="64"/>
      <c r="C179" s="76">
        <f t="shared" si="12"/>
        <v>153</v>
      </c>
      <c r="D179" s="77">
        <v>7888</v>
      </c>
      <c r="E179" s="78" t="s">
        <v>51</v>
      </c>
      <c r="F179" s="78"/>
      <c r="G179" s="79" t="s">
        <v>225</v>
      </c>
      <c r="H179" s="77" t="s">
        <v>68</v>
      </c>
      <c r="I179" s="80">
        <v>1</v>
      </c>
      <c r="J179" s="81">
        <v>243089</v>
      </c>
      <c r="K179" s="82">
        <f t="shared" si="13"/>
        <v>243089</v>
      </c>
      <c r="L179" s="65"/>
      <c r="M179" s="59"/>
    </row>
    <row r="180" spans="1:13" ht="28.5" x14ac:dyDescent="0.25">
      <c r="A180" s="59"/>
      <c r="B180" s="64"/>
      <c r="C180" s="76">
        <f t="shared" si="12"/>
        <v>154</v>
      </c>
      <c r="D180" s="77">
        <v>6161</v>
      </c>
      <c r="E180" s="78" t="s">
        <v>51</v>
      </c>
      <c r="F180" s="78"/>
      <c r="G180" s="79" t="s">
        <v>226</v>
      </c>
      <c r="H180" s="77" t="s">
        <v>64</v>
      </c>
      <c r="I180" s="80">
        <v>1</v>
      </c>
      <c r="J180" s="81">
        <v>14097</v>
      </c>
      <c r="K180" s="82">
        <f t="shared" si="13"/>
        <v>14097</v>
      </c>
      <c r="L180" s="65"/>
      <c r="M180" s="59"/>
    </row>
    <row r="181" spans="1:13" ht="28.5" x14ac:dyDescent="0.25">
      <c r="A181" s="59"/>
      <c r="B181" s="64"/>
      <c r="C181" s="76">
        <f t="shared" si="12"/>
        <v>155</v>
      </c>
      <c r="D181" s="77">
        <v>5891</v>
      </c>
      <c r="E181" s="78" t="s">
        <v>51</v>
      </c>
      <c r="F181" s="78"/>
      <c r="G181" s="79" t="s">
        <v>227</v>
      </c>
      <c r="H181" s="77" t="s">
        <v>57</v>
      </c>
      <c r="I181" s="80">
        <v>1</v>
      </c>
      <c r="J181" s="81">
        <v>3190</v>
      </c>
      <c r="K181" s="82">
        <f t="shared" si="13"/>
        <v>3190</v>
      </c>
      <c r="L181" s="65"/>
      <c r="M181" s="59"/>
    </row>
    <row r="182" spans="1:13" ht="28.5" x14ac:dyDescent="0.25">
      <c r="A182" s="59"/>
      <c r="B182" s="64"/>
      <c r="C182" s="76">
        <f t="shared" si="12"/>
        <v>156</v>
      </c>
      <c r="D182" s="77">
        <v>4908</v>
      </c>
      <c r="E182" s="78" t="s">
        <v>51</v>
      </c>
      <c r="F182" s="78"/>
      <c r="G182" s="79" t="s">
        <v>94</v>
      </c>
      <c r="H182" s="77" t="s">
        <v>57</v>
      </c>
      <c r="I182" s="80">
        <v>1</v>
      </c>
      <c r="J182" s="81">
        <v>109151</v>
      </c>
      <c r="K182" s="82">
        <f t="shared" si="13"/>
        <v>109151</v>
      </c>
      <c r="L182" s="65"/>
      <c r="M182" s="59"/>
    </row>
    <row r="183" spans="1:13" ht="28.5" x14ac:dyDescent="0.25">
      <c r="A183" s="59"/>
      <c r="B183" s="64"/>
      <c r="C183" s="76">
        <f t="shared" si="12"/>
        <v>157</v>
      </c>
      <c r="D183" s="77">
        <v>3044</v>
      </c>
      <c r="E183" s="78" t="s">
        <v>51</v>
      </c>
      <c r="F183" s="78"/>
      <c r="G183" s="79" t="s">
        <v>228</v>
      </c>
      <c r="H183" s="77" t="s">
        <v>64</v>
      </c>
      <c r="I183" s="80">
        <v>1</v>
      </c>
      <c r="J183" s="81">
        <v>134508</v>
      </c>
      <c r="K183" s="82">
        <f t="shared" si="13"/>
        <v>134508</v>
      </c>
      <c r="L183" s="65"/>
      <c r="M183" s="59"/>
    </row>
    <row r="184" spans="1:13" ht="15.75" x14ac:dyDescent="0.25">
      <c r="A184" s="59"/>
      <c r="B184" s="64"/>
      <c r="C184" s="76">
        <f t="shared" si="12"/>
        <v>158</v>
      </c>
      <c r="D184" s="77">
        <v>4606</v>
      </c>
      <c r="E184" s="78" t="s">
        <v>51</v>
      </c>
      <c r="F184" s="78"/>
      <c r="G184" s="79" t="s">
        <v>229</v>
      </c>
      <c r="H184" s="77" t="s">
        <v>53</v>
      </c>
      <c r="I184" s="80">
        <v>1</v>
      </c>
      <c r="J184" s="81">
        <v>27223</v>
      </c>
      <c r="K184" s="82">
        <f t="shared" si="13"/>
        <v>27223</v>
      </c>
      <c r="L184" s="65"/>
      <c r="M184" s="59"/>
    </row>
    <row r="185" spans="1:13" ht="57" x14ac:dyDescent="0.25">
      <c r="A185" s="59"/>
      <c r="B185" s="64"/>
      <c r="C185" s="76">
        <f t="shared" si="12"/>
        <v>159</v>
      </c>
      <c r="D185" s="77">
        <v>8643</v>
      </c>
      <c r="E185" s="78" t="s">
        <v>51</v>
      </c>
      <c r="F185" s="78"/>
      <c r="G185" s="79" t="s">
        <v>230</v>
      </c>
      <c r="H185" s="77" t="s">
        <v>231</v>
      </c>
      <c r="I185" s="80">
        <v>1</v>
      </c>
      <c r="J185" s="81">
        <v>50522</v>
      </c>
      <c r="K185" s="82">
        <f t="shared" si="13"/>
        <v>50522</v>
      </c>
      <c r="L185" s="65"/>
      <c r="M185" s="59"/>
    </row>
    <row r="186" spans="1:13" ht="15.75" x14ac:dyDescent="0.25">
      <c r="A186" s="59"/>
      <c r="B186" s="64"/>
      <c r="C186" s="76">
        <f t="shared" si="12"/>
        <v>160</v>
      </c>
      <c r="D186" s="77">
        <v>8350</v>
      </c>
      <c r="E186" s="78" t="s">
        <v>51</v>
      </c>
      <c r="F186" s="78"/>
      <c r="G186" s="79" t="s">
        <v>232</v>
      </c>
      <c r="H186" s="77" t="s">
        <v>68</v>
      </c>
      <c r="I186" s="80">
        <v>1</v>
      </c>
      <c r="J186" s="81">
        <v>225493</v>
      </c>
      <c r="K186" s="82">
        <f t="shared" si="13"/>
        <v>225493</v>
      </c>
      <c r="L186" s="65"/>
      <c r="M186" s="59"/>
    </row>
    <row r="187" spans="1:13" ht="28.5" x14ac:dyDescent="0.25">
      <c r="A187" s="59"/>
      <c r="B187" s="64"/>
      <c r="C187" s="76">
        <f t="shared" si="12"/>
        <v>161</v>
      </c>
      <c r="D187" s="77">
        <v>6185</v>
      </c>
      <c r="E187" s="78" t="s">
        <v>51</v>
      </c>
      <c r="F187" s="78"/>
      <c r="G187" s="79" t="s">
        <v>233</v>
      </c>
      <c r="H187" s="77" t="s">
        <v>68</v>
      </c>
      <c r="I187" s="80">
        <v>1</v>
      </c>
      <c r="J187" s="81">
        <v>841133</v>
      </c>
      <c r="K187" s="82">
        <f t="shared" si="13"/>
        <v>841133</v>
      </c>
      <c r="L187" s="65"/>
      <c r="M187" s="59"/>
    </row>
    <row r="188" spans="1:13" ht="28.5" x14ac:dyDescent="0.25">
      <c r="A188" s="59"/>
      <c r="B188" s="64"/>
      <c r="C188" s="76">
        <f t="shared" si="12"/>
        <v>162</v>
      </c>
      <c r="D188" s="77">
        <v>3924</v>
      </c>
      <c r="E188" s="78" t="s">
        <v>51</v>
      </c>
      <c r="F188" s="78"/>
      <c r="G188" s="79" t="s">
        <v>234</v>
      </c>
      <c r="H188" s="77" t="s">
        <v>64</v>
      </c>
      <c r="I188" s="80">
        <v>1</v>
      </c>
      <c r="J188" s="81">
        <v>2813246</v>
      </c>
      <c r="K188" s="82">
        <f t="shared" si="13"/>
        <v>2813246</v>
      </c>
      <c r="L188" s="65"/>
      <c r="M188" s="59"/>
    </row>
    <row r="189" spans="1:13" ht="28.5" x14ac:dyDescent="0.25">
      <c r="A189" s="59"/>
      <c r="B189" s="64"/>
      <c r="C189" s="76">
        <f t="shared" si="12"/>
        <v>163</v>
      </c>
      <c r="D189" s="77">
        <v>5412</v>
      </c>
      <c r="E189" s="78" t="s">
        <v>51</v>
      </c>
      <c r="F189" s="78"/>
      <c r="G189" s="79" t="s">
        <v>85</v>
      </c>
      <c r="H189" s="77" t="s">
        <v>57</v>
      </c>
      <c r="I189" s="80">
        <v>1</v>
      </c>
      <c r="J189" s="81">
        <v>156087</v>
      </c>
      <c r="K189" s="82">
        <f t="shared" si="13"/>
        <v>156087</v>
      </c>
      <c r="L189" s="65"/>
      <c r="M189" s="59"/>
    </row>
    <row r="190" spans="1:13" ht="15.75" x14ac:dyDescent="0.25">
      <c r="A190" s="59"/>
      <c r="B190" s="64"/>
      <c r="C190" s="76">
        <f t="shared" si="12"/>
        <v>164</v>
      </c>
      <c r="D190" s="77">
        <v>3723</v>
      </c>
      <c r="E190" s="78" t="s">
        <v>51</v>
      </c>
      <c r="F190" s="78"/>
      <c r="G190" s="79" t="s">
        <v>235</v>
      </c>
      <c r="H190" s="77" t="s">
        <v>68</v>
      </c>
      <c r="I190" s="80">
        <v>1</v>
      </c>
      <c r="J190" s="81">
        <v>107902</v>
      </c>
      <c r="K190" s="82">
        <f t="shared" si="13"/>
        <v>107902</v>
      </c>
      <c r="L190" s="65"/>
      <c r="M190" s="59"/>
    </row>
    <row r="191" spans="1:13" ht="28.5" x14ac:dyDescent="0.25">
      <c r="A191" s="59"/>
      <c r="B191" s="64"/>
      <c r="C191" s="76">
        <f t="shared" si="12"/>
        <v>165</v>
      </c>
      <c r="D191" s="77">
        <v>3724</v>
      </c>
      <c r="E191" s="78" t="s">
        <v>51</v>
      </c>
      <c r="F191" s="78"/>
      <c r="G191" s="79" t="s">
        <v>236</v>
      </c>
      <c r="H191" s="77" t="s">
        <v>68</v>
      </c>
      <c r="I191" s="80">
        <v>1</v>
      </c>
      <c r="J191" s="81">
        <v>107902</v>
      </c>
      <c r="K191" s="82">
        <f t="shared" si="13"/>
        <v>107902</v>
      </c>
      <c r="L191" s="65"/>
      <c r="M191" s="59"/>
    </row>
    <row r="192" spans="1:13" ht="15.75" x14ac:dyDescent="0.25">
      <c r="A192" s="59"/>
      <c r="B192" s="64"/>
      <c r="C192" s="76">
        <f t="shared" si="12"/>
        <v>166</v>
      </c>
      <c r="D192" s="77">
        <v>4144</v>
      </c>
      <c r="E192" s="78" t="s">
        <v>51</v>
      </c>
      <c r="F192" s="78"/>
      <c r="G192" s="79" t="s">
        <v>237</v>
      </c>
      <c r="H192" s="77" t="s">
        <v>64</v>
      </c>
      <c r="I192" s="80">
        <v>1</v>
      </c>
      <c r="J192" s="81">
        <v>100616</v>
      </c>
      <c r="K192" s="82">
        <f t="shared" si="13"/>
        <v>100616</v>
      </c>
      <c r="L192" s="65"/>
      <c r="M192" s="59"/>
    </row>
    <row r="193" spans="1:13" ht="28.5" x14ac:dyDescent="0.25">
      <c r="A193" s="59"/>
      <c r="B193" s="64"/>
      <c r="C193" s="76">
        <f t="shared" si="12"/>
        <v>167</v>
      </c>
      <c r="D193" s="77">
        <v>4792</v>
      </c>
      <c r="E193" s="78" t="s">
        <v>51</v>
      </c>
      <c r="F193" s="78"/>
      <c r="G193" s="79" t="s">
        <v>238</v>
      </c>
      <c r="H193" s="77" t="s">
        <v>57</v>
      </c>
      <c r="I193" s="80">
        <v>1</v>
      </c>
      <c r="J193" s="81">
        <v>102545</v>
      </c>
      <c r="K193" s="82">
        <f t="shared" si="13"/>
        <v>102545</v>
      </c>
      <c r="L193" s="65"/>
      <c r="M193" s="59"/>
    </row>
    <row r="194" spans="1:13" ht="15.75" x14ac:dyDescent="0.25">
      <c r="A194" s="59"/>
      <c r="B194" s="64"/>
      <c r="C194" s="76">
        <f t="shared" si="12"/>
        <v>168</v>
      </c>
      <c r="D194" s="77">
        <v>3776</v>
      </c>
      <c r="E194" s="78" t="s">
        <v>51</v>
      </c>
      <c r="F194" s="78"/>
      <c r="G194" s="79" t="s">
        <v>239</v>
      </c>
      <c r="H194" s="77" t="s">
        <v>53</v>
      </c>
      <c r="I194" s="80">
        <v>1</v>
      </c>
      <c r="J194" s="81">
        <v>48757</v>
      </c>
      <c r="K194" s="82">
        <f t="shared" si="13"/>
        <v>48757</v>
      </c>
      <c r="L194" s="65"/>
      <c r="M194" s="59"/>
    </row>
    <row r="195" spans="1:13" ht="28.5" x14ac:dyDescent="0.25">
      <c r="A195" s="59"/>
      <c r="B195" s="64"/>
      <c r="C195" s="76">
        <f t="shared" si="12"/>
        <v>169</v>
      </c>
      <c r="D195" s="77">
        <v>3922</v>
      </c>
      <c r="E195" s="78" t="s">
        <v>51</v>
      </c>
      <c r="F195" s="78"/>
      <c r="G195" s="79" t="s">
        <v>240</v>
      </c>
      <c r="H195" s="77" t="s">
        <v>64</v>
      </c>
      <c r="I195" s="80">
        <v>1</v>
      </c>
      <c r="J195" s="81">
        <v>1542886</v>
      </c>
      <c r="K195" s="82">
        <f t="shared" si="13"/>
        <v>1542886</v>
      </c>
      <c r="L195" s="65"/>
      <c r="M195" s="59"/>
    </row>
    <row r="196" spans="1:13" ht="15.75" x14ac:dyDescent="0.25">
      <c r="A196" s="59"/>
      <c r="B196" s="64"/>
      <c r="C196" s="76">
        <f t="shared" si="12"/>
        <v>170</v>
      </c>
      <c r="D196" s="77">
        <v>4266</v>
      </c>
      <c r="E196" s="78" t="s">
        <v>51</v>
      </c>
      <c r="F196" s="78"/>
      <c r="G196" s="79" t="s">
        <v>241</v>
      </c>
      <c r="H196" s="77" t="s">
        <v>57</v>
      </c>
      <c r="I196" s="80">
        <v>1</v>
      </c>
      <c r="J196" s="81">
        <v>62691</v>
      </c>
      <c r="K196" s="82">
        <f t="shared" si="13"/>
        <v>62691</v>
      </c>
      <c r="L196" s="65"/>
      <c r="M196" s="59"/>
    </row>
    <row r="197" spans="1:13" ht="28.5" x14ac:dyDescent="0.25">
      <c r="A197" s="59"/>
      <c r="B197" s="64"/>
      <c r="C197" s="76">
        <f t="shared" si="12"/>
        <v>171</v>
      </c>
      <c r="D197" s="77">
        <v>3920</v>
      </c>
      <c r="E197" s="78" t="s">
        <v>51</v>
      </c>
      <c r="F197" s="78"/>
      <c r="G197" s="79" t="s">
        <v>242</v>
      </c>
      <c r="H197" s="77" t="s">
        <v>64</v>
      </c>
      <c r="I197" s="80">
        <v>1</v>
      </c>
      <c r="J197" s="81">
        <v>939035</v>
      </c>
      <c r="K197" s="82">
        <f t="shared" si="13"/>
        <v>939035</v>
      </c>
      <c r="L197" s="65"/>
      <c r="M197" s="59"/>
    </row>
    <row r="198" spans="1:13" ht="15.75" x14ac:dyDescent="0.25">
      <c r="A198" s="59"/>
      <c r="B198" s="64"/>
      <c r="C198" s="76">
        <f t="shared" si="12"/>
        <v>172</v>
      </c>
      <c r="D198" s="77">
        <v>4262</v>
      </c>
      <c r="E198" s="78" t="s">
        <v>51</v>
      </c>
      <c r="F198" s="78"/>
      <c r="G198" s="79" t="s">
        <v>210</v>
      </c>
      <c r="H198" s="77" t="s">
        <v>57</v>
      </c>
      <c r="I198" s="80">
        <v>1</v>
      </c>
      <c r="J198" s="81">
        <v>6476</v>
      </c>
      <c r="K198" s="82">
        <f t="shared" si="13"/>
        <v>6476</v>
      </c>
      <c r="L198" s="65"/>
      <c r="M198" s="59"/>
    </row>
    <row r="199" spans="1:13" ht="28.5" x14ac:dyDescent="0.25">
      <c r="A199" s="59"/>
      <c r="B199" s="64"/>
      <c r="C199" s="76">
        <f t="shared" si="12"/>
        <v>173</v>
      </c>
      <c r="D199" s="77">
        <v>3881</v>
      </c>
      <c r="E199" s="78" t="s">
        <v>51</v>
      </c>
      <c r="F199" s="78"/>
      <c r="G199" s="79" t="s">
        <v>243</v>
      </c>
      <c r="H199" s="77" t="s">
        <v>68</v>
      </c>
      <c r="I199" s="80">
        <v>1</v>
      </c>
      <c r="J199" s="81">
        <v>464516</v>
      </c>
      <c r="K199" s="82">
        <f t="shared" si="13"/>
        <v>464516</v>
      </c>
      <c r="L199" s="65"/>
      <c r="M199" s="59"/>
    </row>
    <row r="200" spans="1:13" ht="28.5" x14ac:dyDescent="0.25">
      <c r="A200" s="59"/>
      <c r="B200" s="64"/>
      <c r="C200" s="76">
        <f t="shared" si="12"/>
        <v>174</v>
      </c>
      <c r="D200" s="77">
        <v>4158</v>
      </c>
      <c r="E200" s="78" t="s">
        <v>51</v>
      </c>
      <c r="F200" s="78"/>
      <c r="G200" s="79" t="s">
        <v>244</v>
      </c>
      <c r="H200" s="77" t="s">
        <v>57</v>
      </c>
      <c r="I200" s="80">
        <v>1</v>
      </c>
      <c r="J200" s="81">
        <v>190944</v>
      </c>
      <c r="K200" s="82">
        <f t="shared" si="13"/>
        <v>190944</v>
      </c>
      <c r="L200" s="65"/>
      <c r="M200" s="59"/>
    </row>
    <row r="201" spans="1:13" ht="28.5" x14ac:dyDescent="0.25">
      <c r="A201" s="59"/>
      <c r="B201" s="64"/>
      <c r="C201" s="76">
        <f t="shared" si="12"/>
        <v>175</v>
      </c>
      <c r="D201" s="77">
        <v>3880</v>
      </c>
      <c r="E201" s="78" t="s">
        <v>51</v>
      </c>
      <c r="F201" s="78"/>
      <c r="G201" s="79" t="s">
        <v>245</v>
      </c>
      <c r="H201" s="77" t="s">
        <v>68</v>
      </c>
      <c r="I201" s="80">
        <v>1</v>
      </c>
      <c r="J201" s="81">
        <v>724338</v>
      </c>
      <c r="K201" s="82">
        <f t="shared" si="13"/>
        <v>724338</v>
      </c>
      <c r="L201" s="65"/>
      <c r="M201" s="59"/>
    </row>
    <row r="202" spans="1:13" ht="15.75" x14ac:dyDescent="0.25">
      <c r="A202" s="59"/>
      <c r="B202" s="64"/>
      <c r="C202" s="76">
        <f t="shared" si="12"/>
        <v>176</v>
      </c>
      <c r="D202" s="77">
        <v>3879</v>
      </c>
      <c r="E202" s="78" t="s">
        <v>51</v>
      </c>
      <c r="F202" s="78"/>
      <c r="G202" s="79" t="s">
        <v>246</v>
      </c>
      <c r="H202" s="77" t="s">
        <v>68</v>
      </c>
      <c r="I202" s="80">
        <v>1</v>
      </c>
      <c r="J202" s="81">
        <v>1263294</v>
      </c>
      <c r="K202" s="82">
        <f t="shared" si="13"/>
        <v>1263294</v>
      </c>
      <c r="L202" s="65"/>
      <c r="M202" s="59"/>
    </row>
    <row r="203" spans="1:13" ht="28.5" x14ac:dyDescent="0.25">
      <c r="A203" s="59"/>
      <c r="B203" s="64"/>
      <c r="C203" s="76">
        <f t="shared" si="12"/>
        <v>177</v>
      </c>
      <c r="D203" s="77">
        <v>3878</v>
      </c>
      <c r="E203" s="78" t="s">
        <v>51</v>
      </c>
      <c r="F203" s="78"/>
      <c r="G203" s="79" t="s">
        <v>247</v>
      </c>
      <c r="H203" s="77" t="s">
        <v>68</v>
      </c>
      <c r="I203" s="80">
        <v>1</v>
      </c>
      <c r="J203" s="81">
        <v>1678628</v>
      </c>
      <c r="K203" s="82">
        <f t="shared" si="13"/>
        <v>1678628</v>
      </c>
      <c r="L203" s="65"/>
      <c r="M203" s="59"/>
    </row>
    <row r="204" spans="1:13" ht="28.5" x14ac:dyDescent="0.25">
      <c r="A204" s="59"/>
      <c r="B204" s="64"/>
      <c r="C204" s="76">
        <f t="shared" si="12"/>
        <v>178</v>
      </c>
      <c r="D204" s="77">
        <v>3779</v>
      </c>
      <c r="E204" s="78" t="s">
        <v>51</v>
      </c>
      <c r="F204" s="78"/>
      <c r="G204" s="79" t="s">
        <v>248</v>
      </c>
      <c r="H204" s="77" t="s">
        <v>68</v>
      </c>
      <c r="I204" s="80">
        <v>1</v>
      </c>
      <c r="J204" s="81">
        <v>535703</v>
      </c>
      <c r="K204" s="82">
        <f t="shared" si="13"/>
        <v>535703</v>
      </c>
      <c r="L204" s="65"/>
      <c r="M204" s="59"/>
    </row>
    <row r="205" spans="1:13" ht="28.5" x14ac:dyDescent="0.25">
      <c r="A205" s="59"/>
      <c r="B205" s="64"/>
      <c r="C205" s="76">
        <f t="shared" si="12"/>
        <v>179</v>
      </c>
      <c r="D205" s="77">
        <v>3716</v>
      </c>
      <c r="E205" s="78" t="s">
        <v>51</v>
      </c>
      <c r="F205" s="78"/>
      <c r="G205" s="79" t="s">
        <v>249</v>
      </c>
      <c r="H205" s="77" t="s">
        <v>68</v>
      </c>
      <c r="I205" s="80">
        <v>1</v>
      </c>
      <c r="J205" s="81">
        <v>1372107</v>
      </c>
      <c r="K205" s="82">
        <f t="shared" si="13"/>
        <v>1372107</v>
      </c>
      <c r="L205" s="65"/>
      <c r="M205" s="59"/>
    </row>
    <row r="206" spans="1:13" ht="28.5" x14ac:dyDescent="0.25">
      <c r="A206" s="59"/>
      <c r="B206" s="64"/>
      <c r="C206" s="76">
        <f t="shared" si="12"/>
        <v>180</v>
      </c>
      <c r="D206" s="77">
        <v>3471</v>
      </c>
      <c r="E206" s="78" t="s">
        <v>51</v>
      </c>
      <c r="F206" s="78"/>
      <c r="G206" s="79" t="s">
        <v>250</v>
      </c>
      <c r="H206" s="77" t="s">
        <v>64</v>
      </c>
      <c r="I206" s="80">
        <v>1</v>
      </c>
      <c r="J206" s="81">
        <v>764552</v>
      </c>
      <c r="K206" s="82">
        <f t="shared" si="13"/>
        <v>764552</v>
      </c>
      <c r="L206" s="65"/>
      <c r="M206" s="59"/>
    </row>
    <row r="207" spans="1:13" ht="28.5" x14ac:dyDescent="0.25">
      <c r="A207" s="59"/>
      <c r="B207" s="64"/>
      <c r="C207" s="76">
        <f t="shared" si="12"/>
        <v>181</v>
      </c>
      <c r="D207" s="77">
        <v>3436</v>
      </c>
      <c r="E207" s="78" t="s">
        <v>51</v>
      </c>
      <c r="F207" s="78"/>
      <c r="G207" s="79" t="s">
        <v>251</v>
      </c>
      <c r="H207" s="77" t="s">
        <v>57</v>
      </c>
      <c r="I207" s="80">
        <v>1</v>
      </c>
      <c r="J207" s="81">
        <v>121277</v>
      </c>
      <c r="K207" s="82">
        <f t="shared" si="13"/>
        <v>121277</v>
      </c>
      <c r="L207" s="65"/>
      <c r="M207" s="59"/>
    </row>
    <row r="208" spans="1:13" ht="15.75" x14ac:dyDescent="0.25">
      <c r="A208" s="59"/>
      <c r="B208" s="64"/>
      <c r="C208" s="76">
        <f t="shared" si="12"/>
        <v>182</v>
      </c>
      <c r="D208" s="77">
        <v>3229</v>
      </c>
      <c r="E208" s="78" t="s">
        <v>51</v>
      </c>
      <c r="F208" s="78"/>
      <c r="G208" s="79" t="s">
        <v>252</v>
      </c>
      <c r="H208" s="77" t="s">
        <v>64</v>
      </c>
      <c r="I208" s="80">
        <v>1</v>
      </c>
      <c r="J208" s="81">
        <v>346906</v>
      </c>
      <c r="K208" s="82">
        <f t="shared" si="13"/>
        <v>346906</v>
      </c>
      <c r="L208" s="65"/>
      <c r="M208" s="59"/>
    </row>
    <row r="209" spans="1:13" ht="28.5" x14ac:dyDescent="0.25">
      <c r="A209" s="59"/>
      <c r="B209" s="64"/>
      <c r="C209" s="76">
        <f t="shared" si="12"/>
        <v>183</v>
      </c>
      <c r="D209" s="77">
        <v>3050</v>
      </c>
      <c r="E209" s="78" t="s">
        <v>51</v>
      </c>
      <c r="F209" s="78"/>
      <c r="G209" s="79" t="s">
        <v>253</v>
      </c>
      <c r="H209" s="77" t="s">
        <v>57</v>
      </c>
      <c r="I209" s="80">
        <v>1</v>
      </c>
      <c r="J209" s="81">
        <v>40671</v>
      </c>
      <c r="K209" s="82">
        <f t="shared" si="13"/>
        <v>40671</v>
      </c>
      <c r="L209" s="65"/>
      <c r="M209" s="59"/>
    </row>
    <row r="210" spans="1:13" ht="28.5" x14ac:dyDescent="0.25">
      <c r="A210" s="59"/>
      <c r="B210" s="64"/>
      <c r="C210" s="76">
        <f t="shared" si="12"/>
        <v>184</v>
      </c>
      <c r="D210" s="77">
        <v>3048</v>
      </c>
      <c r="E210" s="78" t="s">
        <v>51</v>
      </c>
      <c r="F210" s="78"/>
      <c r="G210" s="79" t="s">
        <v>254</v>
      </c>
      <c r="H210" s="77" t="s">
        <v>64</v>
      </c>
      <c r="I210" s="80">
        <v>1</v>
      </c>
      <c r="J210" s="81">
        <v>447825</v>
      </c>
      <c r="K210" s="82">
        <f t="shared" si="13"/>
        <v>447825</v>
      </c>
      <c r="L210" s="65"/>
      <c r="M210" s="59"/>
    </row>
    <row r="211" spans="1:13" ht="28.5" x14ac:dyDescent="0.25">
      <c r="A211" s="59"/>
      <c r="B211" s="64"/>
      <c r="C211" s="76">
        <f t="shared" si="12"/>
        <v>185</v>
      </c>
      <c r="D211" s="77">
        <v>3046</v>
      </c>
      <c r="E211" s="78" t="s">
        <v>51</v>
      </c>
      <c r="F211" s="78"/>
      <c r="G211" s="79" t="s">
        <v>255</v>
      </c>
      <c r="H211" s="77" t="s">
        <v>64</v>
      </c>
      <c r="I211" s="80">
        <v>1</v>
      </c>
      <c r="J211" s="81">
        <v>271079</v>
      </c>
      <c r="K211" s="82">
        <f t="shared" si="13"/>
        <v>271079</v>
      </c>
      <c r="L211" s="65"/>
      <c r="M211" s="59"/>
    </row>
    <row r="212" spans="1:13" ht="28.5" x14ac:dyDescent="0.25">
      <c r="A212" s="59"/>
      <c r="B212" s="64"/>
      <c r="C212" s="76">
        <f t="shared" si="12"/>
        <v>186</v>
      </c>
      <c r="D212" s="77">
        <v>3045</v>
      </c>
      <c r="E212" s="78" t="s">
        <v>51</v>
      </c>
      <c r="F212" s="78"/>
      <c r="G212" s="79" t="s">
        <v>256</v>
      </c>
      <c r="H212" s="77" t="s">
        <v>64</v>
      </c>
      <c r="I212" s="80">
        <v>1</v>
      </c>
      <c r="J212" s="81">
        <v>153544</v>
      </c>
      <c r="K212" s="82">
        <f t="shared" si="13"/>
        <v>153544</v>
      </c>
      <c r="L212" s="65"/>
      <c r="M212" s="59"/>
    </row>
    <row r="213" spans="1:13" ht="28.5" x14ac:dyDescent="0.25">
      <c r="A213" s="59"/>
      <c r="B213" s="64"/>
      <c r="C213" s="76">
        <f t="shared" si="12"/>
        <v>187</v>
      </c>
      <c r="D213" s="77">
        <v>3043</v>
      </c>
      <c r="E213" s="78" t="s">
        <v>51</v>
      </c>
      <c r="F213" s="78"/>
      <c r="G213" s="79" t="s">
        <v>257</v>
      </c>
      <c r="H213" s="77" t="s">
        <v>64</v>
      </c>
      <c r="I213" s="80">
        <v>1</v>
      </c>
      <c r="J213" s="81">
        <v>94978</v>
      </c>
      <c r="K213" s="82">
        <f t="shared" si="13"/>
        <v>94978</v>
      </c>
      <c r="L213" s="65"/>
      <c r="M213" s="59"/>
    </row>
    <row r="214" spans="1:13" ht="28.5" x14ac:dyDescent="0.25">
      <c r="A214" s="59"/>
      <c r="B214" s="64"/>
      <c r="C214" s="76">
        <f t="shared" si="12"/>
        <v>188</v>
      </c>
      <c r="D214" s="77">
        <v>3024</v>
      </c>
      <c r="E214" s="78" t="s">
        <v>51</v>
      </c>
      <c r="F214" s="78"/>
      <c r="G214" s="79" t="s">
        <v>200</v>
      </c>
      <c r="H214" s="77" t="s">
        <v>57</v>
      </c>
      <c r="I214" s="80">
        <v>1</v>
      </c>
      <c r="J214" s="81">
        <v>146742</v>
      </c>
      <c r="K214" s="82">
        <f t="shared" si="13"/>
        <v>146742</v>
      </c>
      <c r="L214" s="65"/>
      <c r="M214" s="59"/>
    </row>
    <row r="215" spans="1:13" ht="42.75" x14ac:dyDescent="0.25">
      <c r="A215" s="59"/>
      <c r="B215" s="64"/>
      <c r="C215" s="76">
        <f t="shared" si="12"/>
        <v>189</v>
      </c>
      <c r="D215" s="77">
        <v>3017</v>
      </c>
      <c r="E215" s="78" t="s">
        <v>51</v>
      </c>
      <c r="F215" s="78"/>
      <c r="G215" s="79" t="s">
        <v>58</v>
      </c>
      <c r="H215" s="77" t="s">
        <v>57</v>
      </c>
      <c r="I215" s="80">
        <v>1</v>
      </c>
      <c r="J215" s="81">
        <v>45930</v>
      </c>
      <c r="K215" s="82">
        <f t="shared" si="13"/>
        <v>45930</v>
      </c>
      <c r="L215" s="65"/>
      <c r="M215" s="59"/>
    </row>
    <row r="216" spans="1:13" ht="15.75" x14ac:dyDescent="0.25">
      <c r="A216" s="59"/>
      <c r="B216" s="64"/>
      <c r="C216" s="76">
        <f t="shared" si="12"/>
        <v>190</v>
      </c>
      <c r="D216" s="77">
        <v>3009</v>
      </c>
      <c r="E216" s="78" t="s">
        <v>51</v>
      </c>
      <c r="F216" s="78"/>
      <c r="G216" s="79" t="s">
        <v>258</v>
      </c>
      <c r="H216" s="77" t="s">
        <v>57</v>
      </c>
      <c r="I216" s="80">
        <v>1</v>
      </c>
      <c r="J216" s="81">
        <v>48370</v>
      </c>
      <c r="K216" s="82">
        <f t="shared" si="13"/>
        <v>48370</v>
      </c>
      <c r="L216" s="65"/>
      <c r="M216" s="59"/>
    </row>
    <row r="217" spans="1:13" ht="16.5" thickBot="1" x14ac:dyDescent="0.3">
      <c r="A217" s="59"/>
      <c r="B217" s="64"/>
      <c r="C217" s="83" t="s">
        <v>54</v>
      </c>
      <c r="D217" s="97"/>
      <c r="E217" s="98"/>
      <c r="F217" s="98"/>
      <c r="G217" s="99"/>
      <c r="H217" s="97"/>
      <c r="I217" s="87"/>
      <c r="J217" s="100"/>
      <c r="K217" s="101">
        <f>SUM(K171:K216)</f>
        <v>34093805</v>
      </c>
      <c r="L217" s="65"/>
      <c r="M217" s="59"/>
    </row>
    <row r="218" spans="1:13" ht="16.5" thickBot="1" x14ac:dyDescent="0.3">
      <c r="A218" s="59"/>
      <c r="B218" s="64"/>
      <c r="C218" s="73" t="s">
        <v>259</v>
      </c>
      <c r="D218" s="74"/>
      <c r="E218" s="90"/>
      <c r="F218" s="90"/>
      <c r="G218" s="74"/>
      <c r="H218" s="74"/>
      <c r="I218" s="74"/>
      <c r="J218" s="74"/>
      <c r="K218" s="75"/>
      <c r="L218" s="65"/>
      <c r="M218" s="59"/>
    </row>
    <row r="219" spans="1:13" ht="15.75" x14ac:dyDescent="0.25">
      <c r="A219" s="59"/>
      <c r="B219" s="64"/>
      <c r="C219" s="76">
        <f>C216+1</f>
        <v>191</v>
      </c>
      <c r="D219" s="77">
        <v>4558</v>
      </c>
      <c r="E219" s="78" t="s">
        <v>51</v>
      </c>
      <c r="F219" s="78"/>
      <c r="G219" s="79" t="s">
        <v>260</v>
      </c>
      <c r="H219" s="77" t="s">
        <v>68</v>
      </c>
      <c r="I219" s="80">
        <v>1</v>
      </c>
      <c r="J219" s="81">
        <v>7273392</v>
      </c>
      <c r="K219" s="82">
        <f>ROUND(I219*J219,0)</f>
        <v>7273392</v>
      </c>
      <c r="L219" s="65"/>
      <c r="M219" s="59"/>
    </row>
    <row r="220" spans="1:13" ht="28.5" x14ac:dyDescent="0.25">
      <c r="A220" s="59"/>
      <c r="B220" s="64"/>
      <c r="C220" s="76">
        <f t="shared" ref="C220:C262" si="14">C219+1</f>
        <v>192</v>
      </c>
      <c r="D220" s="77">
        <v>7497</v>
      </c>
      <c r="E220" s="78" t="s">
        <v>51</v>
      </c>
      <c r="F220" s="78"/>
      <c r="G220" s="79" t="s">
        <v>261</v>
      </c>
      <c r="H220" s="77" t="s">
        <v>68</v>
      </c>
      <c r="I220" s="80">
        <v>1</v>
      </c>
      <c r="J220" s="81">
        <v>693835</v>
      </c>
      <c r="K220" s="82">
        <f>ROUND(I220*J220,0)</f>
        <v>693835</v>
      </c>
      <c r="L220" s="65"/>
      <c r="M220" s="59"/>
    </row>
    <row r="221" spans="1:13" ht="42.75" x14ac:dyDescent="0.25">
      <c r="A221" s="59"/>
      <c r="B221" s="64"/>
      <c r="C221" s="76">
        <f t="shared" si="14"/>
        <v>193</v>
      </c>
      <c r="D221" s="77">
        <v>4833</v>
      </c>
      <c r="E221" s="78" t="s">
        <v>51</v>
      </c>
      <c r="F221" s="78"/>
      <c r="G221" s="79" t="s">
        <v>262</v>
      </c>
      <c r="H221" s="77" t="s">
        <v>68</v>
      </c>
      <c r="I221" s="80">
        <v>1</v>
      </c>
      <c r="J221" s="81">
        <v>13816</v>
      </c>
      <c r="K221" s="82">
        <f t="shared" ref="K221:K262" si="15">ROUND(I221*J221,0)</f>
        <v>13816</v>
      </c>
      <c r="L221" s="65"/>
      <c r="M221" s="59"/>
    </row>
    <row r="222" spans="1:13" ht="15.75" x14ac:dyDescent="0.25">
      <c r="A222" s="59"/>
      <c r="B222" s="64"/>
      <c r="C222" s="76">
        <f t="shared" si="14"/>
        <v>194</v>
      </c>
      <c r="D222" s="77">
        <v>7888</v>
      </c>
      <c r="E222" s="78" t="s">
        <v>51</v>
      </c>
      <c r="F222" s="78"/>
      <c r="G222" s="79" t="s">
        <v>225</v>
      </c>
      <c r="H222" s="77" t="s">
        <v>68</v>
      </c>
      <c r="I222" s="80">
        <v>1</v>
      </c>
      <c r="J222" s="81">
        <v>243089</v>
      </c>
      <c r="K222" s="82">
        <f t="shared" si="15"/>
        <v>243089</v>
      </c>
      <c r="L222" s="65"/>
      <c r="M222" s="59"/>
    </row>
    <row r="223" spans="1:13" ht="15.75" x14ac:dyDescent="0.25">
      <c r="A223" s="59"/>
      <c r="B223" s="64"/>
      <c r="C223" s="76">
        <f t="shared" si="14"/>
        <v>195</v>
      </c>
      <c r="D223" s="77">
        <v>3776</v>
      </c>
      <c r="E223" s="78" t="s">
        <v>51</v>
      </c>
      <c r="F223" s="78"/>
      <c r="G223" s="79" t="s">
        <v>239</v>
      </c>
      <c r="H223" s="77" t="s">
        <v>53</v>
      </c>
      <c r="I223" s="80">
        <v>1</v>
      </c>
      <c r="J223" s="81">
        <v>48757</v>
      </c>
      <c r="K223" s="82">
        <f t="shared" si="15"/>
        <v>48757</v>
      </c>
      <c r="L223" s="65"/>
      <c r="M223" s="59"/>
    </row>
    <row r="224" spans="1:13" ht="15.75" x14ac:dyDescent="0.25">
      <c r="A224" s="59"/>
      <c r="B224" s="64"/>
      <c r="C224" s="76">
        <f t="shared" si="14"/>
        <v>196</v>
      </c>
      <c r="D224" s="77">
        <v>7865</v>
      </c>
      <c r="E224" s="78" t="s">
        <v>51</v>
      </c>
      <c r="F224" s="78"/>
      <c r="G224" s="79" t="s">
        <v>263</v>
      </c>
      <c r="H224" s="77" t="s">
        <v>68</v>
      </c>
      <c r="I224" s="80">
        <v>1</v>
      </c>
      <c r="J224" s="81">
        <v>206797</v>
      </c>
      <c r="K224" s="82">
        <f t="shared" si="15"/>
        <v>206797</v>
      </c>
      <c r="L224" s="65"/>
      <c r="M224" s="59"/>
    </row>
    <row r="225" spans="1:13" ht="28.5" x14ac:dyDescent="0.25">
      <c r="A225" s="59"/>
      <c r="B225" s="64"/>
      <c r="C225" s="76">
        <f t="shared" si="14"/>
        <v>197</v>
      </c>
      <c r="D225" s="77">
        <v>6161</v>
      </c>
      <c r="E225" s="78" t="s">
        <v>51</v>
      </c>
      <c r="F225" s="78"/>
      <c r="G225" s="79" t="s">
        <v>226</v>
      </c>
      <c r="H225" s="77" t="s">
        <v>64</v>
      </c>
      <c r="I225" s="80">
        <v>1</v>
      </c>
      <c r="J225" s="81">
        <v>14097</v>
      </c>
      <c r="K225" s="82">
        <f t="shared" si="15"/>
        <v>14097</v>
      </c>
      <c r="L225" s="65"/>
      <c r="M225" s="59"/>
    </row>
    <row r="226" spans="1:13" ht="28.5" x14ac:dyDescent="0.25">
      <c r="A226" s="59"/>
      <c r="B226" s="64"/>
      <c r="C226" s="76">
        <f t="shared" si="14"/>
        <v>198</v>
      </c>
      <c r="D226" s="77">
        <v>6449</v>
      </c>
      <c r="E226" s="78" t="s">
        <v>51</v>
      </c>
      <c r="F226" s="78"/>
      <c r="G226" s="79" t="s">
        <v>264</v>
      </c>
      <c r="H226" s="77" t="s">
        <v>68</v>
      </c>
      <c r="I226" s="80">
        <v>1</v>
      </c>
      <c r="J226" s="81">
        <v>606851</v>
      </c>
      <c r="K226" s="82">
        <f t="shared" si="15"/>
        <v>606851</v>
      </c>
      <c r="L226" s="65"/>
      <c r="M226" s="59"/>
    </row>
    <row r="227" spans="1:13" ht="28.5" x14ac:dyDescent="0.25">
      <c r="A227" s="59"/>
      <c r="B227" s="64"/>
      <c r="C227" s="76">
        <f t="shared" si="14"/>
        <v>199</v>
      </c>
      <c r="D227" s="77">
        <v>4908</v>
      </c>
      <c r="E227" s="78" t="s">
        <v>51</v>
      </c>
      <c r="F227" s="78"/>
      <c r="G227" s="79" t="s">
        <v>94</v>
      </c>
      <c r="H227" s="77" t="s">
        <v>57</v>
      </c>
      <c r="I227" s="80">
        <v>1</v>
      </c>
      <c r="J227" s="81">
        <v>109151</v>
      </c>
      <c r="K227" s="82">
        <f t="shared" si="15"/>
        <v>109151</v>
      </c>
      <c r="L227" s="65"/>
      <c r="M227" s="59"/>
    </row>
    <row r="228" spans="1:13" ht="28.5" x14ac:dyDescent="0.25">
      <c r="A228" s="59"/>
      <c r="B228" s="64"/>
      <c r="C228" s="76">
        <f t="shared" si="14"/>
        <v>200</v>
      </c>
      <c r="D228" s="77">
        <v>3883</v>
      </c>
      <c r="E228" s="78" t="s">
        <v>51</v>
      </c>
      <c r="F228" s="78"/>
      <c r="G228" s="79" t="s">
        <v>265</v>
      </c>
      <c r="H228" s="77" t="s">
        <v>68</v>
      </c>
      <c r="I228" s="80">
        <v>1</v>
      </c>
      <c r="J228" s="81">
        <v>4179106</v>
      </c>
      <c r="K228" s="82">
        <f t="shared" si="15"/>
        <v>4179106</v>
      </c>
      <c r="L228" s="65"/>
      <c r="M228" s="59"/>
    </row>
    <row r="229" spans="1:13" ht="28.5" x14ac:dyDescent="0.25">
      <c r="A229" s="59"/>
      <c r="B229" s="64"/>
      <c r="C229" s="76">
        <f t="shared" si="14"/>
        <v>201</v>
      </c>
      <c r="D229" s="77">
        <v>4786</v>
      </c>
      <c r="E229" s="78" t="s">
        <v>51</v>
      </c>
      <c r="F229" s="78"/>
      <c r="G229" s="79" t="s">
        <v>266</v>
      </c>
      <c r="H229" s="77" t="s">
        <v>64</v>
      </c>
      <c r="I229" s="80">
        <v>1</v>
      </c>
      <c r="J229" s="81">
        <v>482581</v>
      </c>
      <c r="K229" s="82">
        <f t="shared" si="15"/>
        <v>482581</v>
      </c>
      <c r="L229" s="65"/>
      <c r="M229" s="59"/>
    </row>
    <row r="230" spans="1:13" ht="28.5" x14ac:dyDescent="0.25">
      <c r="A230" s="59"/>
      <c r="B230" s="64"/>
      <c r="C230" s="76">
        <f t="shared" si="14"/>
        <v>202</v>
      </c>
      <c r="D230" s="77">
        <v>3881</v>
      </c>
      <c r="E230" s="78" t="s">
        <v>51</v>
      </c>
      <c r="F230" s="78"/>
      <c r="G230" s="79" t="s">
        <v>243</v>
      </c>
      <c r="H230" s="77" t="s">
        <v>68</v>
      </c>
      <c r="I230" s="80">
        <v>1</v>
      </c>
      <c r="J230" s="81">
        <v>464516</v>
      </c>
      <c r="K230" s="82">
        <f t="shared" si="15"/>
        <v>464516</v>
      </c>
      <c r="L230" s="65"/>
      <c r="M230" s="59"/>
    </row>
    <row r="231" spans="1:13" ht="28.5" x14ac:dyDescent="0.25">
      <c r="A231" s="59"/>
      <c r="B231" s="64"/>
      <c r="C231" s="76">
        <f t="shared" si="14"/>
        <v>203</v>
      </c>
      <c r="D231" s="77">
        <v>3044</v>
      </c>
      <c r="E231" s="78" t="s">
        <v>51</v>
      </c>
      <c r="F231" s="78"/>
      <c r="G231" s="79" t="s">
        <v>228</v>
      </c>
      <c r="H231" s="77" t="s">
        <v>64</v>
      </c>
      <c r="I231" s="80">
        <v>1</v>
      </c>
      <c r="J231" s="81">
        <v>134508</v>
      </c>
      <c r="K231" s="82">
        <f t="shared" si="15"/>
        <v>134508</v>
      </c>
      <c r="L231" s="65"/>
      <c r="M231" s="59"/>
    </row>
    <row r="232" spans="1:13" ht="28.5" x14ac:dyDescent="0.25">
      <c r="A232" s="59"/>
      <c r="B232" s="64"/>
      <c r="C232" s="76">
        <f t="shared" si="14"/>
        <v>204</v>
      </c>
      <c r="D232" s="77">
        <v>3919</v>
      </c>
      <c r="E232" s="78" t="s">
        <v>51</v>
      </c>
      <c r="F232" s="78"/>
      <c r="G232" s="79" t="s">
        <v>267</v>
      </c>
      <c r="H232" s="77" t="s">
        <v>64</v>
      </c>
      <c r="I232" s="80">
        <v>1</v>
      </c>
      <c r="J232" s="81">
        <v>791782</v>
      </c>
      <c r="K232" s="82">
        <f t="shared" si="15"/>
        <v>791782</v>
      </c>
      <c r="L232" s="65"/>
      <c r="M232" s="59"/>
    </row>
    <row r="233" spans="1:13" ht="28.5" x14ac:dyDescent="0.25">
      <c r="A233" s="59"/>
      <c r="B233" s="64"/>
      <c r="C233" s="76">
        <f t="shared" si="14"/>
        <v>205</v>
      </c>
      <c r="D233" s="77">
        <v>7435</v>
      </c>
      <c r="E233" s="78" t="s">
        <v>51</v>
      </c>
      <c r="F233" s="78"/>
      <c r="G233" s="79" t="s">
        <v>268</v>
      </c>
      <c r="H233" s="77" t="s">
        <v>64</v>
      </c>
      <c r="I233" s="80">
        <v>1</v>
      </c>
      <c r="J233" s="81">
        <v>2067657</v>
      </c>
      <c r="K233" s="82">
        <f t="shared" si="15"/>
        <v>2067657</v>
      </c>
      <c r="L233" s="65"/>
      <c r="M233" s="59"/>
    </row>
    <row r="234" spans="1:13" ht="28.5" x14ac:dyDescent="0.25">
      <c r="A234" s="59"/>
      <c r="B234" s="64"/>
      <c r="C234" s="76">
        <f t="shared" si="14"/>
        <v>206</v>
      </c>
      <c r="D234" s="77">
        <v>3048</v>
      </c>
      <c r="E234" s="78" t="s">
        <v>51</v>
      </c>
      <c r="F234" s="78"/>
      <c r="G234" s="79" t="s">
        <v>254</v>
      </c>
      <c r="H234" s="77" t="s">
        <v>64</v>
      </c>
      <c r="I234" s="80">
        <v>1</v>
      </c>
      <c r="J234" s="81">
        <v>447825</v>
      </c>
      <c r="K234" s="82">
        <f t="shared" si="15"/>
        <v>447825</v>
      </c>
      <c r="L234" s="65"/>
      <c r="M234" s="59"/>
    </row>
    <row r="235" spans="1:13" ht="57" x14ac:dyDescent="0.25">
      <c r="A235" s="59"/>
      <c r="B235" s="64"/>
      <c r="C235" s="76">
        <f t="shared" si="14"/>
        <v>207</v>
      </c>
      <c r="D235" s="77">
        <v>8643</v>
      </c>
      <c r="E235" s="78" t="s">
        <v>51</v>
      </c>
      <c r="F235" s="78"/>
      <c r="G235" s="79" t="s">
        <v>230</v>
      </c>
      <c r="H235" s="77" t="s">
        <v>231</v>
      </c>
      <c r="I235" s="80">
        <v>1</v>
      </c>
      <c r="J235" s="81">
        <v>50522</v>
      </c>
      <c r="K235" s="82">
        <f t="shared" si="15"/>
        <v>50522</v>
      </c>
      <c r="L235" s="65"/>
      <c r="M235" s="59"/>
    </row>
    <row r="236" spans="1:13" ht="28.5" x14ac:dyDescent="0.25">
      <c r="A236" s="59"/>
      <c r="B236" s="64"/>
      <c r="C236" s="76">
        <f t="shared" si="14"/>
        <v>208</v>
      </c>
      <c r="D236" s="77">
        <v>3151</v>
      </c>
      <c r="E236" s="78" t="s">
        <v>51</v>
      </c>
      <c r="F236" s="78"/>
      <c r="G236" s="79" t="s">
        <v>269</v>
      </c>
      <c r="H236" s="77" t="s">
        <v>68</v>
      </c>
      <c r="I236" s="80">
        <v>1</v>
      </c>
      <c r="J236" s="81">
        <v>3093808</v>
      </c>
      <c r="K236" s="82">
        <f t="shared" si="15"/>
        <v>3093808</v>
      </c>
      <c r="L236" s="65"/>
      <c r="M236" s="59"/>
    </row>
    <row r="237" spans="1:13" ht="15.75" x14ac:dyDescent="0.25">
      <c r="A237" s="59"/>
      <c r="B237" s="64"/>
      <c r="C237" s="76">
        <f t="shared" si="14"/>
        <v>209</v>
      </c>
      <c r="D237" s="77">
        <v>8350</v>
      </c>
      <c r="E237" s="78" t="s">
        <v>51</v>
      </c>
      <c r="F237" s="78"/>
      <c r="G237" s="79" t="s">
        <v>232</v>
      </c>
      <c r="H237" s="77" t="s">
        <v>68</v>
      </c>
      <c r="I237" s="80">
        <v>1</v>
      </c>
      <c r="J237" s="81">
        <v>225493</v>
      </c>
      <c r="K237" s="82">
        <f t="shared" si="15"/>
        <v>225493</v>
      </c>
      <c r="L237" s="65"/>
      <c r="M237" s="59"/>
    </row>
    <row r="238" spans="1:13" ht="28.5" x14ac:dyDescent="0.25">
      <c r="A238" s="59"/>
      <c r="B238" s="64"/>
      <c r="C238" s="76">
        <f t="shared" si="14"/>
        <v>210</v>
      </c>
      <c r="D238" s="77">
        <v>6538</v>
      </c>
      <c r="E238" s="78" t="s">
        <v>51</v>
      </c>
      <c r="F238" s="78"/>
      <c r="G238" s="79" t="s">
        <v>270</v>
      </c>
      <c r="H238" s="77" t="s">
        <v>64</v>
      </c>
      <c r="I238" s="80">
        <v>1</v>
      </c>
      <c r="J238" s="81">
        <v>277394</v>
      </c>
      <c r="K238" s="82">
        <f t="shared" si="15"/>
        <v>277394</v>
      </c>
      <c r="L238" s="65"/>
      <c r="M238" s="59"/>
    </row>
    <row r="239" spans="1:13" ht="28.5" x14ac:dyDescent="0.25">
      <c r="A239" s="59"/>
      <c r="B239" s="64"/>
      <c r="C239" s="76">
        <f t="shared" si="14"/>
        <v>211</v>
      </c>
      <c r="D239" s="77">
        <v>6185</v>
      </c>
      <c r="E239" s="78" t="s">
        <v>51</v>
      </c>
      <c r="F239" s="78"/>
      <c r="G239" s="79" t="s">
        <v>233</v>
      </c>
      <c r="H239" s="77" t="s">
        <v>68</v>
      </c>
      <c r="I239" s="80">
        <v>1</v>
      </c>
      <c r="J239" s="81">
        <v>841133</v>
      </c>
      <c r="K239" s="82">
        <f t="shared" si="15"/>
        <v>841133</v>
      </c>
      <c r="L239" s="65"/>
      <c r="M239" s="59"/>
    </row>
    <row r="240" spans="1:13" ht="28.5" x14ac:dyDescent="0.25">
      <c r="A240" s="59"/>
      <c r="B240" s="64"/>
      <c r="C240" s="76">
        <f t="shared" si="14"/>
        <v>212</v>
      </c>
      <c r="D240" s="77">
        <v>5412</v>
      </c>
      <c r="E240" s="78" t="s">
        <v>51</v>
      </c>
      <c r="F240" s="78"/>
      <c r="G240" s="79" t="s">
        <v>85</v>
      </c>
      <c r="H240" s="77" t="s">
        <v>57</v>
      </c>
      <c r="I240" s="80">
        <v>1</v>
      </c>
      <c r="J240" s="81">
        <v>156087</v>
      </c>
      <c r="K240" s="82">
        <f t="shared" si="15"/>
        <v>156087</v>
      </c>
      <c r="L240" s="65"/>
      <c r="M240" s="59"/>
    </row>
    <row r="241" spans="1:13" ht="28.5" x14ac:dyDescent="0.25">
      <c r="A241" s="59"/>
      <c r="B241" s="64"/>
      <c r="C241" s="76">
        <f t="shared" si="14"/>
        <v>213</v>
      </c>
      <c r="D241" s="77">
        <v>3043</v>
      </c>
      <c r="E241" s="78" t="s">
        <v>51</v>
      </c>
      <c r="F241" s="78"/>
      <c r="G241" s="79" t="s">
        <v>257</v>
      </c>
      <c r="H241" s="77" t="s">
        <v>64</v>
      </c>
      <c r="I241" s="80">
        <v>1</v>
      </c>
      <c r="J241" s="81">
        <v>94978</v>
      </c>
      <c r="K241" s="82">
        <f t="shared" si="15"/>
        <v>94978</v>
      </c>
      <c r="L241" s="65"/>
      <c r="M241" s="59"/>
    </row>
    <row r="242" spans="1:13" ht="28.5" x14ac:dyDescent="0.25">
      <c r="A242" s="59"/>
      <c r="B242" s="64"/>
      <c r="C242" s="76">
        <f t="shared" si="14"/>
        <v>214</v>
      </c>
      <c r="D242" s="77">
        <v>4792</v>
      </c>
      <c r="E242" s="78" t="s">
        <v>51</v>
      </c>
      <c r="F242" s="78"/>
      <c r="G242" s="79" t="s">
        <v>238</v>
      </c>
      <c r="H242" s="77" t="s">
        <v>57</v>
      </c>
      <c r="I242" s="80">
        <v>1</v>
      </c>
      <c r="J242" s="81">
        <v>102545</v>
      </c>
      <c r="K242" s="82">
        <f t="shared" si="15"/>
        <v>102545</v>
      </c>
      <c r="L242" s="65"/>
      <c r="M242" s="59"/>
    </row>
    <row r="243" spans="1:13" ht="15.75" x14ac:dyDescent="0.25">
      <c r="A243" s="59"/>
      <c r="B243" s="64"/>
      <c r="C243" s="76">
        <f t="shared" si="14"/>
        <v>215</v>
      </c>
      <c r="D243" s="77">
        <v>4266</v>
      </c>
      <c r="E243" s="78" t="s">
        <v>51</v>
      </c>
      <c r="F243" s="78"/>
      <c r="G243" s="79" t="s">
        <v>241</v>
      </c>
      <c r="H243" s="77" t="s">
        <v>57</v>
      </c>
      <c r="I243" s="80">
        <v>1</v>
      </c>
      <c r="J243" s="81">
        <v>62691</v>
      </c>
      <c r="K243" s="82">
        <f t="shared" si="15"/>
        <v>62691</v>
      </c>
      <c r="L243" s="65"/>
      <c r="M243" s="59"/>
    </row>
    <row r="244" spans="1:13" ht="15.75" x14ac:dyDescent="0.25">
      <c r="A244" s="59"/>
      <c r="B244" s="64"/>
      <c r="C244" s="76">
        <f t="shared" si="14"/>
        <v>216</v>
      </c>
      <c r="D244" s="77">
        <v>4262</v>
      </c>
      <c r="E244" s="78" t="s">
        <v>51</v>
      </c>
      <c r="F244" s="78"/>
      <c r="G244" s="79" t="s">
        <v>210</v>
      </c>
      <c r="H244" s="77" t="s">
        <v>57</v>
      </c>
      <c r="I244" s="80">
        <v>1</v>
      </c>
      <c r="J244" s="81">
        <v>6476</v>
      </c>
      <c r="K244" s="82">
        <f t="shared" si="15"/>
        <v>6476</v>
      </c>
      <c r="L244" s="65"/>
      <c r="M244" s="59"/>
    </row>
    <row r="245" spans="1:13" ht="28.5" x14ac:dyDescent="0.25">
      <c r="A245" s="59"/>
      <c r="B245" s="64"/>
      <c r="C245" s="76">
        <f t="shared" si="14"/>
        <v>217</v>
      </c>
      <c r="D245" s="77">
        <v>3920</v>
      </c>
      <c r="E245" s="78" t="s">
        <v>51</v>
      </c>
      <c r="F245" s="78"/>
      <c r="G245" s="79" t="s">
        <v>242</v>
      </c>
      <c r="H245" s="77" t="s">
        <v>64</v>
      </c>
      <c r="I245" s="80">
        <v>1</v>
      </c>
      <c r="J245" s="81">
        <v>939035</v>
      </c>
      <c r="K245" s="82">
        <f t="shared" si="15"/>
        <v>939035</v>
      </c>
      <c r="L245" s="65"/>
      <c r="M245" s="59"/>
    </row>
    <row r="246" spans="1:13" ht="28.5" x14ac:dyDescent="0.25">
      <c r="A246" s="59"/>
      <c r="B246" s="64"/>
      <c r="C246" s="76">
        <f t="shared" si="14"/>
        <v>218</v>
      </c>
      <c r="D246" s="77">
        <v>4158</v>
      </c>
      <c r="E246" s="78" t="s">
        <v>51</v>
      </c>
      <c r="F246" s="78"/>
      <c r="G246" s="79" t="s">
        <v>244</v>
      </c>
      <c r="H246" s="77" t="s">
        <v>57</v>
      </c>
      <c r="I246" s="80">
        <v>1</v>
      </c>
      <c r="J246" s="81">
        <v>190944</v>
      </c>
      <c r="K246" s="82">
        <f t="shared" si="15"/>
        <v>190944</v>
      </c>
      <c r="L246" s="65"/>
      <c r="M246" s="59"/>
    </row>
    <row r="247" spans="1:13" ht="15.75" x14ac:dyDescent="0.25">
      <c r="A247" s="59"/>
      <c r="B247" s="64"/>
      <c r="C247" s="76">
        <f t="shared" si="14"/>
        <v>219</v>
      </c>
      <c r="D247" s="77">
        <v>4144</v>
      </c>
      <c r="E247" s="78" t="s">
        <v>51</v>
      </c>
      <c r="F247" s="78"/>
      <c r="G247" s="79" t="s">
        <v>237</v>
      </c>
      <c r="H247" s="77" t="s">
        <v>64</v>
      </c>
      <c r="I247" s="80">
        <v>1</v>
      </c>
      <c r="J247" s="81">
        <v>100616</v>
      </c>
      <c r="K247" s="82">
        <f t="shared" si="15"/>
        <v>100616</v>
      </c>
      <c r="L247" s="65"/>
      <c r="M247" s="59"/>
    </row>
    <row r="248" spans="1:13" ht="28.5" x14ac:dyDescent="0.25">
      <c r="A248" s="59"/>
      <c r="B248" s="64"/>
      <c r="C248" s="76">
        <f t="shared" si="14"/>
        <v>220</v>
      </c>
      <c r="D248" s="77">
        <v>3471</v>
      </c>
      <c r="E248" s="78" t="s">
        <v>51</v>
      </c>
      <c r="F248" s="78"/>
      <c r="G248" s="79" t="s">
        <v>250</v>
      </c>
      <c r="H248" s="77" t="s">
        <v>64</v>
      </c>
      <c r="I248" s="80">
        <v>1</v>
      </c>
      <c r="J248" s="81">
        <v>764552</v>
      </c>
      <c r="K248" s="82">
        <f t="shared" si="15"/>
        <v>764552</v>
      </c>
      <c r="L248" s="65"/>
      <c r="M248" s="59"/>
    </row>
    <row r="249" spans="1:13" ht="28.5" x14ac:dyDescent="0.25">
      <c r="A249" s="59"/>
      <c r="B249" s="64"/>
      <c r="C249" s="76">
        <f t="shared" si="14"/>
        <v>221</v>
      </c>
      <c r="D249" s="77">
        <v>3922</v>
      </c>
      <c r="E249" s="78" t="s">
        <v>51</v>
      </c>
      <c r="F249" s="78"/>
      <c r="G249" s="79" t="s">
        <v>240</v>
      </c>
      <c r="H249" s="77" t="s">
        <v>64</v>
      </c>
      <c r="I249" s="80">
        <v>1</v>
      </c>
      <c r="J249" s="81">
        <v>1542886</v>
      </c>
      <c r="K249" s="82">
        <f t="shared" si="15"/>
        <v>1542886</v>
      </c>
      <c r="L249" s="65"/>
      <c r="M249" s="59"/>
    </row>
    <row r="250" spans="1:13" ht="28.5" x14ac:dyDescent="0.25">
      <c r="A250" s="59"/>
      <c r="B250" s="64"/>
      <c r="C250" s="76">
        <f t="shared" si="14"/>
        <v>222</v>
      </c>
      <c r="D250" s="77">
        <v>3880</v>
      </c>
      <c r="E250" s="78" t="s">
        <v>51</v>
      </c>
      <c r="F250" s="78"/>
      <c r="G250" s="79" t="s">
        <v>245</v>
      </c>
      <c r="H250" s="77" t="s">
        <v>68</v>
      </c>
      <c r="I250" s="80">
        <v>1</v>
      </c>
      <c r="J250" s="81">
        <v>724338</v>
      </c>
      <c r="K250" s="82">
        <f t="shared" si="15"/>
        <v>724338</v>
      </c>
      <c r="L250" s="65"/>
      <c r="M250" s="59"/>
    </row>
    <row r="251" spans="1:13" ht="15.75" x14ac:dyDescent="0.25">
      <c r="A251" s="59"/>
      <c r="B251" s="64"/>
      <c r="C251" s="76">
        <f t="shared" si="14"/>
        <v>223</v>
      </c>
      <c r="D251" s="77">
        <v>3879</v>
      </c>
      <c r="E251" s="78" t="s">
        <v>51</v>
      </c>
      <c r="F251" s="78"/>
      <c r="G251" s="79" t="s">
        <v>246</v>
      </c>
      <c r="H251" s="77" t="s">
        <v>68</v>
      </c>
      <c r="I251" s="80">
        <v>1</v>
      </c>
      <c r="J251" s="81">
        <v>1263294</v>
      </c>
      <c r="K251" s="82">
        <f t="shared" si="15"/>
        <v>1263294</v>
      </c>
      <c r="L251" s="65"/>
      <c r="M251" s="59"/>
    </row>
    <row r="252" spans="1:13" ht="28.5" x14ac:dyDescent="0.25">
      <c r="A252" s="59"/>
      <c r="B252" s="64"/>
      <c r="C252" s="76">
        <f t="shared" si="14"/>
        <v>224</v>
      </c>
      <c r="D252" s="77">
        <v>3878</v>
      </c>
      <c r="E252" s="78" t="s">
        <v>51</v>
      </c>
      <c r="F252" s="78"/>
      <c r="G252" s="79" t="s">
        <v>247</v>
      </c>
      <c r="H252" s="77" t="s">
        <v>68</v>
      </c>
      <c r="I252" s="80">
        <v>1</v>
      </c>
      <c r="J252" s="81">
        <v>1678628</v>
      </c>
      <c r="K252" s="82">
        <f t="shared" si="15"/>
        <v>1678628</v>
      </c>
      <c r="L252" s="65"/>
      <c r="M252" s="59"/>
    </row>
    <row r="253" spans="1:13" ht="28.5" x14ac:dyDescent="0.25">
      <c r="A253" s="59"/>
      <c r="B253" s="64"/>
      <c r="C253" s="76">
        <f t="shared" si="14"/>
        <v>225</v>
      </c>
      <c r="D253" s="77">
        <v>3779</v>
      </c>
      <c r="E253" s="78" t="s">
        <v>51</v>
      </c>
      <c r="F253" s="78"/>
      <c r="G253" s="79" t="s">
        <v>248</v>
      </c>
      <c r="H253" s="77" t="s">
        <v>68</v>
      </c>
      <c r="I253" s="80">
        <v>1</v>
      </c>
      <c r="J253" s="81">
        <v>535703</v>
      </c>
      <c r="K253" s="82">
        <f t="shared" si="15"/>
        <v>535703</v>
      </c>
      <c r="L253" s="65"/>
      <c r="M253" s="59"/>
    </row>
    <row r="254" spans="1:13" ht="28.5" x14ac:dyDescent="0.25">
      <c r="A254" s="59"/>
      <c r="B254" s="64"/>
      <c r="C254" s="76">
        <f t="shared" si="14"/>
        <v>226</v>
      </c>
      <c r="D254" s="77">
        <v>3716</v>
      </c>
      <c r="E254" s="78" t="s">
        <v>51</v>
      </c>
      <c r="F254" s="78"/>
      <c r="G254" s="79" t="s">
        <v>249</v>
      </c>
      <c r="H254" s="77" t="s">
        <v>68</v>
      </c>
      <c r="I254" s="80">
        <v>1</v>
      </c>
      <c r="J254" s="81">
        <v>1372107</v>
      </c>
      <c r="K254" s="82">
        <f t="shared" si="15"/>
        <v>1372107</v>
      </c>
      <c r="L254" s="65"/>
      <c r="M254" s="59"/>
    </row>
    <row r="255" spans="1:13" ht="28.5" x14ac:dyDescent="0.25">
      <c r="A255" s="59"/>
      <c r="B255" s="64"/>
      <c r="C255" s="76">
        <f t="shared" si="14"/>
        <v>227</v>
      </c>
      <c r="D255" s="77">
        <v>3047</v>
      </c>
      <c r="E255" s="78" t="s">
        <v>51</v>
      </c>
      <c r="F255" s="78"/>
      <c r="G255" s="79" t="s">
        <v>271</v>
      </c>
      <c r="H255" s="77" t="s">
        <v>64</v>
      </c>
      <c r="I255" s="80">
        <v>1</v>
      </c>
      <c r="J255" s="81">
        <v>346627</v>
      </c>
      <c r="K255" s="82">
        <f t="shared" si="15"/>
        <v>346627</v>
      </c>
      <c r="L255" s="65"/>
      <c r="M255" s="59"/>
    </row>
    <row r="256" spans="1:13" ht="28.5" x14ac:dyDescent="0.25">
      <c r="A256" s="59"/>
      <c r="B256" s="64"/>
      <c r="C256" s="76">
        <f t="shared" si="14"/>
        <v>228</v>
      </c>
      <c r="D256" s="77">
        <v>3436</v>
      </c>
      <c r="E256" s="78" t="s">
        <v>51</v>
      </c>
      <c r="F256" s="78"/>
      <c r="G256" s="79" t="s">
        <v>251</v>
      </c>
      <c r="H256" s="77" t="s">
        <v>57</v>
      </c>
      <c r="I256" s="80">
        <v>1</v>
      </c>
      <c r="J256" s="81">
        <v>121277</v>
      </c>
      <c r="K256" s="82">
        <f t="shared" si="15"/>
        <v>121277</v>
      </c>
      <c r="L256" s="65"/>
      <c r="M256" s="59"/>
    </row>
    <row r="257" spans="1:13" ht="28.5" x14ac:dyDescent="0.25">
      <c r="A257" s="59"/>
      <c r="B257" s="64"/>
      <c r="C257" s="76">
        <f t="shared" si="14"/>
        <v>229</v>
      </c>
      <c r="D257" s="77">
        <v>3046</v>
      </c>
      <c r="E257" s="78" t="s">
        <v>51</v>
      </c>
      <c r="F257" s="78"/>
      <c r="G257" s="79" t="s">
        <v>255</v>
      </c>
      <c r="H257" s="77" t="s">
        <v>64</v>
      </c>
      <c r="I257" s="80">
        <v>1</v>
      </c>
      <c r="J257" s="81">
        <v>271079</v>
      </c>
      <c r="K257" s="82">
        <f t="shared" si="15"/>
        <v>271079</v>
      </c>
      <c r="L257" s="65"/>
      <c r="M257" s="59"/>
    </row>
    <row r="258" spans="1:13" ht="28.5" x14ac:dyDescent="0.25">
      <c r="A258" s="59"/>
      <c r="B258" s="64"/>
      <c r="C258" s="76">
        <f t="shared" si="14"/>
        <v>230</v>
      </c>
      <c r="D258" s="77">
        <v>3050</v>
      </c>
      <c r="E258" s="78" t="s">
        <v>51</v>
      </c>
      <c r="F258" s="78"/>
      <c r="G258" s="79" t="s">
        <v>253</v>
      </c>
      <c r="H258" s="77" t="s">
        <v>57</v>
      </c>
      <c r="I258" s="80">
        <v>1</v>
      </c>
      <c r="J258" s="81">
        <v>40671</v>
      </c>
      <c r="K258" s="82">
        <f t="shared" si="15"/>
        <v>40671</v>
      </c>
      <c r="L258" s="65"/>
      <c r="M258" s="59"/>
    </row>
    <row r="259" spans="1:13" ht="28.5" x14ac:dyDescent="0.25">
      <c r="A259" s="59"/>
      <c r="B259" s="64"/>
      <c r="C259" s="76">
        <f t="shared" si="14"/>
        <v>231</v>
      </c>
      <c r="D259" s="77">
        <v>3045</v>
      </c>
      <c r="E259" s="78" t="s">
        <v>51</v>
      </c>
      <c r="F259" s="78"/>
      <c r="G259" s="79" t="s">
        <v>256</v>
      </c>
      <c r="H259" s="77" t="s">
        <v>64</v>
      </c>
      <c r="I259" s="80">
        <v>1</v>
      </c>
      <c r="J259" s="81">
        <v>153544</v>
      </c>
      <c r="K259" s="82">
        <f t="shared" si="15"/>
        <v>153544</v>
      </c>
      <c r="L259" s="65"/>
      <c r="M259" s="59"/>
    </row>
    <row r="260" spans="1:13" ht="28.5" x14ac:dyDescent="0.25">
      <c r="A260" s="59"/>
      <c r="B260" s="64"/>
      <c r="C260" s="76">
        <f t="shared" si="14"/>
        <v>232</v>
      </c>
      <c r="D260" s="77">
        <v>3024</v>
      </c>
      <c r="E260" s="78" t="s">
        <v>51</v>
      </c>
      <c r="F260" s="78"/>
      <c r="G260" s="79" t="s">
        <v>200</v>
      </c>
      <c r="H260" s="77" t="s">
        <v>57</v>
      </c>
      <c r="I260" s="80">
        <v>1</v>
      </c>
      <c r="J260" s="81">
        <v>146742</v>
      </c>
      <c r="K260" s="82">
        <f t="shared" si="15"/>
        <v>146742</v>
      </c>
      <c r="L260" s="65"/>
      <c r="M260" s="59"/>
    </row>
    <row r="261" spans="1:13" ht="42.75" x14ac:dyDescent="0.25">
      <c r="A261" s="59"/>
      <c r="B261" s="64"/>
      <c r="C261" s="76">
        <f t="shared" si="14"/>
        <v>233</v>
      </c>
      <c r="D261" s="77">
        <v>3017</v>
      </c>
      <c r="E261" s="78" t="s">
        <v>51</v>
      </c>
      <c r="F261" s="78"/>
      <c r="G261" s="79" t="s">
        <v>58</v>
      </c>
      <c r="H261" s="77" t="s">
        <v>57</v>
      </c>
      <c r="I261" s="80">
        <v>1</v>
      </c>
      <c r="J261" s="81">
        <v>45930</v>
      </c>
      <c r="K261" s="82">
        <f t="shared" si="15"/>
        <v>45930</v>
      </c>
      <c r="L261" s="65"/>
      <c r="M261" s="59"/>
    </row>
    <row r="262" spans="1:13" ht="15.75" x14ac:dyDescent="0.25">
      <c r="A262" s="59"/>
      <c r="B262" s="64"/>
      <c r="C262" s="76">
        <f t="shared" si="14"/>
        <v>234</v>
      </c>
      <c r="D262" s="77">
        <v>3009</v>
      </c>
      <c r="E262" s="78" t="s">
        <v>51</v>
      </c>
      <c r="F262" s="78"/>
      <c r="G262" s="79" t="s">
        <v>258</v>
      </c>
      <c r="H262" s="77" t="s">
        <v>57</v>
      </c>
      <c r="I262" s="80">
        <v>1</v>
      </c>
      <c r="J262" s="81">
        <v>48370</v>
      </c>
      <c r="K262" s="82">
        <f t="shared" si="15"/>
        <v>48370</v>
      </c>
      <c r="L262" s="65"/>
      <c r="M262" s="59"/>
    </row>
    <row r="263" spans="1:13" ht="16.5" thickBot="1" x14ac:dyDescent="0.3">
      <c r="A263" s="59"/>
      <c r="B263" s="64"/>
      <c r="C263" s="83" t="s">
        <v>54</v>
      </c>
      <c r="D263" s="97"/>
      <c r="E263" s="98"/>
      <c r="F263" s="98"/>
      <c r="G263" s="99"/>
      <c r="H263" s="97"/>
      <c r="I263" s="87"/>
      <c r="J263" s="100"/>
      <c r="K263" s="101">
        <f>SUM(K219:K262)</f>
        <v>32975230</v>
      </c>
      <c r="L263" s="65"/>
      <c r="M263" s="59"/>
    </row>
    <row r="264" spans="1:13" ht="16.5" thickBot="1" x14ac:dyDescent="0.3">
      <c r="A264" s="59"/>
      <c r="B264" s="64"/>
      <c r="C264" s="73" t="s">
        <v>272</v>
      </c>
      <c r="D264" s="74"/>
      <c r="E264" s="90"/>
      <c r="F264" s="90"/>
      <c r="G264" s="74"/>
      <c r="H264" s="74"/>
      <c r="I264" s="74"/>
      <c r="J264" s="74"/>
      <c r="K264" s="75"/>
      <c r="L264" s="65"/>
      <c r="M264" s="59"/>
    </row>
    <row r="265" spans="1:13" ht="15.75" x14ac:dyDescent="0.25">
      <c r="A265" s="59"/>
      <c r="B265" s="64"/>
      <c r="C265" s="76">
        <f>C262+1</f>
        <v>235</v>
      </c>
      <c r="D265" s="77">
        <v>4328</v>
      </c>
      <c r="E265" s="78" t="s">
        <v>51</v>
      </c>
      <c r="F265" s="78"/>
      <c r="G265" s="79" t="s">
        <v>273</v>
      </c>
      <c r="H265" s="77" t="s">
        <v>68</v>
      </c>
      <c r="I265" s="80">
        <v>1</v>
      </c>
      <c r="J265" s="81">
        <v>4118362</v>
      </c>
      <c r="K265" s="82">
        <f t="shared" ref="K265:K270" si="16">ROUND(I265*J265,0)</f>
        <v>4118362</v>
      </c>
      <c r="L265" s="65"/>
      <c r="M265" s="59"/>
    </row>
    <row r="266" spans="1:13" ht="15.75" x14ac:dyDescent="0.25">
      <c r="A266" s="59"/>
      <c r="B266" s="64"/>
      <c r="C266" s="76">
        <f>C265+1</f>
        <v>236</v>
      </c>
      <c r="D266" s="77">
        <v>4326</v>
      </c>
      <c r="E266" s="78" t="s">
        <v>51</v>
      </c>
      <c r="F266" s="78"/>
      <c r="G266" s="79" t="s">
        <v>274</v>
      </c>
      <c r="H266" s="77" t="s">
        <v>68</v>
      </c>
      <c r="I266" s="80">
        <v>1</v>
      </c>
      <c r="J266" s="81">
        <v>7398031</v>
      </c>
      <c r="K266" s="82">
        <f t="shared" si="16"/>
        <v>7398031</v>
      </c>
      <c r="L266" s="65"/>
      <c r="M266" s="59"/>
    </row>
    <row r="267" spans="1:13" ht="57" x14ac:dyDescent="0.25">
      <c r="A267" s="59"/>
      <c r="B267" s="64"/>
      <c r="C267" s="76">
        <f>C266+1</f>
        <v>237</v>
      </c>
      <c r="D267" s="77">
        <v>9032</v>
      </c>
      <c r="E267" s="78" t="s">
        <v>51</v>
      </c>
      <c r="F267" s="78"/>
      <c r="G267" s="79" t="s">
        <v>275</v>
      </c>
      <c r="H267" s="77" t="s">
        <v>68</v>
      </c>
      <c r="I267" s="80">
        <v>1</v>
      </c>
      <c r="J267" s="81">
        <v>3972504</v>
      </c>
      <c r="K267" s="82">
        <f t="shared" si="16"/>
        <v>3972504</v>
      </c>
      <c r="L267" s="65"/>
      <c r="M267" s="59"/>
    </row>
    <row r="268" spans="1:13" ht="28.5" x14ac:dyDescent="0.25">
      <c r="A268" s="59"/>
      <c r="B268" s="64"/>
      <c r="C268" s="76">
        <f>C267+1</f>
        <v>238</v>
      </c>
      <c r="D268" s="77">
        <v>3411</v>
      </c>
      <c r="E268" s="78" t="s">
        <v>51</v>
      </c>
      <c r="F268" s="78"/>
      <c r="G268" s="79" t="s">
        <v>276</v>
      </c>
      <c r="H268" s="77" t="s">
        <v>68</v>
      </c>
      <c r="I268" s="80">
        <v>1</v>
      </c>
      <c r="J268" s="81">
        <v>9170758</v>
      </c>
      <c r="K268" s="82">
        <f t="shared" si="16"/>
        <v>9170758</v>
      </c>
      <c r="L268" s="65"/>
      <c r="M268" s="59"/>
    </row>
    <row r="269" spans="1:13" ht="28.5" x14ac:dyDescent="0.25">
      <c r="A269" s="59"/>
      <c r="B269" s="64"/>
      <c r="C269" s="76">
        <f>C268+1</f>
        <v>239</v>
      </c>
      <c r="D269" s="77">
        <v>7653</v>
      </c>
      <c r="E269" s="78" t="s">
        <v>51</v>
      </c>
      <c r="F269" s="78"/>
      <c r="G269" s="79" t="s">
        <v>277</v>
      </c>
      <c r="H269" s="77" t="s">
        <v>68</v>
      </c>
      <c r="I269" s="80">
        <v>1</v>
      </c>
      <c r="J269" s="81">
        <v>386260</v>
      </c>
      <c r="K269" s="82">
        <f t="shared" si="16"/>
        <v>386260</v>
      </c>
      <c r="L269" s="65"/>
      <c r="M269" s="59"/>
    </row>
    <row r="270" spans="1:13" ht="42.75" x14ac:dyDescent="0.25">
      <c r="A270" s="59"/>
      <c r="B270" s="64"/>
      <c r="C270" s="76">
        <f>C269+1</f>
        <v>240</v>
      </c>
      <c r="D270" s="77">
        <v>4133</v>
      </c>
      <c r="E270" s="78" t="s">
        <v>51</v>
      </c>
      <c r="F270" s="78"/>
      <c r="G270" s="79" t="s">
        <v>278</v>
      </c>
      <c r="H270" s="77" t="s">
        <v>68</v>
      </c>
      <c r="I270" s="80">
        <v>1</v>
      </c>
      <c r="J270" s="81">
        <v>2138338</v>
      </c>
      <c r="K270" s="82">
        <f t="shared" si="16"/>
        <v>2138338</v>
      </c>
      <c r="L270" s="65"/>
      <c r="M270" s="59"/>
    </row>
    <row r="271" spans="1:13" ht="16.5" thickBot="1" x14ac:dyDescent="0.3">
      <c r="A271" s="59"/>
      <c r="B271" s="64"/>
      <c r="C271" s="83" t="s">
        <v>54</v>
      </c>
      <c r="D271" s="97"/>
      <c r="E271" s="98"/>
      <c r="F271" s="98"/>
      <c r="G271" s="99"/>
      <c r="H271" s="97"/>
      <c r="I271" s="87"/>
      <c r="J271" s="100"/>
      <c r="K271" s="101">
        <f>SUM(K265:K270)</f>
        <v>27184253</v>
      </c>
      <c r="L271" s="65"/>
      <c r="M271" s="59"/>
    </row>
    <row r="272" spans="1:13" ht="16.5" thickBot="1" x14ac:dyDescent="0.3">
      <c r="A272" s="59"/>
      <c r="B272" s="64"/>
      <c r="C272" s="73" t="s">
        <v>279</v>
      </c>
      <c r="D272" s="74"/>
      <c r="E272" s="90"/>
      <c r="F272" s="90"/>
      <c r="G272" s="74"/>
      <c r="H272" s="74"/>
      <c r="I272" s="74"/>
      <c r="J272" s="74"/>
      <c r="K272" s="75"/>
      <c r="L272" s="65"/>
      <c r="M272" s="59"/>
    </row>
    <row r="273" spans="1:13" ht="28.5" x14ac:dyDescent="0.25">
      <c r="A273" s="59"/>
      <c r="B273" s="64"/>
      <c r="C273" s="76">
        <f>C270+1</f>
        <v>241</v>
      </c>
      <c r="D273" s="77">
        <v>7503</v>
      </c>
      <c r="E273" s="78" t="s">
        <v>51</v>
      </c>
      <c r="F273" s="78"/>
      <c r="G273" s="79" t="s">
        <v>280</v>
      </c>
      <c r="H273" s="77" t="s">
        <v>68</v>
      </c>
      <c r="I273" s="80">
        <v>1</v>
      </c>
      <c r="J273" s="81">
        <v>704858</v>
      </c>
      <c r="K273" s="82">
        <f>ROUND(I273*J273,0)</f>
        <v>704858</v>
      </c>
      <c r="L273" s="65"/>
      <c r="M273" s="59"/>
    </row>
    <row r="274" spans="1:13" ht="28.5" x14ac:dyDescent="0.25">
      <c r="A274" s="59"/>
      <c r="B274" s="64"/>
      <c r="C274" s="76">
        <f t="shared" ref="C274:C287" si="17">C273+1</f>
        <v>242</v>
      </c>
      <c r="D274" s="77">
        <v>6032</v>
      </c>
      <c r="E274" s="78" t="s">
        <v>51</v>
      </c>
      <c r="F274" s="78"/>
      <c r="G274" s="79" t="s">
        <v>281</v>
      </c>
      <c r="H274" s="77" t="s">
        <v>68</v>
      </c>
      <c r="I274" s="80">
        <v>1</v>
      </c>
      <c r="J274" s="81">
        <v>493049</v>
      </c>
      <c r="K274" s="82">
        <f>ROUND(I274*J274,0)</f>
        <v>493049</v>
      </c>
      <c r="L274" s="65"/>
      <c r="M274" s="59"/>
    </row>
    <row r="275" spans="1:13" ht="28.5" x14ac:dyDescent="0.25">
      <c r="A275" s="59"/>
      <c r="B275" s="64"/>
      <c r="C275" s="76">
        <f t="shared" si="17"/>
        <v>243</v>
      </c>
      <c r="D275" s="77">
        <v>5862</v>
      </c>
      <c r="E275" s="78" t="s">
        <v>51</v>
      </c>
      <c r="F275" s="78"/>
      <c r="G275" s="79" t="s">
        <v>282</v>
      </c>
      <c r="H275" s="77" t="s">
        <v>64</v>
      </c>
      <c r="I275" s="80">
        <v>1</v>
      </c>
      <c r="J275" s="81">
        <v>53336</v>
      </c>
      <c r="K275" s="82">
        <f t="shared" ref="K275:K287" si="18">ROUND(I275*J275,0)</f>
        <v>53336</v>
      </c>
      <c r="L275" s="65"/>
      <c r="M275" s="59"/>
    </row>
    <row r="276" spans="1:13" ht="28.5" x14ac:dyDescent="0.25">
      <c r="A276" s="59"/>
      <c r="B276" s="64"/>
      <c r="C276" s="76">
        <f t="shared" si="17"/>
        <v>244</v>
      </c>
      <c r="D276" s="77">
        <v>5860</v>
      </c>
      <c r="E276" s="78" t="s">
        <v>51</v>
      </c>
      <c r="F276" s="78"/>
      <c r="G276" s="79" t="s">
        <v>283</v>
      </c>
      <c r="H276" s="77" t="s">
        <v>53</v>
      </c>
      <c r="I276" s="80">
        <v>1</v>
      </c>
      <c r="J276" s="81">
        <v>108751</v>
      </c>
      <c r="K276" s="82">
        <f t="shared" si="18"/>
        <v>108751</v>
      </c>
      <c r="L276" s="65"/>
      <c r="M276" s="59"/>
    </row>
    <row r="277" spans="1:13" ht="42.75" x14ac:dyDescent="0.25">
      <c r="A277" s="59"/>
      <c r="B277" s="64"/>
      <c r="C277" s="76">
        <f t="shared" si="17"/>
        <v>245</v>
      </c>
      <c r="D277" s="77">
        <v>4245</v>
      </c>
      <c r="E277" s="78" t="s">
        <v>51</v>
      </c>
      <c r="F277" s="78"/>
      <c r="G277" s="79" t="s">
        <v>284</v>
      </c>
      <c r="H277" s="77" t="s">
        <v>68</v>
      </c>
      <c r="I277" s="80">
        <v>1</v>
      </c>
      <c r="J277" s="81">
        <v>347432</v>
      </c>
      <c r="K277" s="82">
        <f t="shared" si="18"/>
        <v>347432</v>
      </c>
      <c r="L277" s="65"/>
      <c r="M277" s="59"/>
    </row>
    <row r="278" spans="1:13" ht="15.75" x14ac:dyDescent="0.25">
      <c r="A278" s="59"/>
      <c r="B278" s="64"/>
      <c r="C278" s="76">
        <f t="shared" si="17"/>
        <v>246</v>
      </c>
      <c r="D278" s="77">
        <v>7881</v>
      </c>
      <c r="E278" s="78" t="s">
        <v>51</v>
      </c>
      <c r="F278" s="78"/>
      <c r="G278" s="79" t="s">
        <v>285</v>
      </c>
      <c r="H278" s="77" t="s">
        <v>68</v>
      </c>
      <c r="I278" s="80">
        <v>1</v>
      </c>
      <c r="J278" s="81">
        <v>7930</v>
      </c>
      <c r="K278" s="82">
        <f t="shared" si="18"/>
        <v>7930</v>
      </c>
      <c r="L278" s="65"/>
      <c r="M278" s="59"/>
    </row>
    <row r="279" spans="1:13" ht="28.5" x14ac:dyDescent="0.25">
      <c r="A279" s="59"/>
      <c r="B279" s="64"/>
      <c r="C279" s="76">
        <f t="shared" si="17"/>
        <v>247</v>
      </c>
      <c r="D279" s="77">
        <v>6856</v>
      </c>
      <c r="E279" s="78" t="s">
        <v>51</v>
      </c>
      <c r="F279" s="78"/>
      <c r="G279" s="79" t="s">
        <v>286</v>
      </c>
      <c r="H279" s="77" t="s">
        <v>68</v>
      </c>
      <c r="I279" s="80">
        <v>1</v>
      </c>
      <c r="J279" s="81">
        <v>767568</v>
      </c>
      <c r="K279" s="82">
        <f t="shared" si="18"/>
        <v>767568</v>
      </c>
      <c r="L279" s="65"/>
      <c r="M279" s="59"/>
    </row>
    <row r="280" spans="1:13" ht="28.5" x14ac:dyDescent="0.25">
      <c r="A280" s="59"/>
      <c r="B280" s="64"/>
      <c r="C280" s="76">
        <f t="shared" si="17"/>
        <v>248</v>
      </c>
      <c r="D280" s="77">
        <v>6034</v>
      </c>
      <c r="E280" s="78" t="s">
        <v>51</v>
      </c>
      <c r="F280" s="78"/>
      <c r="G280" s="79" t="s">
        <v>287</v>
      </c>
      <c r="H280" s="77" t="s">
        <v>68</v>
      </c>
      <c r="I280" s="80">
        <v>1</v>
      </c>
      <c r="J280" s="81">
        <v>408259</v>
      </c>
      <c r="K280" s="82">
        <f t="shared" si="18"/>
        <v>408259</v>
      </c>
      <c r="L280" s="65"/>
      <c r="M280" s="59"/>
    </row>
    <row r="281" spans="1:13" ht="57" x14ac:dyDescent="0.25">
      <c r="A281" s="59"/>
      <c r="B281" s="64"/>
      <c r="C281" s="76">
        <f t="shared" si="17"/>
        <v>249</v>
      </c>
      <c r="D281" s="77">
        <v>5730</v>
      </c>
      <c r="E281" s="78" t="s">
        <v>51</v>
      </c>
      <c r="F281" s="78"/>
      <c r="G281" s="79" t="s">
        <v>288</v>
      </c>
      <c r="H281" s="77" t="s">
        <v>64</v>
      </c>
      <c r="I281" s="80">
        <v>1</v>
      </c>
      <c r="J281" s="81">
        <v>7210</v>
      </c>
      <c r="K281" s="82">
        <f t="shared" si="18"/>
        <v>7210</v>
      </c>
      <c r="L281" s="65"/>
      <c r="M281" s="59"/>
    </row>
    <row r="282" spans="1:13" ht="15.75" x14ac:dyDescent="0.25">
      <c r="A282" s="59"/>
      <c r="B282" s="64"/>
      <c r="C282" s="76">
        <f t="shared" si="17"/>
        <v>250</v>
      </c>
      <c r="D282" s="77">
        <v>5241</v>
      </c>
      <c r="E282" s="78" t="s">
        <v>51</v>
      </c>
      <c r="F282" s="78"/>
      <c r="G282" s="79" t="s">
        <v>289</v>
      </c>
      <c r="H282" s="77" t="s">
        <v>68</v>
      </c>
      <c r="I282" s="80">
        <v>1</v>
      </c>
      <c r="J282" s="81">
        <v>15850</v>
      </c>
      <c r="K282" s="82">
        <f t="shared" si="18"/>
        <v>15850</v>
      </c>
      <c r="L282" s="65"/>
      <c r="M282" s="59"/>
    </row>
    <row r="283" spans="1:13" ht="42.75" x14ac:dyDescent="0.25">
      <c r="A283" s="59"/>
      <c r="B283" s="64"/>
      <c r="C283" s="76">
        <f t="shared" si="17"/>
        <v>251</v>
      </c>
      <c r="D283" s="77">
        <v>4246</v>
      </c>
      <c r="E283" s="78" t="s">
        <v>51</v>
      </c>
      <c r="F283" s="78"/>
      <c r="G283" s="79" t="s">
        <v>290</v>
      </c>
      <c r="H283" s="77" t="s">
        <v>68</v>
      </c>
      <c r="I283" s="80">
        <v>1</v>
      </c>
      <c r="J283" s="81">
        <v>191248</v>
      </c>
      <c r="K283" s="82">
        <f t="shared" si="18"/>
        <v>191248</v>
      </c>
      <c r="L283" s="65"/>
      <c r="M283" s="59"/>
    </row>
    <row r="284" spans="1:13" ht="15.75" x14ac:dyDescent="0.25">
      <c r="A284" s="59"/>
      <c r="B284" s="64"/>
      <c r="C284" s="76">
        <f t="shared" si="17"/>
        <v>252</v>
      </c>
      <c r="D284" s="77">
        <v>8156</v>
      </c>
      <c r="E284" s="78" t="s">
        <v>51</v>
      </c>
      <c r="F284" s="78"/>
      <c r="G284" s="79" t="s">
        <v>291</v>
      </c>
      <c r="H284" s="77" t="s">
        <v>68</v>
      </c>
      <c r="I284" s="80">
        <v>1</v>
      </c>
      <c r="J284" s="81">
        <v>5494</v>
      </c>
      <c r="K284" s="82">
        <f t="shared" si="18"/>
        <v>5494</v>
      </c>
      <c r="L284" s="65"/>
      <c r="M284" s="59"/>
    </row>
    <row r="285" spans="1:13" ht="28.5" x14ac:dyDescent="0.25">
      <c r="A285" s="59"/>
      <c r="B285" s="64"/>
      <c r="C285" s="76">
        <f t="shared" si="17"/>
        <v>253</v>
      </c>
      <c r="D285" s="77">
        <v>3872</v>
      </c>
      <c r="E285" s="78" t="s">
        <v>51</v>
      </c>
      <c r="F285" s="78"/>
      <c r="G285" s="79" t="s">
        <v>292</v>
      </c>
      <c r="H285" s="77" t="s">
        <v>64</v>
      </c>
      <c r="I285" s="80">
        <v>1</v>
      </c>
      <c r="J285" s="81">
        <v>3058</v>
      </c>
      <c r="K285" s="82">
        <f t="shared" si="18"/>
        <v>3058</v>
      </c>
      <c r="L285" s="65"/>
      <c r="M285" s="59"/>
    </row>
    <row r="286" spans="1:13" ht="28.5" x14ac:dyDescent="0.25">
      <c r="A286" s="59"/>
      <c r="B286" s="64"/>
      <c r="C286" s="76">
        <f t="shared" si="17"/>
        <v>254</v>
      </c>
      <c r="D286" s="77">
        <v>7497</v>
      </c>
      <c r="E286" s="78" t="s">
        <v>51</v>
      </c>
      <c r="F286" s="78"/>
      <c r="G286" s="79" t="s">
        <v>261</v>
      </c>
      <c r="H286" s="77" t="s">
        <v>68</v>
      </c>
      <c r="I286" s="80">
        <v>1</v>
      </c>
      <c r="J286" s="81">
        <v>693835</v>
      </c>
      <c r="K286" s="82">
        <f t="shared" si="18"/>
        <v>693835</v>
      </c>
      <c r="L286" s="65"/>
      <c r="M286" s="59"/>
    </row>
    <row r="287" spans="1:13" ht="42.75" x14ac:dyDescent="0.25">
      <c r="A287" s="59"/>
      <c r="B287" s="64"/>
      <c r="C287" s="76">
        <f t="shared" si="17"/>
        <v>255</v>
      </c>
      <c r="D287" s="77">
        <v>4833</v>
      </c>
      <c r="E287" s="78" t="s">
        <v>51</v>
      </c>
      <c r="F287" s="78"/>
      <c r="G287" s="79" t="s">
        <v>262</v>
      </c>
      <c r="H287" s="77" t="s">
        <v>68</v>
      </c>
      <c r="I287" s="80">
        <v>1</v>
      </c>
      <c r="J287" s="81">
        <v>13816</v>
      </c>
      <c r="K287" s="82">
        <f t="shared" si="18"/>
        <v>13816</v>
      </c>
      <c r="L287" s="65"/>
      <c r="M287" s="59"/>
    </row>
    <row r="288" spans="1:13" ht="16.5" thickBot="1" x14ac:dyDescent="0.3">
      <c r="A288" s="59"/>
      <c r="B288" s="64"/>
      <c r="C288" s="83" t="s">
        <v>54</v>
      </c>
      <c r="D288" s="97"/>
      <c r="E288" s="98"/>
      <c r="F288" s="98"/>
      <c r="G288" s="99"/>
      <c r="H288" s="97"/>
      <c r="I288" s="87"/>
      <c r="J288" s="100"/>
      <c r="K288" s="101">
        <f>SUM(K273:K287)</f>
        <v>3821694</v>
      </c>
      <c r="L288" s="65"/>
      <c r="M288" s="59"/>
    </row>
    <row r="289" spans="1:13" ht="16.5" thickBot="1" x14ac:dyDescent="0.3">
      <c r="A289" s="59"/>
      <c r="B289" s="64"/>
      <c r="C289" s="73" t="s">
        <v>293</v>
      </c>
      <c r="D289" s="74"/>
      <c r="E289" s="90"/>
      <c r="F289" s="90"/>
      <c r="G289" s="74"/>
      <c r="H289" s="74"/>
      <c r="I289" s="74"/>
      <c r="J289" s="74"/>
      <c r="K289" s="75"/>
      <c r="L289" s="65"/>
      <c r="M289" s="59"/>
    </row>
    <row r="290" spans="1:13" ht="42.75" x14ac:dyDescent="0.25">
      <c r="A290" s="59"/>
      <c r="B290" s="64"/>
      <c r="C290" s="76">
        <f>C287+1</f>
        <v>256</v>
      </c>
      <c r="D290" s="77">
        <v>5422</v>
      </c>
      <c r="E290" s="78" t="s">
        <v>51</v>
      </c>
      <c r="F290" s="78"/>
      <c r="G290" s="79" t="s">
        <v>294</v>
      </c>
      <c r="H290" s="77" t="s">
        <v>57</v>
      </c>
      <c r="I290" s="80">
        <v>1</v>
      </c>
      <c r="J290" s="81">
        <v>1117399</v>
      </c>
      <c r="K290" s="82">
        <f>ROUND(I290*J290,0)</f>
        <v>1117399</v>
      </c>
      <c r="L290" s="65"/>
      <c r="M290" s="59"/>
    </row>
    <row r="291" spans="1:13" ht="71.25" x14ac:dyDescent="0.25">
      <c r="A291" s="59"/>
      <c r="B291" s="64"/>
      <c r="C291" s="76">
        <f>C290+1</f>
        <v>257</v>
      </c>
      <c r="D291" s="77">
        <v>3708</v>
      </c>
      <c r="E291" s="78" t="s">
        <v>51</v>
      </c>
      <c r="F291" s="78"/>
      <c r="G291" s="79" t="s">
        <v>124</v>
      </c>
      <c r="H291" s="77" t="s">
        <v>118</v>
      </c>
      <c r="I291" s="80">
        <v>1</v>
      </c>
      <c r="J291" s="81">
        <v>5308</v>
      </c>
      <c r="K291" s="82">
        <f>ROUND(I291*J291,0)</f>
        <v>5308</v>
      </c>
      <c r="L291" s="65"/>
      <c r="M291" s="59"/>
    </row>
    <row r="292" spans="1:13" ht="16.5" thickBot="1" x14ac:dyDescent="0.3">
      <c r="A292" s="59"/>
      <c r="B292" s="64"/>
      <c r="C292" s="83" t="s">
        <v>54</v>
      </c>
      <c r="D292" s="97"/>
      <c r="E292" s="98"/>
      <c r="F292" s="98"/>
      <c r="G292" s="99"/>
      <c r="H292" s="97"/>
      <c r="I292" s="87"/>
      <c r="J292" s="100"/>
      <c r="K292" s="101">
        <f>SUM(K290:K291)</f>
        <v>1122707</v>
      </c>
      <c r="L292" s="65"/>
      <c r="M292" s="59"/>
    </row>
    <row r="293" spans="1:13" ht="16.5" thickBot="1" x14ac:dyDescent="0.3">
      <c r="A293" s="102"/>
      <c r="B293" s="103"/>
      <c r="C293" s="477" t="s">
        <v>295</v>
      </c>
      <c r="D293" s="478"/>
      <c r="E293" s="478"/>
      <c r="F293" s="478"/>
      <c r="G293" s="478"/>
      <c r="H293" s="478"/>
      <c r="I293" s="478"/>
      <c r="J293" s="479"/>
      <c r="K293" s="104">
        <f>K14+K32+K59+K140+K169+K217+K263+K271+K288+K292</f>
        <v>123589596</v>
      </c>
      <c r="L293" s="105"/>
      <c r="M293" s="102"/>
    </row>
    <row r="294" spans="1:13" ht="16.5" thickBot="1" x14ac:dyDescent="0.3">
      <c r="A294" s="102"/>
      <c r="B294" s="103"/>
      <c r="C294" s="106"/>
      <c r="D294" s="106"/>
      <c r="E294" s="106"/>
      <c r="F294" s="106"/>
      <c r="G294" s="106"/>
      <c r="H294" s="106"/>
      <c r="I294" s="106"/>
      <c r="J294" s="106"/>
      <c r="K294" s="107"/>
      <c r="L294" s="105"/>
      <c r="M294" s="102"/>
    </row>
    <row r="295" spans="1:13" ht="15.75" x14ac:dyDescent="0.25">
      <c r="A295" s="102"/>
      <c r="B295" s="103"/>
      <c r="C295" s="108"/>
      <c r="D295" s="109"/>
      <c r="E295" s="108"/>
      <c r="F295" s="108"/>
      <c r="G295" s="480" t="s">
        <v>296</v>
      </c>
      <c r="H295" s="481"/>
      <c r="I295" s="481"/>
      <c r="J295" s="482"/>
      <c r="K295" s="110">
        <f>K293</f>
        <v>123589596</v>
      </c>
      <c r="L295" s="105"/>
      <c r="M295" s="102"/>
    </row>
    <row r="296" spans="1:13" ht="15.75" x14ac:dyDescent="0.25">
      <c r="A296" s="102"/>
      <c r="B296" s="103"/>
      <c r="C296" s="108"/>
      <c r="D296" s="109"/>
      <c r="E296" s="108"/>
      <c r="F296" s="108"/>
      <c r="G296" s="483"/>
      <c r="H296" s="484"/>
      <c r="I296" s="484"/>
      <c r="J296" s="485"/>
      <c r="K296" s="111"/>
      <c r="L296" s="105"/>
      <c r="M296" s="102"/>
    </row>
    <row r="297" spans="1:13" ht="15.75" x14ac:dyDescent="0.25">
      <c r="A297" s="102"/>
      <c r="B297" s="103"/>
      <c r="C297" s="108"/>
      <c r="D297" s="112"/>
      <c r="E297" s="112"/>
      <c r="F297" s="112"/>
      <c r="G297" s="488" t="s">
        <v>297</v>
      </c>
      <c r="H297" s="489"/>
      <c r="I297" s="113" t="s">
        <v>298</v>
      </c>
      <c r="J297" s="114">
        <v>1</v>
      </c>
      <c r="K297" s="111">
        <f>'PRESUPUESTO OFICIAL'!K73</f>
        <v>222418405</v>
      </c>
      <c r="L297" s="105"/>
      <c r="M297" s="102"/>
    </row>
    <row r="298" spans="1:13" ht="15.75" x14ac:dyDescent="0.25">
      <c r="A298" s="102"/>
      <c r="B298" s="103"/>
      <c r="C298" s="108"/>
      <c r="D298" s="112"/>
      <c r="E298" s="112"/>
      <c r="F298" s="112"/>
      <c r="G298" s="488" t="s">
        <v>299</v>
      </c>
      <c r="H298" s="489"/>
      <c r="I298" s="113" t="s">
        <v>298</v>
      </c>
      <c r="J298" s="114">
        <v>1</v>
      </c>
      <c r="K298" s="111">
        <f>'PRESUPUESTO OFICIAL'!K74</f>
        <v>138802452</v>
      </c>
      <c r="L298" s="105"/>
      <c r="M298" s="102"/>
    </row>
    <row r="299" spans="1:13" ht="15.75" x14ac:dyDescent="0.25">
      <c r="A299" s="102"/>
      <c r="B299" s="103"/>
      <c r="C299" s="108"/>
      <c r="D299" s="109"/>
      <c r="E299" s="108"/>
      <c r="F299" s="108"/>
      <c r="G299" s="488" t="s">
        <v>300</v>
      </c>
      <c r="H299" s="489"/>
      <c r="I299" s="113" t="s">
        <v>298</v>
      </c>
      <c r="J299" s="114">
        <v>1</v>
      </c>
      <c r="K299" s="111">
        <f>'PRESUPUESTO OFICIAL'!K75</f>
        <v>166780825</v>
      </c>
      <c r="L299" s="105"/>
      <c r="M299" s="102"/>
    </row>
    <row r="300" spans="1:13" ht="15.75" x14ac:dyDescent="0.25">
      <c r="A300" s="102"/>
      <c r="B300" s="103"/>
      <c r="C300" s="108"/>
      <c r="D300" s="109"/>
      <c r="E300" s="108"/>
      <c r="F300" s="108"/>
      <c r="G300" s="470"/>
      <c r="H300" s="471"/>
      <c r="I300" s="471"/>
      <c r="J300" s="472"/>
      <c r="K300" s="111"/>
      <c r="L300" s="105"/>
      <c r="M300" s="102"/>
    </row>
    <row r="301" spans="1:13" ht="15.75" x14ac:dyDescent="0.25">
      <c r="A301" s="102"/>
      <c r="B301" s="103"/>
      <c r="C301" s="108"/>
      <c r="D301" s="109"/>
      <c r="E301" s="108"/>
      <c r="F301" s="108"/>
      <c r="G301" s="467" t="str">
        <f>'PRESUPUESTO OFICIAL'!E78</f>
        <v>PROVISIÓN PARA ACCIONES DE MOVILIDAD Y ATENCIONES DE EMERGENCIA</v>
      </c>
      <c r="H301" s="468"/>
      <c r="I301" s="468"/>
      <c r="J301" s="469"/>
      <c r="K301" s="111">
        <f>'PRESUPUESTO OFICIAL'!K78</f>
        <v>213729333</v>
      </c>
      <c r="L301" s="105"/>
      <c r="M301" s="102"/>
    </row>
    <row r="302" spans="1:13" ht="16.5" thickBot="1" x14ac:dyDescent="0.3">
      <c r="A302" s="102"/>
      <c r="B302" s="103"/>
      <c r="C302" s="108"/>
      <c r="D302" s="109"/>
      <c r="E302" s="108"/>
      <c r="F302" s="115"/>
      <c r="G302" s="470"/>
      <c r="H302" s="471"/>
      <c r="I302" s="471"/>
      <c r="J302" s="472"/>
      <c r="K302" s="116"/>
      <c r="L302" s="105"/>
      <c r="M302" s="102"/>
    </row>
    <row r="303" spans="1:13" ht="16.5" thickBot="1" x14ac:dyDescent="0.3">
      <c r="A303" s="102"/>
      <c r="B303" s="103"/>
      <c r="C303" s="108"/>
      <c r="D303" s="109"/>
      <c r="E303" s="108"/>
      <c r="F303" s="108"/>
      <c r="G303" s="117" t="s">
        <v>301</v>
      </c>
      <c r="H303" s="118"/>
      <c r="I303" s="119"/>
      <c r="J303" s="120"/>
      <c r="K303" s="104">
        <f>K295+K297+K298+K299+K301</f>
        <v>865320611</v>
      </c>
      <c r="L303" s="105"/>
      <c r="M303" s="102"/>
    </row>
    <row r="304" spans="1:13" ht="16.5" thickBot="1" x14ac:dyDescent="0.3">
      <c r="A304" s="102"/>
      <c r="B304" s="103"/>
      <c r="C304" s="108"/>
      <c r="D304" s="109"/>
      <c r="E304" s="109"/>
      <c r="F304" s="109"/>
      <c r="G304" s="108"/>
      <c r="H304" s="108"/>
      <c r="I304" s="121"/>
      <c r="J304" s="122"/>
      <c r="K304" s="123"/>
      <c r="L304" s="105"/>
      <c r="M304" s="102"/>
    </row>
    <row r="305" spans="1:13" ht="15.75" x14ac:dyDescent="0.25">
      <c r="A305" s="102"/>
      <c r="B305" s="103"/>
      <c r="C305" s="124"/>
      <c r="D305" s="473"/>
      <c r="E305" s="473"/>
      <c r="F305" s="473"/>
      <c r="G305" s="473"/>
      <c r="H305" s="473"/>
      <c r="I305" s="473"/>
      <c r="J305" s="473"/>
      <c r="K305" s="474"/>
      <c r="L305" s="125"/>
      <c r="M305" s="102"/>
    </row>
    <row r="306" spans="1:13" ht="36" customHeight="1" x14ac:dyDescent="0.25">
      <c r="A306" s="102"/>
      <c r="B306" s="103"/>
      <c r="C306" s="457" t="s">
        <v>302</v>
      </c>
      <c r="D306" s="458"/>
      <c r="E306" s="458"/>
      <c r="F306" s="458"/>
      <c r="G306" s="459"/>
      <c r="H306" s="460" t="s">
        <v>303</v>
      </c>
      <c r="I306" s="461"/>
      <c r="J306" s="462"/>
      <c r="K306" s="126" t="s">
        <v>304</v>
      </c>
      <c r="L306" s="127"/>
      <c r="M306" s="102"/>
    </row>
    <row r="307" spans="1:13" ht="36" customHeight="1" x14ac:dyDescent="0.25">
      <c r="A307" s="102"/>
      <c r="B307" s="103"/>
      <c r="C307" s="457" t="s">
        <v>305</v>
      </c>
      <c r="D307" s="458"/>
      <c r="E307" s="458"/>
      <c r="F307" s="458"/>
      <c r="G307" s="459"/>
      <c r="H307" s="463" t="s">
        <v>306</v>
      </c>
      <c r="I307" s="464"/>
      <c r="J307" s="128" t="s">
        <v>307</v>
      </c>
      <c r="K307" s="129">
        <f>'PRESUPUESTO OFICIAL'!J66</f>
        <v>0.26119999999999999</v>
      </c>
      <c r="L307" s="127"/>
      <c r="M307" s="102"/>
    </row>
    <row r="308" spans="1:13" ht="36" customHeight="1" x14ac:dyDescent="0.25">
      <c r="A308" s="102"/>
      <c r="B308" s="103"/>
      <c r="C308" s="457" t="s">
        <v>308</v>
      </c>
      <c r="D308" s="458"/>
      <c r="E308" s="458"/>
      <c r="F308" s="458"/>
      <c r="G308" s="459"/>
      <c r="H308" s="465" t="s">
        <v>309</v>
      </c>
      <c r="I308" s="466"/>
      <c r="J308" s="128" t="s">
        <v>310</v>
      </c>
      <c r="K308" s="129">
        <f>'PRESUPUESTO OFICIAL'!J67</f>
        <v>0.01</v>
      </c>
      <c r="L308" s="127"/>
      <c r="M308" s="102"/>
    </row>
    <row r="309" spans="1:13" ht="29.25" customHeight="1" x14ac:dyDescent="0.25">
      <c r="A309" s="102"/>
      <c r="B309" s="103"/>
      <c r="C309" s="457" t="s">
        <v>311</v>
      </c>
      <c r="D309" s="458"/>
      <c r="E309" s="458"/>
      <c r="F309" s="458"/>
      <c r="G309" s="459"/>
      <c r="H309" s="460" t="s">
        <v>312</v>
      </c>
      <c r="I309" s="462"/>
      <c r="J309" s="128" t="s">
        <v>313</v>
      </c>
      <c r="K309" s="129">
        <f>'PRESUPUESTO OFICIAL'!J68</f>
        <v>4.4999999999999998E-2</v>
      </c>
      <c r="L309" s="105"/>
      <c r="M309" s="102"/>
    </row>
    <row r="310" spans="1:13" ht="29.25" customHeight="1" x14ac:dyDescent="0.25">
      <c r="A310" s="59"/>
      <c r="B310" s="64"/>
      <c r="C310" s="130"/>
      <c r="D310" s="131"/>
      <c r="E310" s="131"/>
      <c r="F310" s="131"/>
      <c r="G310" s="132"/>
      <c r="H310" s="463" t="s">
        <v>314</v>
      </c>
      <c r="I310" s="464"/>
      <c r="J310" s="128" t="s">
        <v>315</v>
      </c>
      <c r="K310" s="129">
        <f>SUM(K307:K309)</f>
        <v>0.31619999999999998</v>
      </c>
      <c r="L310" s="65"/>
      <c r="M310" s="59"/>
    </row>
    <row r="311" spans="1:13" ht="16.5" thickBot="1" x14ac:dyDescent="0.3">
      <c r="A311" s="59"/>
      <c r="B311" s="64"/>
      <c r="C311" s="133"/>
      <c r="D311" s="134"/>
      <c r="E311" s="134"/>
      <c r="F311" s="134"/>
      <c r="G311" s="135"/>
      <c r="H311" s="455"/>
      <c r="I311" s="455"/>
      <c r="J311" s="455"/>
      <c r="K311" s="456"/>
      <c r="L311" s="65"/>
      <c r="M311" s="59"/>
    </row>
    <row r="312" spans="1:13" ht="16.5" thickBot="1" x14ac:dyDescent="0.3">
      <c r="A312" s="59"/>
      <c r="B312" s="136"/>
      <c r="C312" s="137"/>
      <c r="D312" s="137"/>
      <c r="E312" s="138"/>
      <c r="F312" s="137"/>
      <c r="G312" s="139"/>
      <c r="H312" s="137"/>
      <c r="I312" s="137"/>
      <c r="J312" s="137"/>
      <c r="K312" s="137"/>
      <c r="L312" s="140"/>
      <c r="M312" s="59"/>
    </row>
    <row r="313" spans="1:13" ht="15.75" thickTop="1" x14ac:dyDescent="0.25"/>
  </sheetData>
  <mergeCells count="34">
    <mergeCell ref="G298:H298"/>
    <mergeCell ref="G299:H299"/>
    <mergeCell ref="G300:J300"/>
    <mergeCell ref="C9:K9"/>
    <mergeCell ref="C2:F2"/>
    <mergeCell ref="C4:K4"/>
    <mergeCell ref="C5:K5"/>
    <mergeCell ref="C6:K7"/>
    <mergeCell ref="C8:K8"/>
    <mergeCell ref="G297:H297"/>
    <mergeCell ref="C10:C11"/>
    <mergeCell ref="D10:D11"/>
    <mergeCell ref="E10:F10"/>
    <mergeCell ref="G10:G11"/>
    <mergeCell ref="H10:H11"/>
    <mergeCell ref="J10:J11"/>
    <mergeCell ref="K10:K11"/>
    <mergeCell ref="C293:J293"/>
    <mergeCell ref="G295:J295"/>
    <mergeCell ref="G296:J296"/>
    <mergeCell ref="I10:I11"/>
    <mergeCell ref="G301:J301"/>
    <mergeCell ref="G302:J302"/>
    <mergeCell ref="C309:G309"/>
    <mergeCell ref="H309:I309"/>
    <mergeCell ref="H310:I310"/>
    <mergeCell ref="D305:K305"/>
    <mergeCell ref="H311:K311"/>
    <mergeCell ref="C306:G306"/>
    <mergeCell ref="H306:J306"/>
    <mergeCell ref="C307:G307"/>
    <mergeCell ref="H307:I307"/>
    <mergeCell ref="C308:G308"/>
    <mergeCell ref="H308:I308"/>
  </mergeCells>
  <pageMargins left="0.7" right="0.7" top="0.75" bottom="0.75" header="0.3" footer="0.3"/>
  <pageSetup paperSize="119" scale="40" fitToHeight="0" orientation="portrait" r:id="rId1"/>
  <rowBreaks count="1" manualBreakCount="1">
    <brk id="277" min="1" max="11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7030A0"/>
  </sheetPr>
  <dimension ref="A1:P99"/>
  <sheetViews>
    <sheetView view="pageBreakPreview" topLeftCell="A70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3" max="3" width="11.5703125" style="31" customWidth="1"/>
    <col min="7" max="8" width="12.28515625" customWidth="1"/>
    <col min="9" max="9" width="21.28515625" customWidth="1"/>
    <col min="10" max="10" width="16.7109375" customWidth="1"/>
    <col min="11" max="11" width="28.140625" bestFit="1" customWidth="1"/>
    <col min="12" max="12" width="17.28515625" style="32" bestFit="1" customWidth="1"/>
    <col min="13" max="13" width="22.85546875" style="32" customWidth="1"/>
    <col min="14" max="14" width="19.42578125" customWidth="1"/>
    <col min="15" max="15" width="21.5703125" customWidth="1"/>
    <col min="16" max="16" width="24.5703125" customWidth="1"/>
  </cols>
  <sheetData>
    <row r="1" spans="1:16" x14ac:dyDescent="0.25">
      <c r="A1" s="29"/>
      <c r="B1" s="30"/>
    </row>
    <row r="2" spans="1:16" x14ac:dyDescent="0.25">
      <c r="A2" s="29"/>
      <c r="B2" s="30"/>
    </row>
    <row r="3" spans="1:16" x14ac:dyDescent="0.25">
      <c r="A3" s="29"/>
      <c r="B3" s="30"/>
    </row>
    <row r="4" spans="1:16" x14ac:dyDescent="0.25">
      <c r="A4" s="29"/>
      <c r="B4" s="30"/>
    </row>
    <row r="5" spans="1:16" x14ac:dyDescent="0.25">
      <c r="A5" s="29"/>
      <c r="B5" s="30"/>
    </row>
    <row r="6" spans="1:16" x14ac:dyDescent="0.25">
      <c r="A6" s="29"/>
      <c r="B6" s="30"/>
    </row>
    <row r="7" spans="1:16" x14ac:dyDescent="0.25">
      <c r="A7" s="29"/>
      <c r="B7" s="33"/>
    </row>
    <row r="8" spans="1:16" x14ac:dyDescent="0.25">
      <c r="A8" s="29"/>
      <c r="B8" s="30"/>
    </row>
    <row r="9" spans="1:16" x14ac:dyDescent="0.25">
      <c r="A9" s="29"/>
      <c r="B9" s="30"/>
    </row>
    <row r="12" spans="1:16" s="36" customFormat="1" ht="58.9" customHeight="1" x14ac:dyDescent="0.25">
      <c r="A12" s="34" t="s">
        <v>316</v>
      </c>
      <c r="B12" s="34" t="s">
        <v>317</v>
      </c>
      <c r="C12" s="34" t="s">
        <v>318</v>
      </c>
      <c r="D12" s="34" t="s">
        <v>319</v>
      </c>
      <c r="E12" s="34" t="s">
        <v>320</v>
      </c>
      <c r="F12" s="34" t="s">
        <v>321</v>
      </c>
      <c r="G12" s="34" t="s">
        <v>322</v>
      </c>
      <c r="H12" s="34" t="s">
        <v>323</v>
      </c>
      <c r="I12" s="34" t="s">
        <v>324</v>
      </c>
      <c r="J12" s="34" t="s">
        <v>325</v>
      </c>
      <c r="K12" s="34" t="s">
        <v>326</v>
      </c>
      <c r="L12" s="34" t="s">
        <v>327</v>
      </c>
      <c r="M12" s="34" t="s">
        <v>328</v>
      </c>
      <c r="N12" s="34" t="s">
        <v>329</v>
      </c>
      <c r="O12" s="34" t="s">
        <v>330</v>
      </c>
      <c r="P12" s="35" t="s">
        <v>331</v>
      </c>
    </row>
    <row r="13" spans="1:16" s="36" customFormat="1" x14ac:dyDescent="0.25">
      <c r="A13" s="37">
        <v>1</v>
      </c>
      <c r="B13" s="37">
        <v>11003244</v>
      </c>
      <c r="C13" s="37" t="s">
        <v>332</v>
      </c>
      <c r="D13" s="37" t="s">
        <v>333</v>
      </c>
      <c r="E13" s="37" t="s">
        <v>334</v>
      </c>
      <c r="F13" s="37" t="s">
        <v>335</v>
      </c>
      <c r="G13" s="37" t="s">
        <v>336</v>
      </c>
      <c r="H13" s="37">
        <v>169339</v>
      </c>
      <c r="I13" s="37" t="s">
        <v>337</v>
      </c>
      <c r="J13" s="37" t="s">
        <v>338</v>
      </c>
      <c r="K13" s="38">
        <v>57143218</v>
      </c>
      <c r="L13" s="37" t="s">
        <v>339</v>
      </c>
      <c r="M13" s="37" t="s">
        <v>340</v>
      </c>
      <c r="N13" s="37">
        <v>4.45</v>
      </c>
      <c r="O13" s="37">
        <v>108.72</v>
      </c>
      <c r="P13" s="39">
        <v>484.25</v>
      </c>
    </row>
    <row r="14" spans="1:16" s="36" customFormat="1" ht="30" x14ac:dyDescent="0.25">
      <c r="A14" s="40">
        <v>2</v>
      </c>
      <c r="B14" s="40">
        <v>11002945</v>
      </c>
      <c r="C14" s="40" t="s">
        <v>332</v>
      </c>
      <c r="D14" s="40" t="s">
        <v>341</v>
      </c>
      <c r="E14" s="40" t="s">
        <v>342</v>
      </c>
      <c r="F14" s="40" t="s">
        <v>343</v>
      </c>
      <c r="G14" s="40" t="s">
        <v>336</v>
      </c>
      <c r="H14" s="40">
        <v>175729</v>
      </c>
      <c r="I14" s="40" t="s">
        <v>337</v>
      </c>
      <c r="J14" s="40" t="s">
        <v>344</v>
      </c>
      <c r="K14" s="41">
        <v>145326527</v>
      </c>
      <c r="L14" s="40" t="s">
        <v>339</v>
      </c>
      <c r="M14" s="40" t="s">
        <v>340</v>
      </c>
      <c r="N14" s="40">
        <v>8.1300000000000008</v>
      </c>
      <c r="O14" s="40">
        <v>63.99</v>
      </c>
      <c r="P14" s="42">
        <v>520.05999999999995</v>
      </c>
    </row>
    <row r="15" spans="1:16" s="36" customFormat="1" x14ac:dyDescent="0.25">
      <c r="A15" s="37">
        <v>3</v>
      </c>
      <c r="B15" s="37">
        <v>11002757</v>
      </c>
      <c r="C15" s="37" t="s">
        <v>332</v>
      </c>
      <c r="D15" s="37" t="s">
        <v>341</v>
      </c>
      <c r="E15" s="37" t="s">
        <v>343</v>
      </c>
      <c r="F15" s="37" t="s">
        <v>345</v>
      </c>
      <c r="G15" s="37" t="s">
        <v>336</v>
      </c>
      <c r="H15" s="37">
        <v>175731</v>
      </c>
      <c r="I15" s="37" t="s">
        <v>337</v>
      </c>
      <c r="J15" s="37" t="s">
        <v>344</v>
      </c>
      <c r="K15" s="38">
        <v>154791536</v>
      </c>
      <c r="L15" s="37" t="s">
        <v>339</v>
      </c>
      <c r="M15" s="37" t="s">
        <v>340</v>
      </c>
      <c r="N15" s="37">
        <v>9.06</v>
      </c>
      <c r="O15" s="37">
        <v>61.44</v>
      </c>
      <c r="P15" s="39">
        <v>556.66</v>
      </c>
    </row>
    <row r="16" spans="1:16" s="36" customFormat="1" x14ac:dyDescent="0.25">
      <c r="A16" s="40">
        <v>4</v>
      </c>
      <c r="B16" s="40">
        <v>11000989</v>
      </c>
      <c r="C16" s="40" t="s">
        <v>332</v>
      </c>
      <c r="D16" s="40" t="s">
        <v>346</v>
      </c>
      <c r="E16" s="40" t="s">
        <v>347</v>
      </c>
      <c r="F16" s="40" t="s">
        <v>348</v>
      </c>
      <c r="G16" s="40" t="s">
        <v>336</v>
      </c>
      <c r="H16" s="40">
        <v>176634</v>
      </c>
      <c r="I16" s="40" t="s">
        <v>349</v>
      </c>
      <c r="J16" s="40" t="s">
        <v>338</v>
      </c>
      <c r="K16" s="41">
        <v>179366596</v>
      </c>
      <c r="L16" s="40" t="s">
        <v>339</v>
      </c>
      <c r="M16" s="40" t="s">
        <v>340</v>
      </c>
      <c r="N16" s="40">
        <v>8.73</v>
      </c>
      <c r="O16" s="40">
        <v>71.64</v>
      </c>
      <c r="P16" s="42">
        <v>625.58000000000004</v>
      </c>
    </row>
    <row r="17" spans="1:16" s="36" customFormat="1" x14ac:dyDescent="0.25">
      <c r="A17" s="37">
        <v>5</v>
      </c>
      <c r="B17" s="37">
        <v>11010147</v>
      </c>
      <c r="C17" s="37" t="s">
        <v>332</v>
      </c>
      <c r="D17" s="37" t="s">
        <v>350</v>
      </c>
      <c r="E17" s="37" t="s">
        <v>351</v>
      </c>
      <c r="F17" s="37" t="s">
        <v>352</v>
      </c>
      <c r="G17" s="37" t="s">
        <v>336</v>
      </c>
      <c r="H17" s="37">
        <v>167437</v>
      </c>
      <c r="I17" s="37" t="s">
        <v>337</v>
      </c>
      <c r="J17" s="37" t="s">
        <v>344</v>
      </c>
      <c r="K17" s="38">
        <v>174568861</v>
      </c>
      <c r="L17" s="37" t="s">
        <v>339</v>
      </c>
      <c r="M17" s="37" t="s">
        <v>340</v>
      </c>
      <c r="N17" s="37">
        <v>6.78</v>
      </c>
      <c r="O17" s="37">
        <v>91.09</v>
      </c>
      <c r="P17" s="39">
        <v>617.77</v>
      </c>
    </row>
    <row r="18" spans="1:16" s="36" customFormat="1" x14ac:dyDescent="0.25">
      <c r="A18" s="40">
        <v>6</v>
      </c>
      <c r="B18" s="40">
        <v>11002729</v>
      </c>
      <c r="C18" s="40" t="s">
        <v>332</v>
      </c>
      <c r="D18" s="40" t="s">
        <v>353</v>
      </c>
      <c r="E18" s="40" t="s">
        <v>354</v>
      </c>
      <c r="F18" s="40" t="s">
        <v>355</v>
      </c>
      <c r="G18" s="40" t="s">
        <v>336</v>
      </c>
      <c r="H18" s="40">
        <v>176277</v>
      </c>
      <c r="I18" s="40" t="s">
        <v>337</v>
      </c>
      <c r="J18" s="40" t="s">
        <v>338</v>
      </c>
      <c r="K18" s="41">
        <v>125384499</v>
      </c>
      <c r="L18" s="40" t="s">
        <v>339</v>
      </c>
      <c r="M18" s="40" t="s">
        <v>340</v>
      </c>
      <c r="N18" s="40">
        <v>8.36</v>
      </c>
      <c r="O18" s="40">
        <v>127.08</v>
      </c>
      <c r="P18" s="42">
        <v>1062.3399999999999</v>
      </c>
    </row>
    <row r="19" spans="1:16" s="36" customFormat="1" ht="30" x14ac:dyDescent="0.25">
      <c r="A19" s="37">
        <v>7</v>
      </c>
      <c r="B19" s="37">
        <v>11005794</v>
      </c>
      <c r="C19" s="37" t="s">
        <v>332</v>
      </c>
      <c r="D19" s="37" t="s">
        <v>356</v>
      </c>
      <c r="E19" s="37" t="s">
        <v>357</v>
      </c>
      <c r="F19" s="37" t="s">
        <v>358</v>
      </c>
      <c r="G19" s="37" t="s">
        <v>336</v>
      </c>
      <c r="H19" s="37">
        <v>172488</v>
      </c>
      <c r="I19" s="37" t="s">
        <v>359</v>
      </c>
      <c r="J19" s="37" t="s">
        <v>338</v>
      </c>
      <c r="K19" s="38">
        <v>60090498</v>
      </c>
      <c r="L19" s="37" t="s">
        <v>339</v>
      </c>
      <c r="M19" s="37" t="s">
        <v>340</v>
      </c>
      <c r="N19" s="37">
        <v>6.49</v>
      </c>
      <c r="O19" s="37">
        <v>123.66</v>
      </c>
      <c r="P19" s="39">
        <v>802.23</v>
      </c>
    </row>
    <row r="20" spans="1:16" s="36" customFormat="1" x14ac:dyDescent="0.25">
      <c r="A20" s="40">
        <v>8</v>
      </c>
      <c r="B20" s="40">
        <v>11004607</v>
      </c>
      <c r="C20" s="40" t="s">
        <v>332</v>
      </c>
      <c r="D20" s="40" t="s">
        <v>360</v>
      </c>
      <c r="E20" s="40" t="s">
        <v>361</v>
      </c>
      <c r="F20" s="40" t="s">
        <v>362</v>
      </c>
      <c r="G20" s="40" t="s">
        <v>336</v>
      </c>
      <c r="H20" s="40">
        <v>174993</v>
      </c>
      <c r="I20" s="40" t="s">
        <v>337</v>
      </c>
      <c r="J20" s="40" t="s">
        <v>344</v>
      </c>
      <c r="K20" s="41">
        <v>43030263</v>
      </c>
      <c r="L20" s="40" t="s">
        <v>339</v>
      </c>
      <c r="M20" s="40" t="s">
        <v>340</v>
      </c>
      <c r="N20" s="40">
        <v>4.3499999999999996</v>
      </c>
      <c r="O20" s="40">
        <v>33.89</v>
      </c>
      <c r="P20" s="42">
        <v>147.30000000000001</v>
      </c>
    </row>
    <row r="21" spans="1:16" s="36" customFormat="1" x14ac:dyDescent="0.25">
      <c r="A21" s="37">
        <v>9</v>
      </c>
      <c r="B21" s="37">
        <v>11004687</v>
      </c>
      <c r="C21" s="37" t="s">
        <v>332</v>
      </c>
      <c r="D21" s="37" t="s">
        <v>360</v>
      </c>
      <c r="E21" s="37" t="s">
        <v>363</v>
      </c>
      <c r="F21" s="37" t="s">
        <v>361</v>
      </c>
      <c r="G21" s="37" t="s">
        <v>336</v>
      </c>
      <c r="H21" s="37">
        <v>174992</v>
      </c>
      <c r="I21" s="37" t="s">
        <v>337</v>
      </c>
      <c r="J21" s="37" t="s">
        <v>344</v>
      </c>
      <c r="K21" s="38">
        <v>38610314</v>
      </c>
      <c r="L21" s="37" t="s">
        <v>339</v>
      </c>
      <c r="M21" s="37" t="s">
        <v>340</v>
      </c>
      <c r="N21" s="37">
        <v>4.0599999999999996</v>
      </c>
      <c r="O21" s="37">
        <v>32.340000000000003</v>
      </c>
      <c r="P21" s="39">
        <v>131.38</v>
      </c>
    </row>
    <row r="22" spans="1:16" s="36" customFormat="1" x14ac:dyDescent="0.25">
      <c r="A22" s="40">
        <v>10</v>
      </c>
      <c r="B22" s="40">
        <v>11004750</v>
      </c>
      <c r="C22" s="40" t="s">
        <v>332</v>
      </c>
      <c r="D22" s="40" t="s">
        <v>360</v>
      </c>
      <c r="E22" s="40" t="s">
        <v>364</v>
      </c>
      <c r="F22" s="40" t="s">
        <v>363</v>
      </c>
      <c r="G22" s="40" t="s">
        <v>336</v>
      </c>
      <c r="H22" s="40">
        <v>174991</v>
      </c>
      <c r="I22" s="40" t="s">
        <v>337</v>
      </c>
      <c r="J22" s="40" t="s">
        <v>344</v>
      </c>
      <c r="K22" s="41">
        <v>26334092</v>
      </c>
      <c r="L22" s="40" t="s">
        <v>339</v>
      </c>
      <c r="M22" s="40" t="s">
        <v>340</v>
      </c>
      <c r="N22" s="40">
        <v>4.3600000000000003</v>
      </c>
      <c r="O22" s="40">
        <v>20.66</v>
      </c>
      <c r="P22" s="42">
        <v>90.09</v>
      </c>
    </row>
    <row r="23" spans="1:16" s="36" customFormat="1" x14ac:dyDescent="0.25">
      <c r="A23" s="37">
        <v>11</v>
      </c>
      <c r="B23" s="37">
        <v>11002051</v>
      </c>
      <c r="C23" s="37" t="s">
        <v>332</v>
      </c>
      <c r="D23" s="37" t="s">
        <v>365</v>
      </c>
      <c r="E23" s="37" t="s">
        <v>366</v>
      </c>
      <c r="F23" s="37" t="s">
        <v>367</v>
      </c>
      <c r="G23" s="37" t="s">
        <v>336</v>
      </c>
      <c r="H23" s="37">
        <v>169238</v>
      </c>
      <c r="I23" s="37" t="s">
        <v>337</v>
      </c>
      <c r="J23" s="37" t="s">
        <v>344</v>
      </c>
      <c r="K23" s="38">
        <v>44153518</v>
      </c>
      <c r="L23" s="37" t="s">
        <v>339</v>
      </c>
      <c r="M23" s="37" t="s">
        <v>340</v>
      </c>
      <c r="N23" s="37">
        <v>4.1100000000000003</v>
      </c>
      <c r="O23" s="37">
        <v>36.57</v>
      </c>
      <c r="P23" s="39">
        <v>150.4</v>
      </c>
    </row>
    <row r="24" spans="1:16" s="36" customFormat="1" ht="30" x14ac:dyDescent="0.25">
      <c r="A24" s="40">
        <v>12</v>
      </c>
      <c r="B24" s="40">
        <v>11004595</v>
      </c>
      <c r="C24" s="40" t="s">
        <v>332</v>
      </c>
      <c r="D24" s="40" t="s">
        <v>368</v>
      </c>
      <c r="E24" s="40" t="s">
        <v>369</v>
      </c>
      <c r="F24" s="40" t="s">
        <v>370</v>
      </c>
      <c r="G24" s="40" t="s">
        <v>336</v>
      </c>
      <c r="H24" s="40">
        <v>174103</v>
      </c>
      <c r="I24" s="40" t="s">
        <v>337</v>
      </c>
      <c r="J24" s="40" t="s">
        <v>344</v>
      </c>
      <c r="K24" s="41">
        <v>72100197</v>
      </c>
      <c r="L24" s="40" t="s">
        <v>339</v>
      </c>
      <c r="M24" s="40" t="s">
        <v>340</v>
      </c>
      <c r="N24" s="40">
        <v>2.99</v>
      </c>
      <c r="O24" s="40">
        <v>78.89</v>
      </c>
      <c r="P24" s="42">
        <v>235.6</v>
      </c>
    </row>
    <row r="25" spans="1:16" s="36" customFormat="1" x14ac:dyDescent="0.25">
      <c r="A25" s="37">
        <v>13</v>
      </c>
      <c r="B25" s="37">
        <v>11004428</v>
      </c>
      <c r="C25" s="37" t="s">
        <v>332</v>
      </c>
      <c r="D25" s="37" t="s">
        <v>371</v>
      </c>
      <c r="E25" s="37" t="s">
        <v>362</v>
      </c>
      <c r="F25" s="37" t="s">
        <v>372</v>
      </c>
      <c r="G25" s="37" t="s">
        <v>336</v>
      </c>
      <c r="H25" s="37">
        <v>174146</v>
      </c>
      <c r="I25" s="37" t="s">
        <v>337</v>
      </c>
      <c r="J25" s="37" t="s">
        <v>344</v>
      </c>
      <c r="K25" s="38">
        <v>93953413</v>
      </c>
      <c r="L25" s="37" t="s">
        <v>339</v>
      </c>
      <c r="M25" s="37" t="s">
        <v>340</v>
      </c>
      <c r="N25" s="37">
        <v>3.1</v>
      </c>
      <c r="O25" s="37">
        <v>99.65</v>
      </c>
      <c r="P25" s="39">
        <v>309.13</v>
      </c>
    </row>
    <row r="26" spans="1:16" s="36" customFormat="1" ht="30" x14ac:dyDescent="0.25">
      <c r="A26" s="40">
        <v>14</v>
      </c>
      <c r="B26" s="40">
        <v>11004238</v>
      </c>
      <c r="C26" s="40" t="s">
        <v>332</v>
      </c>
      <c r="D26" s="40" t="s">
        <v>371</v>
      </c>
      <c r="E26" s="40" t="s">
        <v>372</v>
      </c>
      <c r="F26" s="40" t="s">
        <v>373</v>
      </c>
      <c r="G26" s="40" t="s">
        <v>336</v>
      </c>
      <c r="H26" s="40">
        <v>174147</v>
      </c>
      <c r="I26" s="40" t="s">
        <v>374</v>
      </c>
      <c r="J26" s="40" t="s">
        <v>344</v>
      </c>
      <c r="K26" s="41">
        <v>3786630</v>
      </c>
      <c r="L26" s="40" t="s">
        <v>339</v>
      </c>
      <c r="M26" s="40" t="s">
        <v>340</v>
      </c>
      <c r="N26" s="40">
        <v>3.1</v>
      </c>
      <c r="O26" s="40">
        <v>109.34</v>
      </c>
      <c r="P26" s="42">
        <v>339.34</v>
      </c>
    </row>
    <row r="27" spans="1:16" s="36" customFormat="1" x14ac:dyDescent="0.25">
      <c r="A27" s="37">
        <v>15</v>
      </c>
      <c r="B27" s="37">
        <v>11005215</v>
      </c>
      <c r="C27" s="37" t="s">
        <v>332</v>
      </c>
      <c r="D27" s="37" t="s">
        <v>375</v>
      </c>
      <c r="E27" s="37" t="s">
        <v>376</v>
      </c>
      <c r="F27" s="37" t="s">
        <v>377</v>
      </c>
      <c r="G27" s="37" t="s">
        <v>336</v>
      </c>
      <c r="H27" s="37">
        <v>800044</v>
      </c>
      <c r="I27" s="37" t="s">
        <v>337</v>
      </c>
      <c r="J27" s="37" t="s">
        <v>344</v>
      </c>
      <c r="K27" s="38">
        <v>107424592</v>
      </c>
      <c r="L27" s="37" t="s">
        <v>339</v>
      </c>
      <c r="M27" s="37" t="s">
        <v>340</v>
      </c>
      <c r="N27" s="37">
        <v>6.44</v>
      </c>
      <c r="O27" s="37">
        <v>58.84</v>
      </c>
      <c r="P27" s="39">
        <v>379.14</v>
      </c>
    </row>
    <row r="28" spans="1:16" s="36" customFormat="1" ht="30" x14ac:dyDescent="0.25">
      <c r="A28" s="40">
        <v>16</v>
      </c>
      <c r="B28" s="40">
        <v>11005418</v>
      </c>
      <c r="C28" s="40" t="s">
        <v>332</v>
      </c>
      <c r="D28" s="40" t="s">
        <v>378</v>
      </c>
      <c r="E28" s="40" t="s">
        <v>379</v>
      </c>
      <c r="F28" s="40" t="s">
        <v>380</v>
      </c>
      <c r="G28" s="40" t="s">
        <v>336</v>
      </c>
      <c r="H28" s="40">
        <v>171265</v>
      </c>
      <c r="I28" s="40" t="s">
        <v>374</v>
      </c>
      <c r="J28" s="40" t="s">
        <v>344</v>
      </c>
      <c r="K28" s="41">
        <v>2435060</v>
      </c>
      <c r="L28" s="40" t="s">
        <v>339</v>
      </c>
      <c r="M28" s="40" t="s">
        <v>340</v>
      </c>
      <c r="N28" s="40">
        <v>5.92</v>
      </c>
      <c r="O28" s="40">
        <v>36.83</v>
      </c>
      <c r="P28" s="42">
        <v>218.04</v>
      </c>
    </row>
    <row r="29" spans="1:16" s="36" customFormat="1" ht="30" x14ac:dyDescent="0.25">
      <c r="A29" s="37">
        <v>17</v>
      </c>
      <c r="B29" s="37">
        <v>11005417</v>
      </c>
      <c r="C29" s="37" t="s">
        <v>332</v>
      </c>
      <c r="D29" s="37" t="s">
        <v>381</v>
      </c>
      <c r="E29" s="37" t="s">
        <v>378</v>
      </c>
      <c r="F29" s="37" t="s">
        <v>382</v>
      </c>
      <c r="G29" s="37" t="s">
        <v>336</v>
      </c>
      <c r="H29" s="37">
        <v>171267</v>
      </c>
      <c r="I29" s="37" t="s">
        <v>374</v>
      </c>
      <c r="J29" s="37" t="s">
        <v>344</v>
      </c>
      <c r="K29" s="38">
        <v>2557930</v>
      </c>
      <c r="L29" s="37" t="s">
        <v>339</v>
      </c>
      <c r="M29" s="37" t="s">
        <v>340</v>
      </c>
      <c r="N29" s="37">
        <v>2.93</v>
      </c>
      <c r="O29" s="37">
        <v>78.22</v>
      </c>
      <c r="P29" s="39">
        <v>229.39</v>
      </c>
    </row>
    <row r="30" spans="1:16" s="36" customFormat="1" ht="30" x14ac:dyDescent="0.25">
      <c r="A30" s="40">
        <v>18</v>
      </c>
      <c r="B30" s="40">
        <v>11005536</v>
      </c>
      <c r="C30" s="40" t="s">
        <v>332</v>
      </c>
      <c r="D30" s="40" t="s">
        <v>381</v>
      </c>
      <c r="E30" s="40" t="s">
        <v>378</v>
      </c>
      <c r="F30" s="40" t="s">
        <v>383</v>
      </c>
      <c r="G30" s="40" t="s">
        <v>336</v>
      </c>
      <c r="H30" s="40">
        <v>171266</v>
      </c>
      <c r="I30" s="40" t="s">
        <v>374</v>
      </c>
      <c r="J30" s="40" t="s">
        <v>344</v>
      </c>
      <c r="K30" s="41">
        <v>2278680</v>
      </c>
      <c r="L30" s="40" t="s">
        <v>339</v>
      </c>
      <c r="M30" s="40" t="s">
        <v>340</v>
      </c>
      <c r="N30" s="40">
        <v>3.02</v>
      </c>
      <c r="O30" s="40">
        <v>67.59</v>
      </c>
      <c r="P30" s="42">
        <v>203.85</v>
      </c>
    </row>
    <row r="31" spans="1:16" s="36" customFormat="1" ht="30" x14ac:dyDescent="0.25">
      <c r="A31" s="37">
        <v>19</v>
      </c>
      <c r="B31" s="37">
        <v>11008694</v>
      </c>
      <c r="C31" s="37" t="s">
        <v>332</v>
      </c>
      <c r="D31" s="37" t="s">
        <v>384</v>
      </c>
      <c r="E31" s="37" t="s">
        <v>385</v>
      </c>
      <c r="F31" s="37" t="s">
        <v>372</v>
      </c>
      <c r="G31" s="37" t="s">
        <v>336</v>
      </c>
      <c r="H31" s="37">
        <v>167909</v>
      </c>
      <c r="I31" s="37" t="s">
        <v>359</v>
      </c>
      <c r="J31" s="37" t="s">
        <v>344</v>
      </c>
      <c r="K31" s="38">
        <v>60292736</v>
      </c>
      <c r="L31" s="37" t="s">
        <v>339</v>
      </c>
      <c r="M31" s="37" t="s">
        <v>340</v>
      </c>
      <c r="N31" s="37">
        <v>6.44</v>
      </c>
      <c r="O31" s="37">
        <v>139.13</v>
      </c>
      <c r="P31" s="39">
        <v>896.66</v>
      </c>
    </row>
    <row r="32" spans="1:16" s="36" customFormat="1" x14ac:dyDescent="0.25">
      <c r="A32" s="40">
        <v>20</v>
      </c>
      <c r="B32" s="40">
        <v>11003050</v>
      </c>
      <c r="C32" s="40" t="s">
        <v>332</v>
      </c>
      <c r="D32" s="40" t="s">
        <v>386</v>
      </c>
      <c r="E32" s="40" t="s">
        <v>387</v>
      </c>
      <c r="F32" s="40" t="s">
        <v>388</v>
      </c>
      <c r="G32" s="40" t="s">
        <v>389</v>
      </c>
      <c r="H32" s="40">
        <v>91100218</v>
      </c>
      <c r="I32" s="40" t="s">
        <v>337</v>
      </c>
      <c r="J32" s="40" t="s">
        <v>344</v>
      </c>
      <c r="K32" s="41">
        <v>114222255</v>
      </c>
      <c r="L32" s="40" t="s">
        <v>339</v>
      </c>
      <c r="M32" s="40" t="s">
        <v>340</v>
      </c>
      <c r="N32" s="40">
        <v>15</v>
      </c>
      <c r="O32" s="40">
        <v>34.65</v>
      </c>
      <c r="P32" s="42">
        <f>+N32*O32</f>
        <v>519.75</v>
      </c>
    </row>
    <row r="33" spans="1:16" s="36" customFormat="1" x14ac:dyDescent="0.25">
      <c r="A33" s="37">
        <v>21</v>
      </c>
      <c r="B33" s="37">
        <v>11003033</v>
      </c>
      <c r="C33" s="37" t="s">
        <v>332</v>
      </c>
      <c r="D33" s="37" t="s">
        <v>386</v>
      </c>
      <c r="E33" s="37" t="s">
        <v>388</v>
      </c>
      <c r="F33" s="37" t="s">
        <v>390</v>
      </c>
      <c r="G33" s="37" t="s">
        <v>389</v>
      </c>
      <c r="H33" s="37">
        <v>91100346</v>
      </c>
      <c r="I33" s="37" t="s">
        <v>337</v>
      </c>
      <c r="J33" s="37" t="s">
        <v>344</v>
      </c>
      <c r="K33" s="38">
        <v>90058599</v>
      </c>
      <c r="L33" s="37" t="s">
        <v>339</v>
      </c>
      <c r="M33" s="37" t="s">
        <v>340</v>
      </c>
      <c r="N33" s="37">
        <v>15</v>
      </c>
      <c r="O33" s="37">
        <v>27.31</v>
      </c>
      <c r="P33" s="39">
        <f>+N33*O33</f>
        <v>409.65</v>
      </c>
    </row>
    <row r="34" spans="1:16" s="36" customFormat="1" x14ac:dyDescent="0.25">
      <c r="A34" s="40">
        <v>22</v>
      </c>
      <c r="B34" s="40">
        <v>11013446</v>
      </c>
      <c r="C34" s="40" t="s">
        <v>332</v>
      </c>
      <c r="D34" s="40" t="s">
        <v>386</v>
      </c>
      <c r="E34" s="40" t="s">
        <v>390</v>
      </c>
      <c r="F34" s="40" t="s">
        <v>390</v>
      </c>
      <c r="G34" s="40" t="s">
        <v>389</v>
      </c>
      <c r="H34" s="40">
        <v>91104122</v>
      </c>
      <c r="I34" s="40" t="s">
        <v>337</v>
      </c>
      <c r="J34" s="40" t="s">
        <v>344</v>
      </c>
      <c r="K34" s="41">
        <v>44148391</v>
      </c>
      <c r="L34" s="40" t="s">
        <v>339</v>
      </c>
      <c r="M34" s="40" t="s">
        <v>340</v>
      </c>
      <c r="N34" s="40">
        <v>15</v>
      </c>
      <c r="O34" s="40">
        <v>13.37</v>
      </c>
      <c r="P34" s="42">
        <f>+N34*O34</f>
        <v>200.54999999999998</v>
      </c>
    </row>
    <row r="35" spans="1:16" s="36" customFormat="1" x14ac:dyDescent="0.25">
      <c r="A35" s="37">
        <v>23</v>
      </c>
      <c r="B35" s="37">
        <v>11003020</v>
      </c>
      <c r="C35" s="37" t="s">
        <v>332</v>
      </c>
      <c r="D35" s="37" t="s">
        <v>386</v>
      </c>
      <c r="E35" s="37" t="s">
        <v>390</v>
      </c>
      <c r="F35" s="37" t="s">
        <v>391</v>
      </c>
      <c r="G35" s="37" t="s">
        <v>389</v>
      </c>
      <c r="H35" s="37">
        <v>91100345</v>
      </c>
      <c r="I35" s="37" t="s">
        <v>337</v>
      </c>
      <c r="J35" s="37" t="s">
        <v>344</v>
      </c>
      <c r="K35" s="38">
        <v>57994501</v>
      </c>
      <c r="L35" s="37" t="s">
        <v>339</v>
      </c>
      <c r="M35" s="37" t="s">
        <v>340</v>
      </c>
      <c r="N35" s="37">
        <v>15</v>
      </c>
      <c r="O35" s="37">
        <v>17.63</v>
      </c>
      <c r="P35" s="39">
        <f>+N35*O35</f>
        <v>264.45</v>
      </c>
    </row>
    <row r="36" spans="1:16" s="36" customFormat="1" x14ac:dyDescent="0.25">
      <c r="A36" s="40">
        <v>24</v>
      </c>
      <c r="B36" s="40">
        <v>11011976</v>
      </c>
      <c r="C36" s="40" t="s">
        <v>332</v>
      </c>
      <c r="D36" s="40" t="s">
        <v>392</v>
      </c>
      <c r="E36" s="40" t="s">
        <v>393</v>
      </c>
      <c r="F36" s="40" t="s">
        <v>393</v>
      </c>
      <c r="G36" s="40" t="s">
        <v>336</v>
      </c>
      <c r="H36" s="40">
        <v>472369</v>
      </c>
      <c r="I36" s="40" t="s">
        <v>337</v>
      </c>
      <c r="J36" s="40" t="s">
        <v>338</v>
      </c>
      <c r="K36" s="41">
        <v>37402834</v>
      </c>
      <c r="L36" s="40" t="s">
        <v>339</v>
      </c>
      <c r="M36" s="40" t="s">
        <v>340</v>
      </c>
      <c r="N36" s="40">
        <v>10.52</v>
      </c>
      <c r="O36" s="40">
        <v>16.739999999999998</v>
      </c>
      <c r="P36" s="42">
        <v>176.12</v>
      </c>
    </row>
    <row r="37" spans="1:16" s="36" customFormat="1" x14ac:dyDescent="0.25">
      <c r="A37" s="37">
        <v>25</v>
      </c>
      <c r="B37" s="37">
        <v>11011977</v>
      </c>
      <c r="C37" s="37" t="s">
        <v>332</v>
      </c>
      <c r="D37" s="37" t="s">
        <v>392</v>
      </c>
      <c r="E37" s="37" t="s">
        <v>394</v>
      </c>
      <c r="F37" s="37" t="s">
        <v>393</v>
      </c>
      <c r="G37" s="37" t="s">
        <v>336</v>
      </c>
      <c r="H37" s="37">
        <v>472370</v>
      </c>
      <c r="I37" s="37" t="s">
        <v>337</v>
      </c>
      <c r="J37" s="37" t="s">
        <v>338</v>
      </c>
      <c r="K37" s="38">
        <v>203802940</v>
      </c>
      <c r="L37" s="37" t="s">
        <v>339</v>
      </c>
      <c r="M37" s="37" t="s">
        <v>340</v>
      </c>
      <c r="N37" s="37">
        <v>10.039999999999999</v>
      </c>
      <c r="O37" s="37">
        <v>95.48</v>
      </c>
      <c r="P37" s="39">
        <v>958.99</v>
      </c>
    </row>
    <row r="38" spans="1:16" s="36" customFormat="1" x14ac:dyDescent="0.25">
      <c r="A38" s="40">
        <v>26</v>
      </c>
      <c r="B38" s="40">
        <v>11006546</v>
      </c>
      <c r="C38" s="40" t="s">
        <v>332</v>
      </c>
      <c r="D38" s="40" t="s">
        <v>392</v>
      </c>
      <c r="E38" s="40" t="s">
        <v>394</v>
      </c>
      <c r="F38" s="40" t="s">
        <v>394</v>
      </c>
      <c r="G38" s="40" t="s">
        <v>336</v>
      </c>
      <c r="H38" s="40">
        <v>173502</v>
      </c>
      <c r="I38" s="40" t="s">
        <v>337</v>
      </c>
      <c r="J38" s="40" t="s">
        <v>338</v>
      </c>
      <c r="K38" s="41">
        <v>29964770</v>
      </c>
      <c r="L38" s="40" t="s">
        <v>339</v>
      </c>
      <c r="M38" s="40" t="s">
        <v>340</v>
      </c>
      <c r="N38" s="40">
        <v>10.37</v>
      </c>
      <c r="O38" s="40">
        <v>13.62</v>
      </c>
      <c r="P38" s="42">
        <v>141.26</v>
      </c>
    </row>
    <row r="39" spans="1:16" s="36" customFormat="1" x14ac:dyDescent="0.25">
      <c r="A39" s="37">
        <v>27</v>
      </c>
      <c r="B39" s="37">
        <v>11011978</v>
      </c>
      <c r="C39" s="37" t="s">
        <v>332</v>
      </c>
      <c r="D39" s="37" t="s">
        <v>392</v>
      </c>
      <c r="E39" s="37" t="s">
        <v>395</v>
      </c>
      <c r="F39" s="37" t="s">
        <v>394</v>
      </c>
      <c r="G39" s="37" t="s">
        <v>336</v>
      </c>
      <c r="H39" s="37">
        <v>472371</v>
      </c>
      <c r="I39" s="37" t="s">
        <v>337</v>
      </c>
      <c r="J39" s="37" t="s">
        <v>338</v>
      </c>
      <c r="K39" s="38">
        <v>142173271</v>
      </c>
      <c r="L39" s="37" t="s">
        <v>339</v>
      </c>
      <c r="M39" s="37" t="s">
        <v>340</v>
      </c>
      <c r="N39" s="37">
        <v>9.8800000000000008</v>
      </c>
      <c r="O39" s="37">
        <v>67.739999999999995</v>
      </c>
      <c r="P39" s="39">
        <v>669.44</v>
      </c>
    </row>
    <row r="40" spans="1:16" s="36" customFormat="1" x14ac:dyDescent="0.25">
      <c r="A40" s="40">
        <v>28</v>
      </c>
      <c r="B40" s="40">
        <v>11006617</v>
      </c>
      <c r="C40" s="40" t="s">
        <v>332</v>
      </c>
      <c r="D40" s="40" t="s">
        <v>392</v>
      </c>
      <c r="E40" s="40" t="s">
        <v>396</v>
      </c>
      <c r="F40" s="40" t="s">
        <v>395</v>
      </c>
      <c r="G40" s="40" t="s">
        <v>336</v>
      </c>
      <c r="H40" s="40">
        <v>173501</v>
      </c>
      <c r="I40" s="40" t="s">
        <v>337</v>
      </c>
      <c r="J40" s="40" t="s">
        <v>338</v>
      </c>
      <c r="K40" s="41">
        <v>100520115</v>
      </c>
      <c r="L40" s="40" t="s">
        <v>339</v>
      </c>
      <c r="M40" s="40" t="s">
        <v>340</v>
      </c>
      <c r="N40" s="40">
        <v>10.79</v>
      </c>
      <c r="O40" s="40">
        <v>43.84</v>
      </c>
      <c r="P40" s="42">
        <v>472.92</v>
      </c>
    </row>
    <row r="41" spans="1:16" s="36" customFormat="1" x14ac:dyDescent="0.25">
      <c r="A41" s="37">
        <v>29</v>
      </c>
      <c r="B41" s="37">
        <v>11004156</v>
      </c>
      <c r="C41" s="37" t="s">
        <v>332</v>
      </c>
      <c r="D41" s="37" t="s">
        <v>397</v>
      </c>
      <c r="E41" s="37" t="s">
        <v>398</v>
      </c>
      <c r="F41" s="37" t="s">
        <v>399</v>
      </c>
      <c r="G41" s="37" t="s">
        <v>336</v>
      </c>
      <c r="H41" s="37">
        <v>173807</v>
      </c>
      <c r="I41" s="37" t="s">
        <v>337</v>
      </c>
      <c r="J41" s="37" t="s">
        <v>344</v>
      </c>
      <c r="K41" s="38">
        <v>56256310</v>
      </c>
      <c r="L41" s="37" t="s">
        <v>339</v>
      </c>
      <c r="M41" s="37" t="s">
        <v>340</v>
      </c>
      <c r="N41" s="37">
        <v>7.9</v>
      </c>
      <c r="O41" s="37">
        <v>25.4</v>
      </c>
      <c r="P41" s="39">
        <v>200.58</v>
      </c>
    </row>
    <row r="42" spans="1:16" s="36" customFormat="1" x14ac:dyDescent="0.25">
      <c r="A42" s="40">
        <v>30</v>
      </c>
      <c r="B42" s="40">
        <v>11013439</v>
      </c>
      <c r="C42" s="40" t="s">
        <v>332</v>
      </c>
      <c r="D42" s="40" t="s">
        <v>397</v>
      </c>
      <c r="E42" s="40" t="s">
        <v>399</v>
      </c>
      <c r="F42" s="40" t="s">
        <v>399</v>
      </c>
      <c r="G42" s="40" t="s">
        <v>336</v>
      </c>
      <c r="H42" s="40">
        <v>91020581</v>
      </c>
      <c r="I42" s="40" t="s">
        <v>337</v>
      </c>
      <c r="J42" s="40" t="s">
        <v>344</v>
      </c>
      <c r="K42" s="41">
        <v>24036872</v>
      </c>
      <c r="L42" s="40" t="s">
        <v>339</v>
      </c>
      <c r="M42" s="40" t="s">
        <v>340</v>
      </c>
      <c r="N42" s="40">
        <v>8.16</v>
      </c>
      <c r="O42" s="40">
        <v>10.6</v>
      </c>
      <c r="P42" s="42">
        <v>86.47</v>
      </c>
    </row>
    <row r="43" spans="1:16" s="36" customFormat="1" x14ac:dyDescent="0.25">
      <c r="A43" s="37">
        <v>31</v>
      </c>
      <c r="B43" s="37">
        <v>11004110</v>
      </c>
      <c r="C43" s="37" t="s">
        <v>332</v>
      </c>
      <c r="D43" s="37" t="s">
        <v>397</v>
      </c>
      <c r="E43" s="37" t="s">
        <v>399</v>
      </c>
      <c r="F43" s="37" t="s">
        <v>400</v>
      </c>
      <c r="G43" s="37" t="s">
        <v>336</v>
      </c>
      <c r="H43" s="37">
        <v>173808</v>
      </c>
      <c r="I43" s="37" t="s">
        <v>337</v>
      </c>
      <c r="J43" s="37" t="s">
        <v>344</v>
      </c>
      <c r="K43" s="38">
        <v>38134714</v>
      </c>
      <c r="L43" s="37" t="s">
        <v>339</v>
      </c>
      <c r="M43" s="37" t="s">
        <v>340</v>
      </c>
      <c r="N43" s="37">
        <v>7.66</v>
      </c>
      <c r="O43" s="37">
        <v>17.760000000000002</v>
      </c>
      <c r="P43" s="39">
        <v>136.07</v>
      </c>
    </row>
    <row r="44" spans="1:16" s="36" customFormat="1" x14ac:dyDescent="0.25">
      <c r="A44" s="40">
        <v>32</v>
      </c>
      <c r="B44" s="40">
        <v>11004080</v>
      </c>
      <c r="C44" s="40" t="s">
        <v>332</v>
      </c>
      <c r="D44" s="40" t="s">
        <v>397</v>
      </c>
      <c r="E44" s="40" t="s">
        <v>400</v>
      </c>
      <c r="F44" s="40" t="s">
        <v>401</v>
      </c>
      <c r="G44" s="40" t="s">
        <v>336</v>
      </c>
      <c r="H44" s="40">
        <v>173809</v>
      </c>
      <c r="I44" s="40" t="s">
        <v>337</v>
      </c>
      <c r="J44" s="40" t="s">
        <v>344</v>
      </c>
      <c r="K44" s="41">
        <v>78576161</v>
      </c>
      <c r="L44" s="40" t="s">
        <v>339</v>
      </c>
      <c r="M44" s="40" t="s">
        <v>340</v>
      </c>
      <c r="N44" s="40">
        <v>7.56</v>
      </c>
      <c r="O44" s="40">
        <v>37.08</v>
      </c>
      <c r="P44" s="42">
        <v>280.26</v>
      </c>
    </row>
    <row r="45" spans="1:16" s="36" customFormat="1" x14ac:dyDescent="0.25">
      <c r="A45" s="37">
        <v>33</v>
      </c>
      <c r="B45" s="37">
        <v>11001671</v>
      </c>
      <c r="C45" s="37" t="s">
        <v>332</v>
      </c>
      <c r="D45" s="37" t="s">
        <v>402</v>
      </c>
      <c r="E45" s="37" t="s">
        <v>403</v>
      </c>
      <c r="F45" s="37" t="s">
        <v>404</v>
      </c>
      <c r="G45" s="37" t="s">
        <v>336</v>
      </c>
      <c r="H45" s="37">
        <v>177523</v>
      </c>
      <c r="I45" s="37" t="s">
        <v>337</v>
      </c>
      <c r="J45" s="37" t="s">
        <v>344</v>
      </c>
      <c r="K45" s="38">
        <v>419507378</v>
      </c>
      <c r="L45" s="37" t="s">
        <v>339</v>
      </c>
      <c r="M45" s="37" t="s">
        <v>340</v>
      </c>
      <c r="N45" s="37">
        <v>7.39</v>
      </c>
      <c r="O45" s="37">
        <v>202</v>
      </c>
      <c r="P45" s="39">
        <v>1493.11</v>
      </c>
    </row>
    <row r="46" spans="1:16" s="36" customFormat="1" x14ac:dyDescent="0.25">
      <c r="A46" s="40">
        <v>34</v>
      </c>
      <c r="B46" s="40">
        <v>11002161</v>
      </c>
      <c r="C46" s="40" t="s">
        <v>332</v>
      </c>
      <c r="D46" s="40" t="s">
        <v>405</v>
      </c>
      <c r="E46" s="40" t="s">
        <v>406</v>
      </c>
      <c r="F46" s="40" t="s">
        <v>407</v>
      </c>
      <c r="G46" s="40" t="s">
        <v>336</v>
      </c>
      <c r="H46" s="40">
        <v>175849</v>
      </c>
      <c r="I46" s="40" t="s">
        <v>337</v>
      </c>
      <c r="J46" s="40" t="s">
        <v>344</v>
      </c>
      <c r="K46" s="41">
        <v>264256621</v>
      </c>
      <c r="L46" s="40" t="s">
        <v>339</v>
      </c>
      <c r="M46" s="40" t="s">
        <v>340</v>
      </c>
      <c r="N46" s="40">
        <v>7.89</v>
      </c>
      <c r="O46" s="40">
        <v>119.68</v>
      </c>
      <c r="P46" s="42">
        <v>943.81</v>
      </c>
    </row>
    <row r="47" spans="1:16" s="36" customFormat="1" ht="30" x14ac:dyDescent="0.25">
      <c r="A47" s="37">
        <v>35</v>
      </c>
      <c r="B47" s="37">
        <v>11003955</v>
      </c>
      <c r="C47" s="37" t="s">
        <v>332</v>
      </c>
      <c r="D47" s="37" t="s">
        <v>408</v>
      </c>
      <c r="E47" s="37" t="s">
        <v>409</v>
      </c>
      <c r="F47" s="37" t="s">
        <v>410</v>
      </c>
      <c r="G47" s="37" t="s">
        <v>336</v>
      </c>
      <c r="H47" s="37">
        <v>176248</v>
      </c>
      <c r="I47" s="37" t="s">
        <v>359</v>
      </c>
      <c r="J47" s="37" t="s">
        <v>344</v>
      </c>
      <c r="K47" s="38">
        <v>44883097</v>
      </c>
      <c r="L47" s="37" t="s">
        <v>339</v>
      </c>
      <c r="M47" s="37" t="s">
        <v>340</v>
      </c>
      <c r="N47" s="37">
        <v>5.13</v>
      </c>
      <c r="O47" s="37">
        <v>129.93</v>
      </c>
      <c r="P47" s="39">
        <v>666.96</v>
      </c>
    </row>
    <row r="48" spans="1:16" s="36" customFormat="1" x14ac:dyDescent="0.25">
      <c r="A48" s="40">
        <v>36</v>
      </c>
      <c r="B48" s="40">
        <v>11001937</v>
      </c>
      <c r="C48" s="40" t="s">
        <v>332</v>
      </c>
      <c r="D48" s="40" t="s">
        <v>411</v>
      </c>
      <c r="E48" s="40" t="s">
        <v>412</v>
      </c>
      <c r="F48" s="40" t="s">
        <v>353</v>
      </c>
      <c r="G48" s="40" t="s">
        <v>336</v>
      </c>
      <c r="H48" s="40">
        <v>176420</v>
      </c>
      <c r="I48" s="40" t="s">
        <v>337</v>
      </c>
      <c r="J48" s="40" t="s">
        <v>344</v>
      </c>
      <c r="K48" s="41">
        <v>189904252</v>
      </c>
      <c r="L48" s="40" t="s">
        <v>339</v>
      </c>
      <c r="M48" s="40" t="s">
        <v>340</v>
      </c>
      <c r="N48" s="40">
        <v>8.7100000000000009</v>
      </c>
      <c r="O48" s="40">
        <v>78.27</v>
      </c>
      <c r="P48" s="42">
        <v>682.08</v>
      </c>
    </row>
    <row r="49" spans="1:16" s="36" customFormat="1" x14ac:dyDescent="0.25">
      <c r="A49" s="37">
        <v>37</v>
      </c>
      <c r="B49" s="37">
        <v>11002134</v>
      </c>
      <c r="C49" s="37" t="s">
        <v>332</v>
      </c>
      <c r="D49" s="37" t="s">
        <v>411</v>
      </c>
      <c r="E49" s="37" t="s">
        <v>413</v>
      </c>
      <c r="F49" s="37" t="s">
        <v>412</v>
      </c>
      <c r="G49" s="37" t="s">
        <v>336</v>
      </c>
      <c r="H49" s="37">
        <v>176418</v>
      </c>
      <c r="I49" s="37" t="s">
        <v>337</v>
      </c>
      <c r="J49" s="37" t="s">
        <v>344</v>
      </c>
      <c r="K49" s="38">
        <v>289739178</v>
      </c>
      <c r="L49" s="37" t="s">
        <v>339</v>
      </c>
      <c r="M49" s="37" t="s">
        <v>340</v>
      </c>
      <c r="N49" s="37">
        <v>9.7100000000000009</v>
      </c>
      <c r="O49" s="37">
        <v>107.7</v>
      </c>
      <c r="P49" s="39">
        <v>1045.6500000000001</v>
      </c>
    </row>
    <row r="50" spans="1:16" s="36" customFormat="1" x14ac:dyDescent="0.25">
      <c r="A50" s="40">
        <v>38</v>
      </c>
      <c r="B50" s="40">
        <v>11002492</v>
      </c>
      <c r="C50" s="40" t="s">
        <v>332</v>
      </c>
      <c r="D50" s="40" t="s">
        <v>414</v>
      </c>
      <c r="E50" s="40" t="s">
        <v>415</v>
      </c>
      <c r="F50" s="40" t="s">
        <v>416</v>
      </c>
      <c r="G50" s="40" t="s">
        <v>336</v>
      </c>
      <c r="H50" s="40">
        <v>175670</v>
      </c>
      <c r="I50" s="40" t="s">
        <v>337</v>
      </c>
      <c r="J50" s="40" t="s">
        <v>344</v>
      </c>
      <c r="K50" s="41">
        <v>43592165</v>
      </c>
      <c r="L50" s="40" t="s">
        <v>339</v>
      </c>
      <c r="M50" s="40" t="s">
        <v>340</v>
      </c>
      <c r="N50" s="40">
        <v>8.15</v>
      </c>
      <c r="O50" s="40">
        <v>19.149999999999999</v>
      </c>
      <c r="P50" s="42">
        <v>156.02000000000001</v>
      </c>
    </row>
    <row r="51" spans="1:16" s="36" customFormat="1" x14ac:dyDescent="0.25">
      <c r="A51" s="37">
        <v>39</v>
      </c>
      <c r="B51" s="37">
        <v>11002492</v>
      </c>
      <c r="C51" s="37" t="s">
        <v>332</v>
      </c>
      <c r="D51" s="37" t="s">
        <v>414</v>
      </c>
      <c r="E51" s="37" t="s">
        <v>415</v>
      </c>
      <c r="F51" s="37" t="s">
        <v>416</v>
      </c>
      <c r="G51" s="37" t="s">
        <v>389</v>
      </c>
      <c r="H51" s="37">
        <v>91100290</v>
      </c>
      <c r="I51" s="37" t="s">
        <v>337</v>
      </c>
      <c r="J51" s="37" t="s">
        <v>344</v>
      </c>
      <c r="K51" s="38">
        <v>27733805</v>
      </c>
      <c r="L51" s="37" t="s">
        <v>339</v>
      </c>
      <c r="M51" s="37" t="s">
        <v>340</v>
      </c>
      <c r="N51" s="37">
        <v>5</v>
      </c>
      <c r="O51" s="37">
        <v>19.149999999999999</v>
      </c>
      <c r="P51" s="39">
        <f>+N51*O51</f>
        <v>95.75</v>
      </c>
    </row>
    <row r="52" spans="1:16" s="36" customFormat="1" x14ac:dyDescent="0.25">
      <c r="A52" s="40">
        <v>40</v>
      </c>
      <c r="B52" s="40">
        <v>11002558</v>
      </c>
      <c r="C52" s="40" t="s">
        <v>332</v>
      </c>
      <c r="D52" s="40" t="s">
        <v>414</v>
      </c>
      <c r="E52" s="40" t="s">
        <v>417</v>
      </c>
      <c r="F52" s="40" t="s">
        <v>415</v>
      </c>
      <c r="G52" s="40" t="s">
        <v>336</v>
      </c>
      <c r="H52" s="40">
        <v>175669</v>
      </c>
      <c r="I52" s="40" t="s">
        <v>337</v>
      </c>
      <c r="J52" s="40" t="s">
        <v>344</v>
      </c>
      <c r="K52" s="41">
        <v>74030313</v>
      </c>
      <c r="L52" s="40" t="s">
        <v>339</v>
      </c>
      <c r="M52" s="40" t="s">
        <v>340</v>
      </c>
      <c r="N52" s="40">
        <v>8.7899999999999991</v>
      </c>
      <c r="O52" s="40">
        <v>30.22</v>
      </c>
      <c r="P52" s="42">
        <v>265.52</v>
      </c>
    </row>
    <row r="53" spans="1:16" s="36" customFormat="1" x14ac:dyDescent="0.25">
      <c r="A53" s="37">
        <v>41</v>
      </c>
      <c r="B53" s="37">
        <v>11012036</v>
      </c>
      <c r="C53" s="37" t="s">
        <v>332</v>
      </c>
      <c r="D53" s="37" t="s">
        <v>414</v>
      </c>
      <c r="E53" s="37" t="s">
        <v>418</v>
      </c>
      <c r="F53" s="37" t="s">
        <v>417</v>
      </c>
      <c r="G53" s="37" t="s">
        <v>336</v>
      </c>
      <c r="H53" s="37">
        <v>472420</v>
      </c>
      <c r="I53" s="37" t="s">
        <v>337</v>
      </c>
      <c r="J53" s="37" t="s">
        <v>344</v>
      </c>
      <c r="K53" s="38">
        <v>185324065</v>
      </c>
      <c r="L53" s="37" t="s">
        <v>339</v>
      </c>
      <c r="M53" s="37" t="s">
        <v>340</v>
      </c>
      <c r="N53" s="37">
        <v>8.83</v>
      </c>
      <c r="O53" s="37">
        <v>75.42</v>
      </c>
      <c r="P53" s="39">
        <v>666.03</v>
      </c>
    </row>
    <row r="54" spans="1:16" s="36" customFormat="1" x14ac:dyDescent="0.25">
      <c r="A54" s="40">
        <v>42</v>
      </c>
      <c r="B54" s="40">
        <v>11002792</v>
      </c>
      <c r="C54" s="40" t="s">
        <v>332</v>
      </c>
      <c r="D54" s="40" t="s">
        <v>414</v>
      </c>
      <c r="E54" s="40" t="s">
        <v>418</v>
      </c>
      <c r="F54" s="40" t="s">
        <v>418</v>
      </c>
      <c r="G54" s="40" t="s">
        <v>336</v>
      </c>
      <c r="H54" s="40">
        <v>173989</v>
      </c>
      <c r="I54" s="40" t="s">
        <v>337</v>
      </c>
      <c r="J54" s="40" t="s">
        <v>344</v>
      </c>
      <c r="K54" s="41">
        <v>51504792</v>
      </c>
      <c r="L54" s="40" t="s">
        <v>339</v>
      </c>
      <c r="M54" s="40" t="s">
        <v>340</v>
      </c>
      <c r="N54" s="40">
        <v>8.75</v>
      </c>
      <c r="O54" s="40">
        <v>21.16</v>
      </c>
      <c r="P54" s="42">
        <v>185.18</v>
      </c>
    </row>
    <row r="55" spans="1:16" s="36" customFormat="1" x14ac:dyDescent="0.25">
      <c r="A55" s="37">
        <v>43</v>
      </c>
      <c r="B55" s="37">
        <v>11002971</v>
      </c>
      <c r="C55" s="37" t="s">
        <v>332</v>
      </c>
      <c r="D55" s="37" t="s">
        <v>414</v>
      </c>
      <c r="E55" s="37" t="s">
        <v>386</v>
      </c>
      <c r="F55" s="37" t="s">
        <v>418</v>
      </c>
      <c r="G55" s="37" t="s">
        <v>336</v>
      </c>
      <c r="H55" s="37">
        <v>173988</v>
      </c>
      <c r="I55" s="37" t="s">
        <v>337</v>
      </c>
      <c r="J55" s="37" t="s">
        <v>344</v>
      </c>
      <c r="K55" s="38">
        <v>139161564</v>
      </c>
      <c r="L55" s="37" t="s">
        <v>339</v>
      </c>
      <c r="M55" s="37" t="s">
        <v>340</v>
      </c>
      <c r="N55" s="37">
        <v>8.7899999999999991</v>
      </c>
      <c r="O55" s="37">
        <v>56.86</v>
      </c>
      <c r="P55" s="39">
        <v>500.01</v>
      </c>
    </row>
    <row r="56" spans="1:16" s="36" customFormat="1" x14ac:dyDescent="0.25">
      <c r="A56" s="40">
        <v>44</v>
      </c>
      <c r="B56" s="40">
        <v>11013260</v>
      </c>
      <c r="C56" s="40" t="s">
        <v>332</v>
      </c>
      <c r="D56" s="40" t="s">
        <v>419</v>
      </c>
      <c r="E56" s="40" t="s">
        <v>420</v>
      </c>
      <c r="F56" s="40" t="s">
        <v>421</v>
      </c>
      <c r="G56" s="40" t="s">
        <v>336</v>
      </c>
      <c r="H56" s="40">
        <v>91019827</v>
      </c>
      <c r="I56" s="40" t="s">
        <v>337</v>
      </c>
      <c r="J56" s="40" t="s">
        <v>338</v>
      </c>
      <c r="K56" s="41">
        <v>284771574</v>
      </c>
      <c r="L56" s="40" t="s">
        <v>339</v>
      </c>
      <c r="M56" s="40" t="s">
        <v>340</v>
      </c>
      <c r="N56" s="40">
        <v>7.52</v>
      </c>
      <c r="O56" s="40">
        <v>160.41</v>
      </c>
      <c r="P56" s="42">
        <v>1206.17</v>
      </c>
    </row>
    <row r="57" spans="1:16" s="36" customFormat="1" x14ac:dyDescent="0.25">
      <c r="A57" s="37">
        <v>45</v>
      </c>
      <c r="B57" s="37">
        <v>11014399</v>
      </c>
      <c r="C57" s="37" t="s">
        <v>332</v>
      </c>
      <c r="D57" s="37" t="s">
        <v>422</v>
      </c>
      <c r="E57" s="37" t="s">
        <v>423</v>
      </c>
      <c r="F57" s="37" t="s">
        <v>424</v>
      </c>
      <c r="G57" s="37" t="s">
        <v>336</v>
      </c>
      <c r="H57" s="37">
        <v>91013890</v>
      </c>
      <c r="I57" s="37" t="s">
        <v>337</v>
      </c>
      <c r="J57" s="37" t="s">
        <v>338</v>
      </c>
      <c r="K57" s="38">
        <v>49823219</v>
      </c>
      <c r="L57" s="37" t="s">
        <v>339</v>
      </c>
      <c r="M57" s="37" t="s">
        <v>340</v>
      </c>
      <c r="N57" s="37">
        <v>3.55</v>
      </c>
      <c r="O57" s="37">
        <v>59.39</v>
      </c>
      <c r="P57" s="39">
        <v>210.77</v>
      </c>
    </row>
    <row r="58" spans="1:16" s="36" customFormat="1" x14ac:dyDescent="0.25">
      <c r="A58" s="40">
        <v>46</v>
      </c>
      <c r="B58" s="40">
        <v>11014396</v>
      </c>
      <c r="C58" s="40" t="s">
        <v>332</v>
      </c>
      <c r="D58" s="40" t="s">
        <v>422</v>
      </c>
      <c r="E58" s="40" t="s">
        <v>424</v>
      </c>
      <c r="F58" s="40" t="s">
        <v>425</v>
      </c>
      <c r="G58" s="40" t="s">
        <v>336</v>
      </c>
      <c r="H58" s="40">
        <v>91013885</v>
      </c>
      <c r="I58" s="40" t="s">
        <v>337</v>
      </c>
      <c r="J58" s="40" t="s">
        <v>338</v>
      </c>
      <c r="K58" s="41">
        <v>35183221</v>
      </c>
      <c r="L58" s="40" t="s">
        <v>339</v>
      </c>
      <c r="M58" s="40" t="s">
        <v>340</v>
      </c>
      <c r="N58" s="40">
        <v>3.15</v>
      </c>
      <c r="O58" s="40">
        <v>47.41</v>
      </c>
      <c r="P58" s="42">
        <v>149.54</v>
      </c>
    </row>
    <row r="59" spans="1:16" s="36" customFormat="1" x14ac:dyDescent="0.25">
      <c r="A59" s="37">
        <v>47</v>
      </c>
      <c r="B59" s="37">
        <v>11014397</v>
      </c>
      <c r="C59" s="37" t="s">
        <v>332</v>
      </c>
      <c r="D59" s="37" t="s">
        <v>422</v>
      </c>
      <c r="E59" s="37" t="s">
        <v>425</v>
      </c>
      <c r="F59" s="37" t="s">
        <v>426</v>
      </c>
      <c r="G59" s="37" t="s">
        <v>336</v>
      </c>
      <c r="H59" s="37">
        <v>91013842</v>
      </c>
      <c r="I59" s="37" t="s">
        <v>337</v>
      </c>
      <c r="J59" s="37" t="s">
        <v>338</v>
      </c>
      <c r="K59" s="38">
        <v>65407733</v>
      </c>
      <c r="L59" s="37" t="s">
        <v>339</v>
      </c>
      <c r="M59" s="37" t="s">
        <v>340</v>
      </c>
      <c r="N59" s="37">
        <v>4.8</v>
      </c>
      <c r="O59" s="37">
        <v>57.81</v>
      </c>
      <c r="P59" s="39">
        <v>277.32</v>
      </c>
    </row>
    <row r="60" spans="1:16" s="36" customFormat="1" x14ac:dyDescent="0.25">
      <c r="A60" s="40">
        <v>48</v>
      </c>
      <c r="B60" s="40">
        <v>11011188</v>
      </c>
      <c r="C60" s="40" t="s">
        <v>332</v>
      </c>
      <c r="D60" s="40" t="s">
        <v>427</v>
      </c>
      <c r="E60" s="40" t="s">
        <v>428</v>
      </c>
      <c r="F60" s="40" t="s">
        <v>429</v>
      </c>
      <c r="G60" s="40" t="s">
        <v>336</v>
      </c>
      <c r="H60" s="40">
        <v>168477</v>
      </c>
      <c r="I60" s="40" t="s">
        <v>337</v>
      </c>
      <c r="J60" s="40" t="s">
        <v>344</v>
      </c>
      <c r="K60" s="41">
        <v>73673562</v>
      </c>
      <c r="L60" s="40" t="s">
        <v>339</v>
      </c>
      <c r="M60" s="40" t="s">
        <v>340</v>
      </c>
      <c r="N60" s="40">
        <v>8.98</v>
      </c>
      <c r="O60" s="40">
        <v>29.47</v>
      </c>
      <c r="P60" s="42">
        <v>264.77999999999997</v>
      </c>
    </row>
    <row r="61" spans="1:16" s="36" customFormat="1" x14ac:dyDescent="0.25">
      <c r="A61" s="37">
        <v>49</v>
      </c>
      <c r="B61" s="37">
        <v>11006116</v>
      </c>
      <c r="C61" s="37" t="s">
        <v>332</v>
      </c>
      <c r="D61" s="37" t="s">
        <v>372</v>
      </c>
      <c r="E61" s="37" t="s">
        <v>408</v>
      </c>
      <c r="F61" s="37" t="s">
        <v>430</v>
      </c>
      <c r="G61" s="37" t="s">
        <v>431</v>
      </c>
      <c r="H61" s="37">
        <v>53781</v>
      </c>
      <c r="I61" s="37" t="s">
        <v>337</v>
      </c>
      <c r="J61" s="37" t="s">
        <v>338</v>
      </c>
      <c r="K61" s="38">
        <v>14965471</v>
      </c>
      <c r="L61" s="37" t="s">
        <v>339</v>
      </c>
      <c r="M61" s="37" t="s">
        <v>432</v>
      </c>
      <c r="N61" s="37">
        <v>1.9</v>
      </c>
      <c r="O61" s="37">
        <v>39.840000000000003</v>
      </c>
      <c r="P61" s="39">
        <v>75.7</v>
      </c>
    </row>
    <row r="62" spans="1:16" s="36" customFormat="1" x14ac:dyDescent="0.25">
      <c r="A62" s="43" t="s">
        <v>433</v>
      </c>
      <c r="B62" s="43"/>
      <c r="C62" s="43"/>
      <c r="D62" s="43"/>
      <c r="E62" s="43"/>
      <c r="F62" s="43"/>
      <c r="G62" s="43"/>
      <c r="H62" s="43"/>
      <c r="I62" s="43"/>
      <c r="J62" s="43"/>
      <c r="K62" s="44">
        <f>SUBTOTAL(109,'PRESUPUESTO OFICIAL'!$K$13:$K$61)</f>
        <v>4664382903</v>
      </c>
      <c r="L62" s="43"/>
      <c r="M62" s="43"/>
      <c r="N62" s="43"/>
      <c r="O62" s="45">
        <f>SUBTOTAL(109,'PRESUPUESTO OFICIAL'!$O$13:$O$61)</f>
        <v>3114.6599999999985</v>
      </c>
      <c r="P62" s="45">
        <f>SUBTOTAL(109,'PRESUPUESTO OFICIAL'!$P$13:$P$61)</f>
        <v>21400.120000000003</v>
      </c>
    </row>
    <row r="64" spans="1:16" x14ac:dyDescent="0.25">
      <c r="E64" s="516" t="s">
        <v>434</v>
      </c>
      <c r="F64" s="516"/>
      <c r="G64" s="516"/>
      <c r="H64" s="516"/>
      <c r="I64" s="516"/>
      <c r="J64" s="516"/>
      <c r="K64" s="46">
        <f>'PRESUPUESTO OFICIAL'!$K$62</f>
        <v>4664382903</v>
      </c>
      <c r="M64" s="47"/>
      <c r="O64">
        <f>(O62-O61-O51-O32-O33-O35)/1000</f>
        <v>2.9760799999999983</v>
      </c>
      <c r="P64" s="48">
        <v>1500</v>
      </c>
    </row>
    <row r="65" spans="5:14" x14ac:dyDescent="0.25">
      <c r="E65" s="512"/>
      <c r="F65" s="513"/>
      <c r="G65" s="513"/>
      <c r="H65" s="513"/>
      <c r="I65" s="513"/>
      <c r="J65" s="513"/>
      <c r="K65" s="514"/>
    </row>
    <row r="66" spans="5:14" x14ac:dyDescent="0.25">
      <c r="E66" s="516" t="s">
        <v>435</v>
      </c>
      <c r="F66" s="516"/>
      <c r="G66" s="516"/>
      <c r="H66" s="516"/>
      <c r="I66" s="516"/>
      <c r="J66" s="49">
        <f>AIU!K87</f>
        <v>0.26119999999999999</v>
      </c>
      <c r="K66" s="46"/>
    </row>
    <row r="67" spans="5:14" x14ac:dyDescent="0.25">
      <c r="E67" s="516" t="s">
        <v>436</v>
      </c>
      <c r="F67" s="516"/>
      <c r="G67" s="516"/>
      <c r="H67" s="516"/>
      <c r="I67" s="516"/>
      <c r="J67" s="49">
        <f>AIU!K88</f>
        <v>0.01</v>
      </c>
      <c r="K67" s="46"/>
    </row>
    <row r="68" spans="5:14" x14ac:dyDescent="0.25">
      <c r="E68" s="516" t="s">
        <v>437</v>
      </c>
      <c r="F68" s="516"/>
      <c r="G68" s="516"/>
      <c r="H68" s="516"/>
      <c r="I68" s="516"/>
      <c r="J68" s="49">
        <f>AIU!K89</f>
        <v>4.4999999999999998E-2</v>
      </c>
      <c r="K68" s="46"/>
    </row>
    <row r="69" spans="5:14" x14ac:dyDescent="0.25">
      <c r="E69" s="516" t="s">
        <v>438</v>
      </c>
      <c r="F69" s="516"/>
      <c r="G69" s="516"/>
      <c r="H69" s="516"/>
      <c r="I69" s="516"/>
      <c r="J69" s="49">
        <f>SUM(J66:J68)</f>
        <v>0.31619999999999998</v>
      </c>
      <c r="K69" s="50">
        <f>ROUND($K$64*J69,0)</f>
        <v>1474877874</v>
      </c>
      <c r="M69" s="47"/>
    </row>
    <row r="70" spans="5:14" x14ac:dyDescent="0.25">
      <c r="E70" s="512"/>
      <c r="F70" s="513"/>
      <c r="G70" s="513"/>
      <c r="H70" s="513"/>
      <c r="I70" s="513"/>
      <c r="J70" s="513"/>
      <c r="K70" s="514"/>
    </row>
    <row r="71" spans="5:14" x14ac:dyDescent="0.25">
      <c r="E71" s="515" t="s">
        <v>439</v>
      </c>
      <c r="F71" s="515"/>
      <c r="G71" s="515"/>
      <c r="H71" s="515"/>
      <c r="I71" s="515"/>
      <c r="J71" s="515"/>
      <c r="K71" s="51">
        <f>'PRESUPUESTO OFICIAL'!$K$62+K69</f>
        <v>6139260777</v>
      </c>
      <c r="M71" s="47"/>
    </row>
    <row r="72" spans="5:14" x14ac:dyDescent="0.25">
      <c r="E72" s="512"/>
      <c r="F72" s="513"/>
      <c r="G72" s="513"/>
      <c r="H72" s="513"/>
      <c r="I72" s="513"/>
      <c r="J72" s="513"/>
      <c r="K72" s="514"/>
    </row>
    <row r="73" spans="5:14" x14ac:dyDescent="0.25">
      <c r="E73" s="516" t="str">
        <f>"COSTO TOTAL COMPONENTE AMBIENTAL ("&amp;ROUND(ROUND(K73/$K$64,4)*100,2)&amp;"% COSTO DIRECTO OBRA)"</f>
        <v>COSTO TOTAL COMPONENTE AMBIENTAL (4,77% COSTO DIRECTO OBRA)</v>
      </c>
      <c r="F73" s="516"/>
      <c r="G73" s="516"/>
      <c r="H73" s="516"/>
      <c r="I73" s="516"/>
      <c r="J73" s="516"/>
      <c r="K73" s="50">
        <f>PPTO_AMB!N255</f>
        <v>222418405</v>
      </c>
      <c r="M73" s="47"/>
    </row>
    <row r="74" spans="5:14" x14ac:dyDescent="0.25">
      <c r="E74" s="516" t="str">
        <f>"COSTO TOTAL COMPONENTE SOCIAL ("&amp;ROUND(ROUND(K74/$K$64,4)*100,2)&amp;"% COSTO DIRECTO OBRA)"</f>
        <v>COSTO TOTAL COMPONENTE SOCIAL (2,98% COSTO DIRECTO OBRA)</v>
      </c>
      <c r="F74" s="516"/>
      <c r="G74" s="516"/>
      <c r="H74" s="516"/>
      <c r="I74" s="516"/>
      <c r="J74" s="516"/>
      <c r="K74" s="50">
        <f>PPTO_SOCIAL!N68</f>
        <v>138802452</v>
      </c>
      <c r="M74" s="47"/>
    </row>
    <row r="75" spans="5:14" x14ac:dyDescent="0.25">
      <c r="E75" s="516" t="str">
        <f>"COSTO TOTAL COMPONENTE PMT ("&amp;ROUND(ROUND(K75/$K$64,4)*100,2)&amp;"% COSTO DIRECTO OBRA)"</f>
        <v>COSTO TOTAL COMPONENTE PMT (3,58% COSTO DIRECTO OBRA)</v>
      </c>
      <c r="F75" s="516"/>
      <c r="G75" s="516"/>
      <c r="H75" s="516"/>
      <c r="I75" s="516"/>
      <c r="J75" s="516"/>
      <c r="K75" s="50">
        <f>PPTO_PMT!N55</f>
        <v>166780825</v>
      </c>
      <c r="L75" s="52"/>
      <c r="M75" s="47"/>
    </row>
    <row r="76" spans="5:14" x14ac:dyDescent="0.25">
      <c r="E76" s="515" t="s">
        <v>440</v>
      </c>
      <c r="F76" s="515"/>
      <c r="G76" s="515"/>
      <c r="H76" s="515"/>
      <c r="I76" s="515"/>
      <c r="J76" s="515"/>
      <c r="K76" s="51">
        <f>SUM(K73:K75)</f>
        <v>528001682</v>
      </c>
      <c r="M76" s="47"/>
    </row>
    <row r="77" spans="5:14" x14ac:dyDescent="0.25">
      <c r="E77" s="512"/>
      <c r="F77" s="513"/>
      <c r="G77" s="513"/>
      <c r="H77" s="513"/>
      <c r="I77" s="513"/>
      <c r="J77" s="513"/>
      <c r="K77" s="514"/>
    </row>
    <row r="78" spans="5:14" x14ac:dyDescent="0.25">
      <c r="E78" s="515" t="s">
        <v>441</v>
      </c>
      <c r="F78" s="515"/>
      <c r="G78" s="515"/>
      <c r="H78" s="515"/>
      <c r="I78" s="515"/>
      <c r="J78" s="515"/>
      <c r="K78" s="51">
        <v>213729333</v>
      </c>
      <c r="M78" s="47"/>
      <c r="N78" s="48"/>
    </row>
    <row r="79" spans="5:14" x14ac:dyDescent="0.25">
      <c r="E79" s="512"/>
      <c r="F79" s="513"/>
      <c r="G79" s="513"/>
      <c r="H79" s="513"/>
      <c r="I79" s="513"/>
      <c r="J79" s="513"/>
      <c r="K79" s="514"/>
    </row>
    <row r="80" spans="5:14" ht="21" x14ac:dyDescent="0.35">
      <c r="E80" s="517" t="s">
        <v>442</v>
      </c>
      <c r="F80" s="517"/>
      <c r="G80" s="517"/>
      <c r="H80" s="517"/>
      <c r="I80" s="517"/>
      <c r="J80" s="517"/>
      <c r="K80" s="53">
        <f>K71+K76+K78</f>
        <v>6880991792</v>
      </c>
      <c r="M80" s="47">
        <v>6880991792</v>
      </c>
      <c r="N80" s="48"/>
    </row>
    <row r="81" spans="7:15" x14ac:dyDescent="0.25">
      <c r="J81" s="54"/>
      <c r="K81" s="55"/>
    </row>
    <row r="82" spans="7:15" x14ac:dyDescent="0.25">
      <c r="G82" s="56" t="s">
        <v>443</v>
      </c>
      <c r="H82" s="510" t="s">
        <v>444</v>
      </c>
      <c r="I82" s="510"/>
      <c r="J82" s="510"/>
      <c r="K82" s="50">
        <f>K80</f>
        <v>6880991792</v>
      </c>
    </row>
    <row r="83" spans="7:15" x14ac:dyDescent="0.25">
      <c r="G83" s="56"/>
      <c r="J83" s="54"/>
      <c r="K83" s="55"/>
    </row>
    <row r="84" spans="7:15" x14ac:dyDescent="0.25">
      <c r="G84" s="56" t="s">
        <v>445</v>
      </c>
      <c r="H84" s="510"/>
      <c r="I84" s="510"/>
      <c r="J84" s="57"/>
      <c r="K84" s="58"/>
    </row>
    <row r="85" spans="7:15" x14ac:dyDescent="0.25">
      <c r="G85" s="56"/>
    </row>
    <row r="86" spans="7:15" x14ac:dyDescent="0.25">
      <c r="G86" s="56" t="s">
        <v>446</v>
      </c>
      <c r="H86" s="510"/>
      <c r="I86" s="510"/>
      <c r="J86" s="510"/>
      <c r="K86" s="46"/>
    </row>
    <row r="87" spans="7:15" x14ac:dyDescent="0.25">
      <c r="G87" s="56"/>
    </row>
    <row r="88" spans="7:15" x14ac:dyDescent="0.25">
      <c r="G88" s="56"/>
      <c r="L88" s="47"/>
      <c r="M88" s="47"/>
    </row>
    <row r="89" spans="7:15" x14ac:dyDescent="0.25">
      <c r="G89" s="56" t="s">
        <v>447</v>
      </c>
      <c r="H89" s="511"/>
      <c r="I89" s="511"/>
      <c r="J89" s="511"/>
      <c r="K89" s="46"/>
      <c r="L89" s="47"/>
      <c r="M89" s="47"/>
      <c r="O89" s="48"/>
    </row>
    <row r="90" spans="7:15" x14ac:dyDescent="0.25">
      <c r="G90" s="56"/>
    </row>
    <row r="91" spans="7:15" x14ac:dyDescent="0.25">
      <c r="G91" s="56" t="s">
        <v>448</v>
      </c>
      <c r="H91" s="510"/>
      <c r="I91" s="510"/>
      <c r="J91" s="510"/>
      <c r="K91" s="46"/>
    </row>
    <row r="92" spans="7:15" x14ac:dyDescent="0.25">
      <c r="N92" s="54"/>
      <c r="O92" s="55"/>
    </row>
    <row r="93" spans="7:15" x14ac:dyDescent="0.25">
      <c r="H93" s="510"/>
      <c r="I93" s="510"/>
      <c r="J93" s="510"/>
      <c r="K93" s="46"/>
      <c r="N93" s="54"/>
      <c r="O93" s="55"/>
    </row>
    <row r="94" spans="7:15" x14ac:dyDescent="0.25">
      <c r="N94" s="54"/>
      <c r="O94" s="55"/>
    </row>
    <row r="95" spans="7:15" x14ac:dyDescent="0.25">
      <c r="O95" s="48"/>
    </row>
    <row r="99" spans="12:13" x14ac:dyDescent="0.25">
      <c r="L99" s="47"/>
      <c r="M99" s="47"/>
    </row>
  </sheetData>
  <mergeCells count="23">
    <mergeCell ref="E69:I69"/>
    <mergeCell ref="E64:J64"/>
    <mergeCell ref="E65:K65"/>
    <mergeCell ref="E66:I66"/>
    <mergeCell ref="E67:I67"/>
    <mergeCell ref="E68:I68"/>
    <mergeCell ref="H82:J82"/>
    <mergeCell ref="E70:K70"/>
    <mergeCell ref="E71:J71"/>
    <mergeCell ref="E72:K72"/>
    <mergeCell ref="E73:J73"/>
    <mergeCell ref="E74:J74"/>
    <mergeCell ref="E75:J75"/>
    <mergeCell ref="E76:J76"/>
    <mergeCell ref="E77:K77"/>
    <mergeCell ref="E78:J78"/>
    <mergeCell ref="E79:K79"/>
    <mergeCell ref="E80:J80"/>
    <mergeCell ref="H84:I84"/>
    <mergeCell ref="H86:J86"/>
    <mergeCell ref="H89:J89"/>
    <mergeCell ref="H91:J91"/>
    <mergeCell ref="H93:J93"/>
  </mergeCells>
  <pageMargins left="0.7" right="0.7" top="0.75" bottom="0.75" header="0.3" footer="0.3"/>
  <pageSetup paperSize="11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0">
    <tabColor theme="7" tint="0.79998168889431442"/>
    <pageSetUpPr fitToPage="1"/>
  </sheetPr>
  <dimension ref="A4:Y50"/>
  <sheetViews>
    <sheetView view="pageBreakPreview" zoomScale="90" zoomScaleNormal="90" zoomScaleSheetLayoutView="90" workbookViewId="0">
      <selection activeCell="B9" sqref="B9:N13"/>
    </sheetView>
  </sheetViews>
  <sheetFormatPr baseColWidth="10" defaultColWidth="11.42578125" defaultRowHeight="15" x14ac:dyDescent="0.25"/>
  <cols>
    <col min="2" max="2" width="0" hidden="1" customWidth="1"/>
    <col min="3" max="3" width="63.85546875" hidden="1" customWidth="1"/>
    <col min="4" max="4" width="50.42578125" customWidth="1"/>
    <col min="7" max="7" width="16.140625" customWidth="1"/>
    <col min="8" max="24" width="11.5703125" customWidth="1"/>
  </cols>
  <sheetData>
    <row r="4" spans="1:25" x14ac:dyDescent="0.25">
      <c r="A4" s="518" t="s">
        <v>449</v>
      </c>
      <c r="B4" s="518" t="s">
        <v>450</v>
      </c>
      <c r="C4" s="141"/>
      <c r="D4" s="524" t="s">
        <v>451</v>
      </c>
      <c r="E4" s="518" t="s">
        <v>452</v>
      </c>
      <c r="F4" s="524" t="s">
        <v>453</v>
      </c>
      <c r="G4" s="518" t="str">
        <f>AIU!G13</f>
        <v>TOPE SALARIO (MES)</v>
      </c>
      <c r="H4" s="518" t="str">
        <f>AIU!H13</f>
        <v>FACTOR PRESTACIONAL</v>
      </c>
      <c r="I4" s="142" t="s">
        <v>454</v>
      </c>
      <c r="J4" s="521" t="s">
        <v>455</v>
      </c>
      <c r="K4" s="522"/>
      <c r="L4" s="522"/>
      <c r="M4" s="522"/>
      <c r="N4" s="522"/>
      <c r="O4" s="522"/>
      <c r="P4" s="522"/>
      <c r="Q4" s="522"/>
      <c r="R4" s="522"/>
      <c r="S4" s="523"/>
      <c r="T4" s="143" t="s">
        <v>456</v>
      </c>
      <c r="U4" s="518" t="s">
        <v>457</v>
      </c>
      <c r="V4" s="518" t="s">
        <v>458</v>
      </c>
      <c r="W4" s="518" t="s">
        <v>459</v>
      </c>
      <c r="X4" s="518" t="s">
        <v>454</v>
      </c>
      <c r="Y4" s="518" t="s">
        <v>460</v>
      </c>
    </row>
    <row r="5" spans="1:25" x14ac:dyDescent="0.25">
      <c r="A5" s="520"/>
      <c r="B5" s="520"/>
      <c r="C5" s="144"/>
      <c r="D5" s="524"/>
      <c r="E5" s="520"/>
      <c r="F5" s="524"/>
      <c r="G5" s="520"/>
      <c r="H5" s="520"/>
      <c r="I5" s="142" t="s">
        <v>461</v>
      </c>
      <c r="J5" s="142" t="s">
        <v>462</v>
      </c>
      <c r="K5" s="142" t="s">
        <v>463</v>
      </c>
      <c r="L5" s="142" t="s">
        <v>464</v>
      </c>
      <c r="M5" s="142" t="s">
        <v>465</v>
      </c>
      <c r="N5" s="142" t="s">
        <v>466</v>
      </c>
      <c r="O5" s="142" t="s">
        <v>467</v>
      </c>
      <c r="P5" s="142" t="s">
        <v>468</v>
      </c>
      <c r="Q5" s="142" t="s">
        <v>469</v>
      </c>
      <c r="R5" s="142" t="s">
        <v>470</v>
      </c>
      <c r="S5" s="142" t="s">
        <v>471</v>
      </c>
      <c r="T5" s="143" t="s">
        <v>472</v>
      </c>
      <c r="U5" s="519"/>
      <c r="V5" s="519"/>
      <c r="W5" s="519"/>
      <c r="X5" s="519" t="s">
        <v>473</v>
      </c>
      <c r="Y5" s="519"/>
    </row>
    <row r="6" spans="1:25" x14ac:dyDescent="0.25">
      <c r="A6" s="519"/>
      <c r="B6" s="519"/>
      <c r="C6" s="145"/>
      <c r="D6" s="524"/>
      <c r="E6" s="146" t="s">
        <v>443</v>
      </c>
      <c r="F6" s="524"/>
      <c r="G6" s="519"/>
      <c r="H6" s="519"/>
      <c r="I6" s="146">
        <f>IF(SUM(I8:I50)&gt;0,1,0)</f>
        <v>1</v>
      </c>
      <c r="J6" s="146">
        <f t="shared" ref="J6:T6" si="0">IF(SUM(J8:J50)&gt;0,1,0)</f>
        <v>1</v>
      </c>
      <c r="K6" s="146">
        <f t="shared" si="0"/>
        <v>1</v>
      </c>
      <c r="L6" s="146">
        <f t="shared" si="0"/>
        <v>1</v>
      </c>
      <c r="M6" s="146">
        <f t="shared" si="0"/>
        <v>1</v>
      </c>
      <c r="N6" s="146">
        <f t="shared" si="0"/>
        <v>1</v>
      </c>
      <c r="O6" s="146">
        <f t="shared" si="0"/>
        <v>1</v>
      </c>
      <c r="P6" s="146">
        <f t="shared" si="0"/>
        <v>0</v>
      </c>
      <c r="Q6" s="146">
        <f t="shared" si="0"/>
        <v>0</v>
      </c>
      <c r="R6" s="146">
        <f t="shared" si="0"/>
        <v>0</v>
      </c>
      <c r="S6" s="146">
        <f t="shared" si="0"/>
        <v>0</v>
      </c>
      <c r="T6" s="146">
        <f t="shared" si="0"/>
        <v>0</v>
      </c>
      <c r="U6" s="146">
        <f>SUM(I6)</f>
        <v>1</v>
      </c>
      <c r="V6" s="146">
        <f>SUM(J6:S6)</f>
        <v>6</v>
      </c>
      <c r="W6" s="146">
        <f>SUM(T6)</f>
        <v>0</v>
      </c>
      <c r="X6" s="146"/>
      <c r="Y6" s="146"/>
    </row>
    <row r="7" spans="1:25" x14ac:dyDescent="0.25">
      <c r="A7" s="142">
        <v>1.1000000000000001</v>
      </c>
      <c r="B7" s="147"/>
      <c r="C7" s="147"/>
      <c r="D7" s="148" t="s">
        <v>474</v>
      </c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50"/>
      <c r="V7" s="150"/>
      <c r="W7" s="150"/>
      <c r="X7" s="150"/>
      <c r="Y7" s="150"/>
    </row>
    <row r="8" spans="1:25" s="164" customFormat="1" x14ac:dyDescent="0.25">
      <c r="A8" s="151">
        <v>1.101</v>
      </c>
      <c r="B8" s="152">
        <v>9110</v>
      </c>
      <c r="C8" s="153" t="s">
        <v>475</v>
      </c>
      <c r="D8" s="154" t="s">
        <v>476</v>
      </c>
      <c r="E8" s="155">
        <v>1</v>
      </c>
      <c r="F8" s="156">
        <v>4</v>
      </c>
      <c r="G8" s="157">
        <v>7881000</v>
      </c>
      <c r="H8" s="158">
        <v>1.4516</v>
      </c>
      <c r="I8" s="159">
        <v>0.3</v>
      </c>
      <c r="J8" s="159">
        <v>0.3</v>
      </c>
      <c r="K8" s="159">
        <v>0.3</v>
      </c>
      <c r="L8" s="159">
        <v>0.3</v>
      </c>
      <c r="M8" s="159">
        <v>0.3</v>
      </c>
      <c r="N8" s="159">
        <v>0.3</v>
      </c>
      <c r="O8" s="159">
        <v>0.3</v>
      </c>
      <c r="P8" s="159"/>
      <c r="Q8" s="159"/>
      <c r="R8" s="159"/>
      <c r="S8" s="159"/>
      <c r="T8" s="160"/>
      <c r="U8" s="161">
        <f>ROUND(SUM(I8),4)</f>
        <v>0.3</v>
      </c>
      <c r="V8" s="162">
        <f>ROUND(SUM(J8:S8),4)</f>
        <v>1.8</v>
      </c>
      <c r="W8" s="162">
        <f>IF(W6=0,0,ROUND(SUM(T8),4))</f>
        <v>0</v>
      </c>
      <c r="X8" s="163">
        <f>U8/U$6</f>
        <v>0.3</v>
      </c>
      <c r="Y8" s="163">
        <f>V8/V$6</f>
        <v>0.3</v>
      </c>
    </row>
    <row r="9" spans="1:25" s="164" customFormat="1" x14ac:dyDescent="0.25">
      <c r="A9" s="151">
        <v>1.1019999999999999</v>
      </c>
      <c r="B9" s="152">
        <v>9112</v>
      </c>
      <c r="C9" s="153" t="s">
        <v>477</v>
      </c>
      <c r="D9" s="154" t="s">
        <v>478</v>
      </c>
      <c r="E9" s="155">
        <v>2</v>
      </c>
      <c r="F9" s="156">
        <v>6</v>
      </c>
      <c r="G9" s="157">
        <v>6339000</v>
      </c>
      <c r="H9" s="158">
        <v>1.4524999999999999</v>
      </c>
      <c r="I9" s="159">
        <v>1</v>
      </c>
      <c r="J9" s="159">
        <v>1</v>
      </c>
      <c r="K9" s="159">
        <v>1</v>
      </c>
      <c r="L9" s="159">
        <v>1</v>
      </c>
      <c r="M9" s="159">
        <v>1</v>
      </c>
      <c r="N9" s="159">
        <v>1</v>
      </c>
      <c r="O9" s="159">
        <v>1</v>
      </c>
      <c r="P9" s="159"/>
      <c r="Q9" s="159"/>
      <c r="R9" s="159"/>
      <c r="S9" s="159"/>
      <c r="T9" s="160"/>
      <c r="U9" s="161">
        <f t="shared" ref="U9:U19" si="1">ROUND(SUM(I9),4)</f>
        <v>1</v>
      </c>
      <c r="V9" s="162">
        <f t="shared" ref="V9:V50" si="2">ROUND(SUM(J9:S9),4)</f>
        <v>6</v>
      </c>
      <c r="W9" s="162">
        <f t="shared" ref="W9:W19" si="3">IF(W7=0,0,ROUND(SUM(T9),4))</f>
        <v>0</v>
      </c>
      <c r="X9" s="163">
        <f t="shared" ref="X9:Y50" si="4">U9/U$6</f>
        <v>1</v>
      </c>
      <c r="Y9" s="163">
        <f t="shared" si="4"/>
        <v>1</v>
      </c>
    </row>
    <row r="10" spans="1:25" s="164" customFormat="1" x14ac:dyDescent="0.25">
      <c r="A10" s="151">
        <v>1.103</v>
      </c>
      <c r="B10" s="152">
        <v>9110</v>
      </c>
      <c r="C10" s="153" t="s">
        <v>475</v>
      </c>
      <c r="D10" s="154" t="s">
        <v>479</v>
      </c>
      <c r="E10" s="155">
        <v>1</v>
      </c>
      <c r="F10" s="156">
        <v>4</v>
      </c>
      <c r="G10" s="157">
        <v>7881000</v>
      </c>
      <c r="H10" s="158">
        <v>1.4516</v>
      </c>
      <c r="I10" s="159">
        <v>0.15</v>
      </c>
      <c r="J10" s="159"/>
      <c r="K10" s="159">
        <v>0.15</v>
      </c>
      <c r="L10" s="159"/>
      <c r="M10" s="159">
        <v>0.15</v>
      </c>
      <c r="N10" s="159"/>
      <c r="O10" s="159">
        <v>0.15</v>
      </c>
      <c r="P10" s="159"/>
      <c r="Q10" s="159"/>
      <c r="R10" s="159"/>
      <c r="S10" s="159"/>
      <c r="T10" s="160"/>
      <c r="U10" s="161">
        <f t="shared" si="1"/>
        <v>0.15</v>
      </c>
      <c r="V10" s="162">
        <f t="shared" si="2"/>
        <v>0.45</v>
      </c>
      <c r="W10" s="162">
        <f t="shared" si="3"/>
        <v>0</v>
      </c>
      <c r="X10" s="163">
        <f t="shared" si="4"/>
        <v>0.15</v>
      </c>
      <c r="Y10" s="163">
        <f t="shared" si="4"/>
        <v>7.4999999999999997E-2</v>
      </c>
    </row>
    <row r="11" spans="1:25" s="164" customFormat="1" x14ac:dyDescent="0.25">
      <c r="A11" s="151">
        <v>1.1040000000000001</v>
      </c>
      <c r="B11" s="152">
        <v>9110</v>
      </c>
      <c r="C11" s="153" t="s">
        <v>475</v>
      </c>
      <c r="D11" s="154" t="s">
        <v>480</v>
      </c>
      <c r="E11" s="155">
        <v>1</v>
      </c>
      <c r="F11" s="156">
        <v>4</v>
      </c>
      <c r="G11" s="157">
        <v>7881000</v>
      </c>
      <c r="H11" s="158">
        <v>1.4516</v>
      </c>
      <c r="I11" s="159">
        <v>0.15</v>
      </c>
      <c r="J11" s="159"/>
      <c r="K11" s="159">
        <v>0.15</v>
      </c>
      <c r="L11" s="159"/>
      <c r="M11" s="159">
        <v>0.15</v>
      </c>
      <c r="N11" s="159"/>
      <c r="O11" s="159">
        <v>0.15</v>
      </c>
      <c r="P11" s="159"/>
      <c r="Q11" s="159"/>
      <c r="R11" s="159"/>
      <c r="S11" s="159"/>
      <c r="T11" s="160"/>
      <c r="U11" s="161">
        <f t="shared" si="1"/>
        <v>0.15</v>
      </c>
      <c r="V11" s="162">
        <f t="shared" si="2"/>
        <v>0.45</v>
      </c>
      <c r="W11" s="162">
        <f t="shared" si="3"/>
        <v>0</v>
      </c>
      <c r="X11" s="163">
        <f t="shared" si="4"/>
        <v>0.15</v>
      </c>
      <c r="Y11" s="163">
        <f t="shared" si="4"/>
        <v>7.4999999999999997E-2</v>
      </c>
    </row>
    <row r="12" spans="1:25" s="173" customFormat="1" x14ac:dyDescent="0.25">
      <c r="A12" s="165">
        <v>1.105</v>
      </c>
      <c r="B12" s="166">
        <v>9112</v>
      </c>
      <c r="C12" s="167" t="s">
        <v>477</v>
      </c>
      <c r="D12" s="168" t="s">
        <v>481</v>
      </c>
      <c r="E12" s="169">
        <v>0</v>
      </c>
      <c r="F12" s="170">
        <v>6</v>
      </c>
      <c r="G12" s="157">
        <v>6339000</v>
      </c>
      <c r="H12" s="158">
        <v>1.4524999999999999</v>
      </c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2"/>
      <c r="U12" s="161">
        <f t="shared" si="1"/>
        <v>0</v>
      </c>
      <c r="V12" s="162">
        <f t="shared" si="2"/>
        <v>0</v>
      </c>
      <c r="W12" s="162">
        <f t="shared" si="3"/>
        <v>0</v>
      </c>
      <c r="X12" s="163">
        <f t="shared" si="4"/>
        <v>0</v>
      </c>
      <c r="Y12" s="163">
        <f t="shared" si="4"/>
        <v>0</v>
      </c>
    </row>
    <row r="13" spans="1:25" s="164" customFormat="1" x14ac:dyDescent="0.25">
      <c r="A13" s="151">
        <v>1.1060000000000001</v>
      </c>
      <c r="B13" s="152">
        <v>9110</v>
      </c>
      <c r="C13" s="153" t="s">
        <v>475</v>
      </c>
      <c r="D13" s="154" t="s">
        <v>482</v>
      </c>
      <c r="E13" s="155">
        <v>1</v>
      </c>
      <c r="F13" s="156">
        <v>4</v>
      </c>
      <c r="G13" s="157">
        <v>7881000</v>
      </c>
      <c r="H13" s="158">
        <v>1.4516</v>
      </c>
      <c r="I13" s="159">
        <v>0.15</v>
      </c>
      <c r="J13" s="159"/>
      <c r="K13" s="159">
        <v>0.15</v>
      </c>
      <c r="L13" s="159"/>
      <c r="M13" s="159">
        <v>0.15</v>
      </c>
      <c r="N13" s="159"/>
      <c r="O13" s="159">
        <v>0.15</v>
      </c>
      <c r="P13" s="159"/>
      <c r="Q13" s="159"/>
      <c r="R13" s="159"/>
      <c r="S13" s="159"/>
      <c r="T13" s="160"/>
      <c r="U13" s="161">
        <f t="shared" si="1"/>
        <v>0.15</v>
      </c>
      <c r="V13" s="162">
        <f t="shared" si="2"/>
        <v>0.45</v>
      </c>
      <c r="W13" s="162">
        <f t="shared" si="3"/>
        <v>0</v>
      </c>
      <c r="X13" s="163">
        <f t="shared" si="4"/>
        <v>0.15</v>
      </c>
      <c r="Y13" s="163">
        <f t="shared" si="4"/>
        <v>7.4999999999999997E-2</v>
      </c>
    </row>
    <row r="14" spans="1:25" s="164" customFormat="1" x14ac:dyDescent="0.25">
      <c r="A14" s="151">
        <v>1.107</v>
      </c>
      <c r="B14" s="152">
        <v>9110</v>
      </c>
      <c r="C14" s="153" t="s">
        <v>475</v>
      </c>
      <c r="D14" s="154" t="s">
        <v>483</v>
      </c>
      <c r="E14" s="155">
        <v>1</v>
      </c>
      <c r="F14" s="156">
        <v>4</v>
      </c>
      <c r="G14" s="157">
        <v>7881000</v>
      </c>
      <c r="H14" s="158">
        <v>1.4516</v>
      </c>
      <c r="I14" s="159">
        <v>0.15</v>
      </c>
      <c r="J14" s="159">
        <v>0.1</v>
      </c>
      <c r="K14" s="159">
        <v>0.15</v>
      </c>
      <c r="L14" s="159">
        <v>0.1</v>
      </c>
      <c r="M14" s="159">
        <v>0.15</v>
      </c>
      <c r="N14" s="159">
        <v>0.1</v>
      </c>
      <c r="O14" s="159">
        <v>0.15</v>
      </c>
      <c r="P14" s="159"/>
      <c r="Q14" s="159"/>
      <c r="R14" s="159"/>
      <c r="S14" s="159"/>
      <c r="T14" s="160"/>
      <c r="U14" s="161">
        <f t="shared" si="1"/>
        <v>0.15</v>
      </c>
      <c r="V14" s="162">
        <f t="shared" si="2"/>
        <v>0.75</v>
      </c>
      <c r="W14" s="162">
        <f t="shared" si="3"/>
        <v>0</v>
      </c>
      <c r="X14" s="163">
        <f t="shared" si="4"/>
        <v>0.15</v>
      </c>
      <c r="Y14" s="163">
        <f t="shared" si="4"/>
        <v>0.125</v>
      </c>
    </row>
    <row r="15" spans="1:25" s="164" customFormat="1" x14ac:dyDescent="0.25">
      <c r="A15" s="151">
        <v>1.1080000000000001</v>
      </c>
      <c r="B15" s="152">
        <v>9112</v>
      </c>
      <c r="C15" s="153" t="s">
        <v>477</v>
      </c>
      <c r="D15" s="154" t="s">
        <v>484</v>
      </c>
      <c r="E15" s="155">
        <v>1</v>
      </c>
      <c r="F15" s="156">
        <v>6</v>
      </c>
      <c r="G15" s="157">
        <v>6339000</v>
      </c>
      <c r="H15" s="158">
        <v>1.4524999999999999</v>
      </c>
      <c r="I15" s="159">
        <v>0.15</v>
      </c>
      <c r="J15" s="159">
        <v>0.05</v>
      </c>
      <c r="K15" s="159">
        <v>0.15</v>
      </c>
      <c r="L15" s="159">
        <v>0.05</v>
      </c>
      <c r="M15" s="159">
        <v>0.15</v>
      </c>
      <c r="N15" s="159">
        <v>0.05</v>
      </c>
      <c r="O15" s="159">
        <v>0.15</v>
      </c>
      <c r="P15" s="159"/>
      <c r="Q15" s="159"/>
      <c r="R15" s="159"/>
      <c r="S15" s="159"/>
      <c r="T15" s="160"/>
      <c r="U15" s="161">
        <f t="shared" si="1"/>
        <v>0.15</v>
      </c>
      <c r="V15" s="162">
        <f t="shared" si="2"/>
        <v>0.6</v>
      </c>
      <c r="W15" s="162">
        <f t="shared" si="3"/>
        <v>0</v>
      </c>
      <c r="X15" s="163">
        <f t="shared" si="4"/>
        <v>0.15</v>
      </c>
      <c r="Y15" s="163">
        <f t="shared" si="4"/>
        <v>9.9999999999999992E-2</v>
      </c>
    </row>
    <row r="16" spans="1:25" s="164" customFormat="1" x14ac:dyDescent="0.25">
      <c r="A16" s="151">
        <v>1.109</v>
      </c>
      <c r="B16" s="152">
        <v>9112</v>
      </c>
      <c r="C16" s="153" t="s">
        <v>477</v>
      </c>
      <c r="D16" s="154" t="s">
        <v>485</v>
      </c>
      <c r="E16" s="155">
        <v>1</v>
      </c>
      <c r="F16" s="156">
        <v>6</v>
      </c>
      <c r="G16" s="157">
        <v>6339000</v>
      </c>
      <c r="H16" s="158">
        <v>1.4524999999999999</v>
      </c>
      <c r="I16" s="159">
        <v>0.1</v>
      </c>
      <c r="J16" s="159"/>
      <c r="K16" s="159">
        <v>0.1</v>
      </c>
      <c r="L16" s="159"/>
      <c r="M16" s="159">
        <v>0.1</v>
      </c>
      <c r="N16" s="159"/>
      <c r="O16" s="159">
        <v>0.1</v>
      </c>
      <c r="P16" s="159"/>
      <c r="Q16" s="159"/>
      <c r="R16" s="159"/>
      <c r="S16" s="159"/>
      <c r="T16" s="160"/>
      <c r="U16" s="161">
        <f t="shared" si="1"/>
        <v>0.1</v>
      </c>
      <c r="V16" s="162">
        <f t="shared" si="2"/>
        <v>0.3</v>
      </c>
      <c r="W16" s="162">
        <f t="shared" si="3"/>
        <v>0</v>
      </c>
      <c r="X16" s="163">
        <f t="shared" si="4"/>
        <v>0.1</v>
      </c>
      <c r="Y16" s="163">
        <f t="shared" si="4"/>
        <v>4.9999999999999996E-2</v>
      </c>
    </row>
    <row r="17" spans="1:25" s="164" customFormat="1" x14ac:dyDescent="0.25">
      <c r="A17" s="151">
        <v>1.1100000000000001</v>
      </c>
      <c r="B17" s="152">
        <v>9112</v>
      </c>
      <c r="C17" s="153" t="s">
        <v>477</v>
      </c>
      <c r="D17" s="154" t="s">
        <v>486</v>
      </c>
      <c r="E17" s="155">
        <v>1</v>
      </c>
      <c r="F17" s="156">
        <v>6</v>
      </c>
      <c r="G17" s="157">
        <v>6339000</v>
      </c>
      <c r="H17" s="158">
        <v>1.4524999999999999</v>
      </c>
      <c r="I17" s="159">
        <v>0.5</v>
      </c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60"/>
      <c r="U17" s="161">
        <f t="shared" si="1"/>
        <v>0.5</v>
      </c>
      <c r="V17" s="162">
        <f t="shared" si="2"/>
        <v>0</v>
      </c>
      <c r="W17" s="162">
        <f t="shared" si="3"/>
        <v>0</v>
      </c>
      <c r="X17" s="163">
        <f t="shared" si="4"/>
        <v>0.5</v>
      </c>
      <c r="Y17" s="163">
        <f t="shared" si="4"/>
        <v>0</v>
      </c>
    </row>
    <row r="18" spans="1:25" s="164" customFormat="1" x14ac:dyDescent="0.25">
      <c r="A18" s="151">
        <v>1.111</v>
      </c>
      <c r="B18" s="152">
        <v>9112</v>
      </c>
      <c r="C18" s="153" t="s">
        <v>477</v>
      </c>
      <c r="D18" s="154" t="s">
        <v>487</v>
      </c>
      <c r="E18" s="155">
        <v>1</v>
      </c>
      <c r="F18" s="156">
        <v>6</v>
      </c>
      <c r="G18" s="157">
        <v>6339000</v>
      </c>
      <c r="H18" s="158">
        <v>1.4524999999999999</v>
      </c>
      <c r="I18" s="159">
        <v>0.1</v>
      </c>
      <c r="J18" s="159">
        <v>0.1</v>
      </c>
      <c r="K18" s="159">
        <v>0.1</v>
      </c>
      <c r="L18" s="159"/>
      <c r="M18" s="159">
        <v>0.1</v>
      </c>
      <c r="N18" s="159"/>
      <c r="O18" s="159">
        <v>0.1</v>
      </c>
      <c r="P18" s="159"/>
      <c r="Q18" s="159"/>
      <c r="R18" s="159"/>
      <c r="S18" s="159"/>
      <c r="T18" s="160"/>
      <c r="U18" s="161">
        <f t="shared" si="1"/>
        <v>0.1</v>
      </c>
      <c r="V18" s="162">
        <f t="shared" si="2"/>
        <v>0.4</v>
      </c>
      <c r="W18" s="162">
        <f t="shared" si="3"/>
        <v>0</v>
      </c>
      <c r="X18" s="163">
        <f t="shared" si="4"/>
        <v>0.1</v>
      </c>
      <c r="Y18" s="163">
        <f t="shared" si="4"/>
        <v>6.6666666666666666E-2</v>
      </c>
    </row>
    <row r="19" spans="1:25" s="173" customFormat="1" x14ac:dyDescent="0.25">
      <c r="A19" s="165">
        <v>1.1120000000000001</v>
      </c>
      <c r="B19" s="166">
        <v>9112</v>
      </c>
      <c r="C19" s="167" t="s">
        <v>477</v>
      </c>
      <c r="D19" s="168" t="s">
        <v>488</v>
      </c>
      <c r="E19" s="169">
        <v>0</v>
      </c>
      <c r="F19" s="170">
        <v>6</v>
      </c>
      <c r="G19" s="174">
        <v>6339000</v>
      </c>
      <c r="H19" s="175">
        <v>1.4524999999999999</v>
      </c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2"/>
      <c r="U19" s="176">
        <f t="shared" si="1"/>
        <v>0</v>
      </c>
      <c r="V19" s="177">
        <f t="shared" si="2"/>
        <v>0</v>
      </c>
      <c r="W19" s="177">
        <f t="shared" si="3"/>
        <v>0</v>
      </c>
      <c r="X19" s="163">
        <f t="shared" si="4"/>
        <v>0</v>
      </c>
      <c r="Y19" s="163">
        <f t="shared" si="4"/>
        <v>0</v>
      </c>
    </row>
    <row r="20" spans="1:25" x14ac:dyDescent="0.25">
      <c r="A20" s="142">
        <v>1.2000000000000002</v>
      </c>
      <c r="B20" s="143"/>
      <c r="C20" s="143"/>
      <c r="D20" s="178" t="s">
        <v>489</v>
      </c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50"/>
      <c r="V20" s="150"/>
      <c r="W20" s="150"/>
      <c r="X20" s="150"/>
      <c r="Y20" s="150"/>
    </row>
    <row r="21" spans="1:25" ht="22.5" x14ac:dyDescent="0.25">
      <c r="A21" s="179">
        <v>1.2010000000000001</v>
      </c>
      <c r="B21" s="180">
        <v>9085</v>
      </c>
      <c r="C21" s="152" t="s">
        <v>490</v>
      </c>
      <c r="D21" s="181" t="s">
        <v>491</v>
      </c>
      <c r="E21" s="182">
        <v>1</v>
      </c>
      <c r="F21" s="183" t="s">
        <v>492</v>
      </c>
      <c r="G21" s="184">
        <v>2607000</v>
      </c>
      <c r="H21" s="183">
        <v>1.4591000000000001</v>
      </c>
      <c r="I21" s="185">
        <v>0</v>
      </c>
      <c r="J21" s="185">
        <v>0.5</v>
      </c>
      <c r="K21" s="185">
        <v>0.5</v>
      </c>
      <c r="L21" s="185">
        <v>0.5</v>
      </c>
      <c r="M21" s="185">
        <v>0.5</v>
      </c>
      <c r="N21" s="185">
        <v>0.5</v>
      </c>
      <c r="O21" s="185">
        <v>0.5</v>
      </c>
      <c r="P21" s="185"/>
      <c r="Q21" s="185"/>
      <c r="R21" s="185"/>
      <c r="S21" s="185"/>
      <c r="T21" s="186"/>
      <c r="U21" s="161">
        <f>ROUND(SUM(I21),4)</f>
        <v>0</v>
      </c>
      <c r="V21" s="162">
        <f t="shared" si="2"/>
        <v>3</v>
      </c>
      <c r="W21" s="162">
        <f>IF(W19=0,0,ROUND(SUM(T21),4))</f>
        <v>0</v>
      </c>
      <c r="X21" s="163">
        <f t="shared" si="4"/>
        <v>0</v>
      </c>
      <c r="Y21" s="163">
        <f t="shared" si="4"/>
        <v>0.5</v>
      </c>
    </row>
    <row r="22" spans="1:25" ht="22.5" x14ac:dyDescent="0.25">
      <c r="A22" s="179">
        <v>1.202</v>
      </c>
      <c r="B22" s="180">
        <v>9093</v>
      </c>
      <c r="C22" s="152" t="s">
        <v>493</v>
      </c>
      <c r="D22" s="181" t="s">
        <v>494</v>
      </c>
      <c r="E22" s="187">
        <v>2</v>
      </c>
      <c r="F22" s="183" t="s">
        <v>492</v>
      </c>
      <c r="G22" s="184">
        <v>2249000</v>
      </c>
      <c r="H22" s="183">
        <v>1.5510999999999999</v>
      </c>
      <c r="I22" s="185">
        <v>0</v>
      </c>
      <c r="J22" s="185">
        <v>1</v>
      </c>
      <c r="K22" s="185">
        <v>1</v>
      </c>
      <c r="L22" s="185">
        <v>1</v>
      </c>
      <c r="M22" s="185">
        <v>1</v>
      </c>
      <c r="N22" s="185">
        <v>1</v>
      </c>
      <c r="O22" s="185">
        <v>1</v>
      </c>
      <c r="P22" s="185"/>
      <c r="Q22" s="185"/>
      <c r="R22" s="185"/>
      <c r="S22" s="185"/>
      <c r="T22" s="186"/>
      <c r="U22" s="161">
        <f t="shared" ref="U22:U28" si="5">ROUND(SUM(I22),4)</f>
        <v>0</v>
      </c>
      <c r="V22" s="162">
        <f t="shared" si="2"/>
        <v>6</v>
      </c>
      <c r="W22" s="162">
        <f t="shared" ref="W22:W28" si="6">IF(W20=0,0,ROUND(SUM(T22),4))</f>
        <v>0</v>
      </c>
      <c r="X22" s="163">
        <f t="shared" si="4"/>
        <v>0</v>
      </c>
      <c r="Y22" s="163">
        <f t="shared" si="4"/>
        <v>1</v>
      </c>
    </row>
    <row r="23" spans="1:25" ht="22.5" x14ac:dyDescent="0.25">
      <c r="A23" s="179">
        <v>1.2030000000000001</v>
      </c>
      <c r="B23" s="180">
        <v>9088</v>
      </c>
      <c r="C23" s="152" t="s">
        <v>495</v>
      </c>
      <c r="D23" s="188" t="s">
        <v>496</v>
      </c>
      <c r="E23" s="182">
        <v>2</v>
      </c>
      <c r="F23" s="183" t="s">
        <v>492</v>
      </c>
      <c r="G23" s="184">
        <v>3092000</v>
      </c>
      <c r="H23" s="183">
        <v>1.4573</v>
      </c>
      <c r="I23" s="185">
        <v>0</v>
      </c>
      <c r="J23" s="185">
        <v>1</v>
      </c>
      <c r="K23" s="185">
        <v>1</v>
      </c>
      <c r="L23" s="185">
        <v>1</v>
      </c>
      <c r="M23" s="185">
        <v>1</v>
      </c>
      <c r="N23" s="185">
        <v>0.5</v>
      </c>
      <c r="O23" s="185">
        <v>0.5</v>
      </c>
      <c r="P23" s="185"/>
      <c r="Q23" s="185"/>
      <c r="R23" s="185"/>
      <c r="S23" s="185"/>
      <c r="T23" s="186"/>
      <c r="U23" s="161">
        <f t="shared" si="5"/>
        <v>0</v>
      </c>
      <c r="V23" s="162">
        <f t="shared" si="2"/>
        <v>5</v>
      </c>
      <c r="W23" s="162">
        <f t="shared" si="6"/>
        <v>0</v>
      </c>
      <c r="X23" s="163">
        <f t="shared" si="4"/>
        <v>0</v>
      </c>
      <c r="Y23" s="163">
        <f t="shared" si="4"/>
        <v>0.83333333333333337</v>
      </c>
    </row>
    <row r="24" spans="1:25" ht="22.5" x14ac:dyDescent="0.25">
      <c r="A24" s="179">
        <v>1.204</v>
      </c>
      <c r="B24" s="180">
        <v>9098</v>
      </c>
      <c r="C24" s="152" t="s">
        <v>497</v>
      </c>
      <c r="D24" s="181" t="s">
        <v>498</v>
      </c>
      <c r="E24" s="182">
        <v>2</v>
      </c>
      <c r="F24" s="183" t="s">
        <v>492</v>
      </c>
      <c r="G24" s="184">
        <v>1917000</v>
      </c>
      <c r="H24" s="183">
        <v>1.569</v>
      </c>
      <c r="I24" s="185">
        <v>0</v>
      </c>
      <c r="J24" s="185">
        <v>1</v>
      </c>
      <c r="K24" s="185">
        <v>1</v>
      </c>
      <c r="L24" s="185">
        <v>1</v>
      </c>
      <c r="M24" s="185">
        <v>1</v>
      </c>
      <c r="N24" s="185">
        <v>0.5</v>
      </c>
      <c r="O24" s="185">
        <v>0.5</v>
      </c>
      <c r="P24" s="185"/>
      <c r="Q24" s="185"/>
      <c r="R24" s="185"/>
      <c r="S24" s="185"/>
      <c r="T24" s="186"/>
      <c r="U24" s="161">
        <f t="shared" si="5"/>
        <v>0</v>
      </c>
      <c r="V24" s="162">
        <f t="shared" si="2"/>
        <v>5</v>
      </c>
      <c r="W24" s="162">
        <f t="shared" si="6"/>
        <v>0</v>
      </c>
      <c r="X24" s="163">
        <f t="shared" si="4"/>
        <v>0</v>
      </c>
      <c r="Y24" s="163">
        <f t="shared" si="4"/>
        <v>0.83333333333333337</v>
      </c>
    </row>
    <row r="25" spans="1:25" ht="22.5" x14ac:dyDescent="0.25">
      <c r="A25" s="179">
        <v>1.2050000000000001</v>
      </c>
      <c r="B25" s="180">
        <v>9099</v>
      </c>
      <c r="C25" s="152" t="s">
        <v>499</v>
      </c>
      <c r="D25" s="181" t="s">
        <v>500</v>
      </c>
      <c r="E25" s="182">
        <v>2</v>
      </c>
      <c r="F25" s="183" t="s">
        <v>492</v>
      </c>
      <c r="G25" s="184">
        <v>1670000</v>
      </c>
      <c r="H25" s="183">
        <v>1.5869</v>
      </c>
      <c r="I25" s="185">
        <v>0</v>
      </c>
      <c r="J25" s="185">
        <v>1</v>
      </c>
      <c r="K25" s="185">
        <v>1</v>
      </c>
      <c r="L25" s="185">
        <v>1</v>
      </c>
      <c r="M25" s="185">
        <v>1</v>
      </c>
      <c r="N25" s="185">
        <v>0.5</v>
      </c>
      <c r="O25" s="185">
        <v>0.5</v>
      </c>
      <c r="P25" s="185"/>
      <c r="Q25" s="185"/>
      <c r="R25" s="185"/>
      <c r="S25" s="185"/>
      <c r="T25" s="186"/>
      <c r="U25" s="161">
        <f t="shared" si="5"/>
        <v>0</v>
      </c>
      <c r="V25" s="162">
        <f t="shared" si="2"/>
        <v>5</v>
      </c>
      <c r="W25" s="162">
        <f t="shared" si="6"/>
        <v>0</v>
      </c>
      <c r="X25" s="163">
        <f t="shared" si="4"/>
        <v>0</v>
      </c>
      <c r="Y25" s="163">
        <f t="shared" si="4"/>
        <v>0.83333333333333337</v>
      </c>
    </row>
    <row r="26" spans="1:25" ht="22.5" x14ac:dyDescent="0.25">
      <c r="A26" s="179">
        <v>1.206</v>
      </c>
      <c r="B26" s="180">
        <v>9089</v>
      </c>
      <c r="C26" s="152" t="s">
        <v>501</v>
      </c>
      <c r="D26" s="181" t="s">
        <v>502</v>
      </c>
      <c r="E26" s="182">
        <v>0</v>
      </c>
      <c r="F26" s="183" t="s">
        <v>492</v>
      </c>
      <c r="G26" s="184">
        <v>2739000</v>
      </c>
      <c r="H26" s="183">
        <v>1.4584999999999999</v>
      </c>
      <c r="I26" s="185">
        <v>0</v>
      </c>
      <c r="J26" s="185">
        <v>0.1</v>
      </c>
      <c r="K26" s="185">
        <v>0.15</v>
      </c>
      <c r="L26" s="185">
        <v>0.1</v>
      </c>
      <c r="M26" s="185">
        <v>0.15</v>
      </c>
      <c r="N26" s="185">
        <v>0.1</v>
      </c>
      <c r="O26" s="185">
        <v>0</v>
      </c>
      <c r="P26" s="185"/>
      <c r="Q26" s="185"/>
      <c r="R26" s="185"/>
      <c r="S26" s="185"/>
      <c r="T26" s="186"/>
      <c r="U26" s="161">
        <f t="shared" si="5"/>
        <v>0</v>
      </c>
      <c r="V26" s="162">
        <f t="shared" si="2"/>
        <v>0.6</v>
      </c>
      <c r="W26" s="162">
        <f t="shared" si="6"/>
        <v>0</v>
      </c>
      <c r="X26" s="163">
        <f t="shared" si="4"/>
        <v>0</v>
      </c>
      <c r="Y26" s="163">
        <f t="shared" si="4"/>
        <v>9.9999999999999992E-2</v>
      </c>
    </row>
    <row r="27" spans="1:25" s="196" customFormat="1" ht="22.5" x14ac:dyDescent="0.25">
      <c r="A27" s="189">
        <v>1.2070000000000001</v>
      </c>
      <c r="B27" s="190">
        <v>9086</v>
      </c>
      <c r="C27" s="166" t="s">
        <v>503</v>
      </c>
      <c r="D27" s="191" t="s">
        <v>504</v>
      </c>
      <c r="E27" s="192">
        <v>0</v>
      </c>
      <c r="F27" s="192" t="s">
        <v>505</v>
      </c>
      <c r="G27" s="193">
        <v>2734000</v>
      </c>
      <c r="H27" s="192">
        <v>1.4584999999999999</v>
      </c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5"/>
      <c r="U27" s="176">
        <f t="shared" si="5"/>
        <v>0</v>
      </c>
      <c r="V27" s="177">
        <f t="shared" si="2"/>
        <v>0</v>
      </c>
      <c r="W27" s="177">
        <f t="shared" si="6"/>
        <v>0</v>
      </c>
      <c r="X27" s="163">
        <f t="shared" si="4"/>
        <v>0</v>
      </c>
      <c r="Y27" s="163">
        <f t="shared" si="4"/>
        <v>0</v>
      </c>
    </row>
    <row r="28" spans="1:25" ht="22.5" x14ac:dyDescent="0.25">
      <c r="A28" s="179">
        <v>1.208</v>
      </c>
      <c r="B28" s="180">
        <v>9100</v>
      </c>
      <c r="C28" s="152" t="s">
        <v>506</v>
      </c>
      <c r="D28" s="181" t="s">
        <v>507</v>
      </c>
      <c r="E28" s="182">
        <v>2</v>
      </c>
      <c r="F28" s="183" t="s">
        <v>492</v>
      </c>
      <c r="G28" s="184">
        <v>1389000</v>
      </c>
      <c r="H28" s="183">
        <v>1.615</v>
      </c>
      <c r="I28" s="185">
        <v>0.5</v>
      </c>
      <c r="J28" s="185">
        <v>0.5</v>
      </c>
      <c r="K28" s="185">
        <v>0.5</v>
      </c>
      <c r="L28" s="185">
        <v>0.5</v>
      </c>
      <c r="M28" s="185">
        <v>0.5</v>
      </c>
      <c r="N28" s="185">
        <v>0.5</v>
      </c>
      <c r="O28" s="185">
        <v>0.5</v>
      </c>
      <c r="P28" s="185"/>
      <c r="Q28" s="185"/>
      <c r="R28" s="185"/>
      <c r="S28" s="185"/>
      <c r="T28" s="186"/>
      <c r="U28" s="161">
        <f t="shared" si="5"/>
        <v>0.5</v>
      </c>
      <c r="V28" s="162">
        <f t="shared" si="2"/>
        <v>3</v>
      </c>
      <c r="W28" s="162">
        <f t="shared" si="6"/>
        <v>0</v>
      </c>
      <c r="X28" s="163">
        <f t="shared" si="4"/>
        <v>0.5</v>
      </c>
      <c r="Y28" s="163">
        <f t="shared" si="4"/>
        <v>0.5</v>
      </c>
    </row>
    <row r="29" spans="1:25" x14ac:dyDescent="0.25">
      <c r="A29" s="144">
        <v>1.3</v>
      </c>
      <c r="B29" s="147"/>
      <c r="C29" s="147"/>
      <c r="D29" s="148" t="s">
        <v>508</v>
      </c>
      <c r="E29" s="197"/>
      <c r="F29" s="197"/>
      <c r="G29" s="197"/>
      <c r="H29" s="197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9"/>
      <c r="V29" s="150"/>
      <c r="W29" s="150"/>
      <c r="X29" s="150"/>
      <c r="Y29" s="150"/>
    </row>
    <row r="30" spans="1:25" ht="22.5" x14ac:dyDescent="0.25">
      <c r="A30" s="179">
        <v>1.3009999999999999</v>
      </c>
      <c r="B30" s="180">
        <v>9102</v>
      </c>
      <c r="C30" s="152" t="s">
        <v>509</v>
      </c>
      <c r="D30" s="181" t="s">
        <v>510</v>
      </c>
      <c r="E30" s="200"/>
      <c r="F30" s="201" t="s">
        <v>492</v>
      </c>
      <c r="G30" s="184">
        <v>2879000</v>
      </c>
      <c r="H30" s="183">
        <v>1.458</v>
      </c>
      <c r="I30" s="185">
        <v>0</v>
      </c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6"/>
      <c r="U30" s="161">
        <f>ROUND(SUM(I30),4)</f>
        <v>0</v>
      </c>
      <c r="V30" s="162">
        <f t="shared" si="2"/>
        <v>0</v>
      </c>
      <c r="W30" s="162">
        <f>IF(W28=0,0,ROUND(SUM(T30),4))</f>
        <v>0</v>
      </c>
      <c r="X30" s="163">
        <f t="shared" si="4"/>
        <v>0</v>
      </c>
      <c r="Y30" s="163">
        <f t="shared" si="4"/>
        <v>0</v>
      </c>
    </row>
    <row r="31" spans="1:25" ht="22.5" x14ac:dyDescent="0.25">
      <c r="A31" s="179">
        <v>1.302</v>
      </c>
      <c r="B31" s="180">
        <v>9103</v>
      </c>
      <c r="C31" s="152" t="s">
        <v>511</v>
      </c>
      <c r="D31" s="181" t="s">
        <v>512</v>
      </c>
      <c r="E31" s="202">
        <v>1</v>
      </c>
      <c r="F31" s="201" t="s">
        <v>492</v>
      </c>
      <c r="G31" s="184">
        <v>2053000</v>
      </c>
      <c r="H31" s="183">
        <v>1.5609999999999999</v>
      </c>
      <c r="I31" s="185">
        <v>0</v>
      </c>
      <c r="J31" s="185">
        <v>1</v>
      </c>
      <c r="K31" s="185">
        <v>1</v>
      </c>
      <c r="L31" s="185">
        <v>1</v>
      </c>
      <c r="M31" s="185">
        <v>1</v>
      </c>
      <c r="N31" s="185">
        <v>1</v>
      </c>
      <c r="O31" s="185">
        <v>1</v>
      </c>
      <c r="P31" s="185"/>
      <c r="Q31" s="185"/>
      <c r="R31" s="185"/>
      <c r="S31" s="185"/>
      <c r="T31" s="186"/>
      <c r="U31" s="161">
        <f t="shared" ref="U31:U34" si="7">ROUND(SUM(I31),4)</f>
        <v>0</v>
      </c>
      <c r="V31" s="162">
        <f t="shared" si="2"/>
        <v>6</v>
      </c>
      <c r="W31" s="162">
        <f t="shared" ref="W31:W34" si="8">IF(W29=0,0,ROUND(SUM(T31),4))</f>
        <v>0</v>
      </c>
      <c r="X31" s="163">
        <f t="shared" si="4"/>
        <v>0</v>
      </c>
      <c r="Y31" s="163">
        <f t="shared" si="4"/>
        <v>1</v>
      </c>
    </row>
    <row r="32" spans="1:25" ht="22.5" x14ac:dyDescent="0.25">
      <c r="A32" s="179">
        <v>1.3029999999999999</v>
      </c>
      <c r="B32" s="180">
        <v>9104</v>
      </c>
      <c r="C32" s="152" t="s">
        <v>513</v>
      </c>
      <c r="D32" s="203" t="s">
        <v>514</v>
      </c>
      <c r="E32" s="202">
        <v>1</v>
      </c>
      <c r="F32" s="201" t="s">
        <v>492</v>
      </c>
      <c r="G32" s="184">
        <v>1670000</v>
      </c>
      <c r="H32" s="183">
        <v>1.5869</v>
      </c>
      <c r="I32" s="185">
        <v>0</v>
      </c>
      <c r="J32" s="185">
        <v>0.25</v>
      </c>
      <c r="K32" s="185">
        <v>0.25</v>
      </c>
      <c r="L32" s="185">
        <v>0.25</v>
      </c>
      <c r="M32" s="185">
        <v>0.25</v>
      </c>
      <c r="N32" s="185">
        <v>0.25</v>
      </c>
      <c r="O32" s="185">
        <v>0.25</v>
      </c>
      <c r="P32" s="185"/>
      <c r="Q32" s="185"/>
      <c r="R32" s="185"/>
      <c r="S32" s="185"/>
      <c r="T32" s="186"/>
      <c r="U32" s="161">
        <f t="shared" si="7"/>
        <v>0</v>
      </c>
      <c r="V32" s="162">
        <f t="shared" si="2"/>
        <v>1.5</v>
      </c>
      <c r="W32" s="162">
        <f t="shared" si="8"/>
        <v>0</v>
      </c>
      <c r="X32" s="163">
        <f t="shared" si="4"/>
        <v>0</v>
      </c>
      <c r="Y32" s="163">
        <f t="shared" si="4"/>
        <v>0.25</v>
      </c>
    </row>
    <row r="33" spans="1:25" ht="22.5" x14ac:dyDescent="0.25">
      <c r="A33" s="179">
        <v>1.304</v>
      </c>
      <c r="B33" s="180">
        <v>9105</v>
      </c>
      <c r="C33" s="152" t="s">
        <v>515</v>
      </c>
      <c r="D33" s="203" t="s">
        <v>516</v>
      </c>
      <c r="E33" s="202"/>
      <c r="F33" s="201" t="s">
        <v>492</v>
      </c>
      <c r="G33" s="184">
        <v>1389000</v>
      </c>
      <c r="H33" s="183">
        <v>1.615</v>
      </c>
      <c r="I33" s="204">
        <v>0</v>
      </c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05"/>
      <c r="U33" s="161">
        <f t="shared" si="7"/>
        <v>0</v>
      </c>
      <c r="V33" s="162">
        <f t="shared" si="2"/>
        <v>0</v>
      </c>
      <c r="W33" s="162">
        <f t="shared" si="8"/>
        <v>0</v>
      </c>
      <c r="X33" s="163">
        <f t="shared" si="4"/>
        <v>0</v>
      </c>
      <c r="Y33" s="163">
        <f t="shared" si="4"/>
        <v>0</v>
      </c>
    </row>
    <row r="34" spans="1:25" ht="22.5" x14ac:dyDescent="0.25">
      <c r="A34" s="179">
        <v>1.3049999999999999</v>
      </c>
      <c r="B34" s="180">
        <v>9575</v>
      </c>
      <c r="C34" s="152" t="s">
        <v>517</v>
      </c>
      <c r="D34" s="203" t="s">
        <v>518</v>
      </c>
      <c r="E34" s="202">
        <v>1</v>
      </c>
      <c r="F34" s="201" t="s">
        <v>492</v>
      </c>
      <c r="G34" s="184">
        <v>10981528</v>
      </c>
      <c r="H34" s="183">
        <v>1</v>
      </c>
      <c r="I34" s="204">
        <v>0</v>
      </c>
      <c r="J34" s="204">
        <v>0.35</v>
      </c>
      <c r="K34" s="204">
        <v>0.35</v>
      </c>
      <c r="L34" s="204">
        <v>0.35</v>
      </c>
      <c r="M34" s="204">
        <v>0.35</v>
      </c>
      <c r="N34" s="204">
        <v>0.35</v>
      </c>
      <c r="O34" s="204">
        <v>0.35</v>
      </c>
      <c r="P34" s="204"/>
      <c r="Q34" s="204"/>
      <c r="R34" s="204"/>
      <c r="S34" s="204"/>
      <c r="T34" s="205"/>
      <c r="U34" s="161">
        <f t="shared" si="7"/>
        <v>0</v>
      </c>
      <c r="V34" s="162">
        <f t="shared" si="2"/>
        <v>2.1</v>
      </c>
      <c r="W34" s="162">
        <f t="shared" si="8"/>
        <v>0</v>
      </c>
      <c r="X34" s="163">
        <f t="shared" si="4"/>
        <v>0</v>
      </c>
      <c r="Y34" s="163">
        <f t="shared" si="4"/>
        <v>0.35000000000000003</v>
      </c>
    </row>
    <row r="35" spans="1:25" x14ac:dyDescent="0.25">
      <c r="A35" s="144" t="s">
        <v>519</v>
      </c>
      <c r="B35" s="147"/>
      <c r="C35" s="147"/>
      <c r="D35" s="148" t="s">
        <v>520</v>
      </c>
      <c r="E35" s="197"/>
      <c r="F35" s="197"/>
      <c r="G35" s="197"/>
      <c r="H35" s="197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9"/>
      <c r="V35" s="150"/>
      <c r="W35" s="150"/>
      <c r="X35" s="150"/>
      <c r="Y35" s="150"/>
    </row>
    <row r="36" spans="1:25" x14ac:dyDescent="0.25">
      <c r="A36" s="206" t="s">
        <v>521</v>
      </c>
      <c r="B36" s="152">
        <v>9112</v>
      </c>
      <c r="C36" s="153" t="s">
        <v>477</v>
      </c>
      <c r="D36" s="207" t="s">
        <v>522</v>
      </c>
      <c r="E36" s="202">
        <v>1</v>
      </c>
      <c r="F36" s="156">
        <v>6</v>
      </c>
      <c r="G36" s="157">
        <v>6339000</v>
      </c>
      <c r="H36" s="158">
        <v>1.4524999999999999</v>
      </c>
      <c r="I36" s="204">
        <v>0.2</v>
      </c>
      <c r="J36" s="204">
        <v>0.25</v>
      </c>
      <c r="K36" s="204">
        <v>0.25</v>
      </c>
      <c r="L36" s="204">
        <v>0.25</v>
      </c>
      <c r="M36" s="204">
        <v>0.25</v>
      </c>
      <c r="N36" s="204">
        <v>0.25</v>
      </c>
      <c r="O36" s="204">
        <v>0.25</v>
      </c>
      <c r="P36" s="204"/>
      <c r="Q36" s="204"/>
      <c r="R36" s="204"/>
      <c r="S36" s="204"/>
      <c r="T36" s="205"/>
      <c r="U36" s="161">
        <f t="shared" ref="U36:U42" si="9">ROUND(SUM(I36),4)</f>
        <v>0.2</v>
      </c>
      <c r="V36" s="162">
        <f t="shared" si="2"/>
        <v>1.5</v>
      </c>
      <c r="W36" s="162">
        <f t="shared" ref="W36:W42" si="10">IF(W34=0,0,ROUND(SUM(T36),4))</f>
        <v>0</v>
      </c>
      <c r="X36" s="163">
        <f t="shared" si="4"/>
        <v>0.2</v>
      </c>
      <c r="Y36" s="163">
        <f t="shared" si="4"/>
        <v>0.25</v>
      </c>
    </row>
    <row r="37" spans="1:25" x14ac:dyDescent="0.25">
      <c r="A37" s="206" t="s">
        <v>523</v>
      </c>
      <c r="B37" s="152">
        <v>9112</v>
      </c>
      <c r="C37" s="153" t="s">
        <v>477</v>
      </c>
      <c r="D37" s="207" t="s">
        <v>524</v>
      </c>
      <c r="E37" s="202">
        <v>1</v>
      </c>
      <c r="F37" s="156">
        <v>6</v>
      </c>
      <c r="G37" s="157">
        <v>6339000</v>
      </c>
      <c r="H37" s="158">
        <v>1.4524999999999999</v>
      </c>
      <c r="I37" s="204">
        <v>0.1</v>
      </c>
      <c r="J37" s="204">
        <v>0.05</v>
      </c>
      <c r="K37" s="204"/>
      <c r="L37" s="204">
        <v>0.05</v>
      </c>
      <c r="M37" s="204"/>
      <c r="N37" s="204">
        <v>0.05</v>
      </c>
      <c r="O37" s="204"/>
      <c r="P37" s="204"/>
      <c r="Q37" s="204"/>
      <c r="R37" s="204"/>
      <c r="S37" s="204"/>
      <c r="T37" s="205"/>
      <c r="U37" s="161">
        <f t="shared" si="9"/>
        <v>0.1</v>
      </c>
      <c r="V37" s="162">
        <f t="shared" si="2"/>
        <v>0.15</v>
      </c>
      <c r="W37" s="162">
        <f t="shared" si="10"/>
        <v>0</v>
      </c>
      <c r="X37" s="163">
        <f t="shared" si="4"/>
        <v>0.1</v>
      </c>
      <c r="Y37" s="163">
        <f t="shared" si="4"/>
        <v>2.4999999999999998E-2</v>
      </c>
    </row>
    <row r="38" spans="1:25" x14ac:dyDescent="0.25">
      <c r="A38" s="206" t="s">
        <v>525</v>
      </c>
      <c r="B38" s="152">
        <v>9112</v>
      </c>
      <c r="C38" s="153" t="s">
        <v>477</v>
      </c>
      <c r="D38" s="207" t="s">
        <v>526</v>
      </c>
      <c r="E38" s="202">
        <v>0</v>
      </c>
      <c r="F38" s="156">
        <v>6</v>
      </c>
      <c r="G38" s="157">
        <v>6339000</v>
      </c>
      <c r="H38" s="158">
        <v>1.4524999999999999</v>
      </c>
      <c r="I38" s="204">
        <v>0</v>
      </c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5"/>
      <c r="U38" s="161">
        <f t="shared" si="9"/>
        <v>0</v>
      </c>
      <c r="V38" s="162">
        <f t="shared" si="2"/>
        <v>0</v>
      </c>
      <c r="W38" s="162">
        <f t="shared" si="10"/>
        <v>0</v>
      </c>
      <c r="X38" s="163">
        <f t="shared" si="4"/>
        <v>0</v>
      </c>
      <c r="Y38" s="163">
        <f t="shared" si="4"/>
        <v>0</v>
      </c>
    </row>
    <row r="39" spans="1:25" x14ac:dyDescent="0.25">
      <c r="A39" s="206" t="s">
        <v>527</v>
      </c>
      <c r="B39" s="152">
        <v>9113</v>
      </c>
      <c r="C39" s="153" t="s">
        <v>528</v>
      </c>
      <c r="D39" s="207" t="s">
        <v>529</v>
      </c>
      <c r="E39" s="202">
        <v>1</v>
      </c>
      <c r="F39" s="156">
        <v>7</v>
      </c>
      <c r="G39" s="157">
        <v>4793000</v>
      </c>
      <c r="H39" s="158">
        <v>1.454</v>
      </c>
      <c r="I39" s="204">
        <v>0.15</v>
      </c>
      <c r="J39" s="204">
        <v>0.5</v>
      </c>
      <c r="K39" s="204">
        <v>0.5</v>
      </c>
      <c r="L39" s="204">
        <v>0.5</v>
      </c>
      <c r="M39" s="204">
        <v>0.5</v>
      </c>
      <c r="N39" s="204">
        <v>0.5</v>
      </c>
      <c r="O39" s="204">
        <v>0.5</v>
      </c>
      <c r="P39" s="204"/>
      <c r="Q39" s="204"/>
      <c r="R39" s="204"/>
      <c r="S39" s="204"/>
      <c r="T39" s="205"/>
      <c r="U39" s="161">
        <f t="shared" si="9"/>
        <v>0.15</v>
      </c>
      <c r="V39" s="162">
        <f t="shared" si="2"/>
        <v>3</v>
      </c>
      <c r="W39" s="162">
        <f t="shared" si="10"/>
        <v>0</v>
      </c>
      <c r="X39" s="163">
        <f t="shared" si="4"/>
        <v>0.15</v>
      </c>
      <c r="Y39" s="163">
        <f t="shared" si="4"/>
        <v>0.5</v>
      </c>
    </row>
    <row r="40" spans="1:25" x14ac:dyDescent="0.25">
      <c r="A40" s="206" t="s">
        <v>530</v>
      </c>
      <c r="B40" s="152">
        <v>9113</v>
      </c>
      <c r="C40" s="153" t="s">
        <v>528</v>
      </c>
      <c r="D40" s="207" t="s">
        <v>531</v>
      </c>
      <c r="E40" s="202">
        <v>1</v>
      </c>
      <c r="F40" s="156">
        <v>7</v>
      </c>
      <c r="G40" s="157">
        <v>4793000</v>
      </c>
      <c r="H40" s="158">
        <v>1.454</v>
      </c>
      <c r="I40" s="204">
        <v>0</v>
      </c>
      <c r="J40" s="204">
        <v>0.5</v>
      </c>
      <c r="K40" s="204">
        <v>0.5</v>
      </c>
      <c r="L40" s="204">
        <v>0.5</v>
      </c>
      <c r="M40" s="204">
        <v>0.5</v>
      </c>
      <c r="N40" s="204">
        <v>0.5</v>
      </c>
      <c r="O40" s="204">
        <v>0.5</v>
      </c>
      <c r="P40" s="204"/>
      <c r="Q40" s="204"/>
      <c r="R40" s="204"/>
      <c r="S40" s="204"/>
      <c r="T40" s="205"/>
      <c r="U40" s="161">
        <f t="shared" si="9"/>
        <v>0</v>
      </c>
      <c r="V40" s="162">
        <f t="shared" si="2"/>
        <v>3</v>
      </c>
      <c r="W40" s="162">
        <f t="shared" si="10"/>
        <v>0</v>
      </c>
      <c r="X40" s="163">
        <f t="shared" si="4"/>
        <v>0</v>
      </c>
      <c r="Y40" s="163">
        <f t="shared" si="4"/>
        <v>0.5</v>
      </c>
    </row>
    <row r="41" spans="1:25" ht="22.5" x14ac:dyDescent="0.25">
      <c r="A41" s="206" t="s">
        <v>532</v>
      </c>
      <c r="B41" s="152">
        <v>9094</v>
      </c>
      <c r="C41" s="152" t="s">
        <v>533</v>
      </c>
      <c r="D41" s="207" t="s">
        <v>534</v>
      </c>
      <c r="E41" s="202">
        <v>3</v>
      </c>
      <c r="F41" s="201" t="s">
        <v>492</v>
      </c>
      <c r="G41" s="184">
        <v>2025000</v>
      </c>
      <c r="H41" s="183">
        <v>1.5625</v>
      </c>
      <c r="I41" s="204">
        <v>0</v>
      </c>
      <c r="J41" s="204">
        <v>1</v>
      </c>
      <c r="K41" s="204">
        <v>1</v>
      </c>
      <c r="L41" s="204">
        <v>1</v>
      </c>
      <c r="M41" s="204">
        <v>1</v>
      </c>
      <c r="N41" s="204">
        <v>1</v>
      </c>
      <c r="O41" s="204">
        <v>1</v>
      </c>
      <c r="P41" s="204"/>
      <c r="Q41" s="204"/>
      <c r="R41" s="204"/>
      <c r="S41" s="204"/>
      <c r="T41" s="205"/>
      <c r="U41" s="161">
        <f t="shared" si="9"/>
        <v>0</v>
      </c>
      <c r="V41" s="162">
        <f t="shared" si="2"/>
        <v>6</v>
      </c>
      <c r="W41" s="162">
        <f t="shared" si="10"/>
        <v>0</v>
      </c>
      <c r="X41" s="163">
        <f t="shared" si="4"/>
        <v>0</v>
      </c>
      <c r="Y41" s="163">
        <f t="shared" si="4"/>
        <v>1</v>
      </c>
    </row>
    <row r="42" spans="1:25" ht="22.5" x14ac:dyDescent="0.25">
      <c r="A42" s="206" t="s">
        <v>535</v>
      </c>
      <c r="B42" s="152">
        <v>9455</v>
      </c>
      <c r="C42" s="152" t="s">
        <v>536</v>
      </c>
      <c r="D42" s="207" t="s">
        <v>537</v>
      </c>
      <c r="E42" s="202">
        <v>10</v>
      </c>
      <c r="F42" s="201" t="s">
        <v>492</v>
      </c>
      <c r="G42" s="184">
        <v>1160000</v>
      </c>
      <c r="H42" s="183">
        <v>1.6479999999999999</v>
      </c>
      <c r="I42" s="204">
        <v>0</v>
      </c>
      <c r="J42" s="204">
        <v>1</v>
      </c>
      <c r="K42" s="204">
        <v>1</v>
      </c>
      <c r="L42" s="204">
        <v>1</v>
      </c>
      <c r="M42" s="204">
        <v>1</v>
      </c>
      <c r="N42" s="204">
        <v>1</v>
      </c>
      <c r="O42" s="204">
        <v>1</v>
      </c>
      <c r="P42" s="204"/>
      <c r="Q42" s="204"/>
      <c r="R42" s="204"/>
      <c r="S42" s="204"/>
      <c r="T42" s="205"/>
      <c r="U42" s="161">
        <f t="shared" si="9"/>
        <v>0</v>
      </c>
      <c r="V42" s="162">
        <f t="shared" si="2"/>
        <v>6</v>
      </c>
      <c r="W42" s="162">
        <f t="shared" si="10"/>
        <v>0</v>
      </c>
      <c r="X42" s="163">
        <f t="shared" si="4"/>
        <v>0</v>
      </c>
      <c r="Y42" s="163">
        <f t="shared" si="4"/>
        <v>1</v>
      </c>
    </row>
    <row r="43" spans="1:25" x14ac:dyDescent="0.25">
      <c r="A43" s="144" t="s">
        <v>538</v>
      </c>
      <c r="B43" s="147"/>
      <c r="C43" s="147"/>
      <c r="D43" s="148" t="s">
        <v>539</v>
      </c>
      <c r="E43" s="197"/>
      <c r="F43" s="197"/>
      <c r="G43" s="197"/>
      <c r="H43" s="197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9"/>
      <c r="V43" s="150"/>
      <c r="W43" s="150"/>
      <c r="X43" s="150"/>
      <c r="Y43" s="150"/>
    </row>
    <row r="44" spans="1:25" x14ac:dyDescent="0.25">
      <c r="A44" s="206" t="s">
        <v>540</v>
      </c>
      <c r="B44" s="152">
        <v>9112</v>
      </c>
      <c r="C44" s="153" t="s">
        <v>477</v>
      </c>
      <c r="D44" s="207" t="s">
        <v>541</v>
      </c>
      <c r="E44" s="202">
        <v>1</v>
      </c>
      <c r="F44" s="156">
        <v>6</v>
      </c>
      <c r="G44" s="157">
        <v>6339000</v>
      </c>
      <c r="H44" s="158">
        <v>1.4524999999999999</v>
      </c>
      <c r="I44" s="204">
        <v>0.5</v>
      </c>
      <c r="J44" s="204">
        <v>1</v>
      </c>
      <c r="K44" s="204">
        <v>1</v>
      </c>
      <c r="L44" s="204">
        <v>1</v>
      </c>
      <c r="M44" s="204">
        <v>1</v>
      </c>
      <c r="N44" s="204">
        <v>1</v>
      </c>
      <c r="O44" s="204">
        <v>1</v>
      </c>
      <c r="P44" s="204"/>
      <c r="Q44" s="204"/>
      <c r="R44" s="204"/>
      <c r="S44" s="204"/>
      <c r="T44" s="205"/>
      <c r="U44" s="161">
        <f t="shared" ref="U44:U45" si="11">ROUND(SUM(I44),4)</f>
        <v>0.5</v>
      </c>
      <c r="V44" s="162">
        <f t="shared" si="2"/>
        <v>6</v>
      </c>
      <c r="W44" s="162">
        <f t="shared" ref="W44:W45" si="12">IF(W42=0,0,ROUND(SUM(T44),4))</f>
        <v>0</v>
      </c>
      <c r="X44" s="163">
        <f t="shared" si="4"/>
        <v>0.5</v>
      </c>
      <c r="Y44" s="163">
        <f t="shared" si="4"/>
        <v>1</v>
      </c>
    </row>
    <row r="45" spans="1:25" ht="22.5" x14ac:dyDescent="0.25">
      <c r="A45" s="206" t="s">
        <v>542</v>
      </c>
      <c r="B45" s="152">
        <v>9455</v>
      </c>
      <c r="C45" s="152" t="s">
        <v>536</v>
      </c>
      <c r="D45" s="207" t="s">
        <v>543</v>
      </c>
      <c r="E45" s="202">
        <v>2</v>
      </c>
      <c r="F45" s="201" t="s">
        <v>492</v>
      </c>
      <c r="G45" s="184">
        <v>1160000</v>
      </c>
      <c r="H45" s="183">
        <v>1.6479999999999999</v>
      </c>
      <c r="I45" s="204">
        <v>0</v>
      </c>
      <c r="J45" s="204">
        <v>1</v>
      </c>
      <c r="K45" s="204">
        <v>1</v>
      </c>
      <c r="L45" s="204">
        <v>1</v>
      </c>
      <c r="M45" s="204">
        <v>1</v>
      </c>
      <c r="N45" s="204">
        <v>1</v>
      </c>
      <c r="O45" s="204">
        <v>1</v>
      </c>
      <c r="P45" s="204"/>
      <c r="Q45" s="204"/>
      <c r="R45" s="204"/>
      <c r="S45" s="204"/>
      <c r="T45" s="205"/>
      <c r="U45" s="161">
        <f t="shared" si="11"/>
        <v>0</v>
      </c>
      <c r="V45" s="162">
        <f t="shared" si="2"/>
        <v>6</v>
      </c>
      <c r="W45" s="162">
        <f t="shared" si="12"/>
        <v>0</v>
      </c>
      <c r="X45" s="163">
        <f t="shared" si="4"/>
        <v>0</v>
      </c>
      <c r="Y45" s="163">
        <f t="shared" si="4"/>
        <v>1</v>
      </c>
    </row>
    <row r="46" spans="1:25" x14ac:dyDescent="0.25">
      <c r="A46" s="144" t="s">
        <v>544</v>
      </c>
      <c r="B46" s="147"/>
      <c r="C46" s="147"/>
      <c r="D46" s="148" t="s">
        <v>545</v>
      </c>
      <c r="E46" s="197"/>
      <c r="F46" s="197"/>
      <c r="G46" s="197"/>
      <c r="H46" s="197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9"/>
      <c r="V46" s="150"/>
      <c r="W46" s="150"/>
      <c r="X46" s="150"/>
      <c r="Y46" s="150"/>
    </row>
    <row r="47" spans="1:25" x14ac:dyDescent="0.25">
      <c r="A47" s="206" t="s">
        <v>546</v>
      </c>
      <c r="B47" s="152">
        <v>9110</v>
      </c>
      <c r="C47" s="153" t="s">
        <v>475</v>
      </c>
      <c r="D47" s="207" t="s">
        <v>547</v>
      </c>
      <c r="E47" s="202">
        <v>1</v>
      </c>
      <c r="F47" s="156">
        <v>4</v>
      </c>
      <c r="G47" s="157">
        <v>7881000</v>
      </c>
      <c r="H47" s="158">
        <v>1.4516</v>
      </c>
      <c r="I47" s="204">
        <v>0.15</v>
      </c>
      <c r="J47" s="204">
        <v>0.05</v>
      </c>
      <c r="K47" s="204">
        <v>0.05</v>
      </c>
      <c r="L47" s="204">
        <v>0.05</v>
      </c>
      <c r="M47" s="204">
        <v>0.05</v>
      </c>
      <c r="N47" s="204">
        <v>0.05</v>
      </c>
      <c r="O47" s="204">
        <v>0.05</v>
      </c>
      <c r="P47" s="204"/>
      <c r="Q47" s="204"/>
      <c r="R47" s="204"/>
      <c r="S47" s="204"/>
      <c r="T47" s="205"/>
      <c r="U47" s="161">
        <f t="shared" ref="U47:U50" si="13">ROUND(SUM(I47),4)</f>
        <v>0.15</v>
      </c>
      <c r="V47" s="162">
        <f t="shared" si="2"/>
        <v>0.3</v>
      </c>
      <c r="W47" s="162">
        <f t="shared" ref="W47:W50" si="14">IF(W45=0,0,ROUND(SUM(T47),4))</f>
        <v>0</v>
      </c>
      <c r="X47" s="163">
        <f t="shared" si="4"/>
        <v>0.15</v>
      </c>
      <c r="Y47" s="163">
        <f t="shared" si="4"/>
        <v>4.9999999999999996E-2</v>
      </c>
    </row>
    <row r="48" spans="1:25" x14ac:dyDescent="0.25">
      <c r="A48" s="206" t="s">
        <v>548</v>
      </c>
      <c r="B48" s="152">
        <v>9112</v>
      </c>
      <c r="C48" s="153" t="s">
        <v>477</v>
      </c>
      <c r="D48" s="207" t="s">
        <v>549</v>
      </c>
      <c r="E48" s="202">
        <v>1</v>
      </c>
      <c r="F48" s="156">
        <v>6</v>
      </c>
      <c r="G48" s="157">
        <v>6339000</v>
      </c>
      <c r="H48" s="158">
        <v>1.4524999999999999</v>
      </c>
      <c r="I48" s="204">
        <v>0</v>
      </c>
      <c r="J48" s="204">
        <v>0.2</v>
      </c>
      <c r="K48" s="204">
        <v>0.2</v>
      </c>
      <c r="L48" s="204">
        <v>0.2</v>
      </c>
      <c r="M48" s="204">
        <v>0.2</v>
      </c>
      <c r="N48" s="204">
        <v>0.2</v>
      </c>
      <c r="O48" s="204">
        <v>0.2</v>
      </c>
      <c r="P48" s="204"/>
      <c r="Q48" s="204"/>
      <c r="R48" s="204"/>
      <c r="S48" s="204"/>
      <c r="T48" s="205"/>
      <c r="U48" s="161">
        <f t="shared" si="13"/>
        <v>0</v>
      </c>
      <c r="V48" s="162">
        <f t="shared" si="2"/>
        <v>1.2</v>
      </c>
      <c r="W48" s="162">
        <f t="shared" si="14"/>
        <v>0</v>
      </c>
      <c r="X48" s="163">
        <f t="shared" si="4"/>
        <v>0</v>
      </c>
      <c r="Y48" s="163">
        <f t="shared" si="4"/>
        <v>0.19999999999999998</v>
      </c>
    </row>
    <row r="49" spans="1:25" ht="22.5" x14ac:dyDescent="0.25">
      <c r="A49" s="206" t="s">
        <v>550</v>
      </c>
      <c r="B49" s="152">
        <v>9455</v>
      </c>
      <c r="C49" s="152" t="s">
        <v>536</v>
      </c>
      <c r="D49" s="207" t="s">
        <v>551</v>
      </c>
      <c r="E49" s="202">
        <v>5</v>
      </c>
      <c r="F49" s="201" t="s">
        <v>492</v>
      </c>
      <c r="G49" s="184">
        <v>1160000</v>
      </c>
      <c r="H49" s="183">
        <v>1.6479999999999999</v>
      </c>
      <c r="I49" s="204">
        <v>0</v>
      </c>
      <c r="J49" s="204">
        <v>1</v>
      </c>
      <c r="K49" s="204">
        <v>1</v>
      </c>
      <c r="L49" s="204">
        <v>1</v>
      </c>
      <c r="M49" s="204">
        <v>1</v>
      </c>
      <c r="N49" s="204">
        <v>1</v>
      </c>
      <c r="O49" s="204">
        <v>1</v>
      </c>
      <c r="P49" s="204"/>
      <c r="Q49" s="204"/>
      <c r="R49" s="204"/>
      <c r="S49" s="204"/>
      <c r="T49" s="205"/>
      <c r="U49" s="161">
        <f t="shared" si="13"/>
        <v>0</v>
      </c>
      <c r="V49" s="162">
        <f t="shared" si="2"/>
        <v>6</v>
      </c>
      <c r="W49" s="162">
        <f t="shared" si="14"/>
        <v>0</v>
      </c>
      <c r="X49" s="163">
        <f t="shared" si="4"/>
        <v>0</v>
      </c>
      <c r="Y49" s="163">
        <f t="shared" si="4"/>
        <v>1</v>
      </c>
    </row>
    <row r="50" spans="1:25" ht="22.5" x14ac:dyDescent="0.25">
      <c r="A50" t="s">
        <v>552</v>
      </c>
      <c r="B50" s="152">
        <v>9455</v>
      </c>
      <c r="C50" s="152" t="s">
        <v>536</v>
      </c>
      <c r="D50" s="207" t="s">
        <v>553</v>
      </c>
      <c r="E50" s="202">
        <v>3</v>
      </c>
      <c r="F50" s="201" t="s">
        <v>492</v>
      </c>
      <c r="G50" s="184">
        <v>1160000</v>
      </c>
      <c r="H50" s="183">
        <v>1.6479999999999999</v>
      </c>
      <c r="I50" s="204">
        <v>0</v>
      </c>
      <c r="J50" s="204">
        <v>1</v>
      </c>
      <c r="K50" s="204">
        <v>1</v>
      </c>
      <c r="L50" s="204">
        <v>1</v>
      </c>
      <c r="M50" s="204">
        <v>1</v>
      </c>
      <c r="N50" s="204">
        <v>1</v>
      </c>
      <c r="O50" s="204">
        <v>1</v>
      </c>
      <c r="P50" s="204"/>
      <c r="Q50" s="204"/>
      <c r="R50" s="204"/>
      <c r="S50" s="204"/>
      <c r="T50" s="205"/>
      <c r="U50" s="161">
        <f t="shared" si="13"/>
        <v>0</v>
      </c>
      <c r="V50" s="162">
        <f t="shared" si="2"/>
        <v>6</v>
      </c>
      <c r="W50" s="162">
        <f t="shared" si="14"/>
        <v>0</v>
      </c>
      <c r="X50" s="163">
        <f t="shared" si="4"/>
        <v>0</v>
      </c>
      <c r="Y50" s="163">
        <f t="shared" si="4"/>
        <v>1</v>
      </c>
    </row>
  </sheetData>
  <mergeCells count="13">
    <mergeCell ref="G4:G6"/>
    <mergeCell ref="A4:A6"/>
    <mergeCell ref="B4:B6"/>
    <mergeCell ref="D4:D6"/>
    <mergeCell ref="E4:E5"/>
    <mergeCell ref="F4:F6"/>
    <mergeCell ref="Y4:Y5"/>
    <mergeCell ref="H4:H6"/>
    <mergeCell ref="J4:S4"/>
    <mergeCell ref="U4:U5"/>
    <mergeCell ref="V4:V5"/>
    <mergeCell ref="W4:W5"/>
    <mergeCell ref="X4:X5"/>
  </mergeCells>
  <pageMargins left="0.7" right="0.7" top="0.75" bottom="0.75" header="0.3" footer="0.3"/>
  <pageSetup paperSize="119" scale="42" orientation="landscape" r:id="rId1"/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9">
    <tabColor theme="7"/>
    <pageSetUpPr fitToPage="1"/>
  </sheetPr>
  <dimension ref="A1:U218"/>
  <sheetViews>
    <sheetView view="pageBreakPreview" topLeftCell="A157" zoomScale="90" zoomScaleNormal="100" zoomScaleSheetLayoutView="90" workbookViewId="0">
      <selection activeCell="B9" sqref="B9:N13"/>
    </sheetView>
  </sheetViews>
  <sheetFormatPr baseColWidth="10" defaultColWidth="11.28515625" defaultRowHeight="15" x14ac:dyDescent="0.25"/>
  <cols>
    <col min="1" max="1" width="7.140625" style="31" bestFit="1" customWidth="1"/>
    <col min="2" max="2" width="5.28515625" style="31" bestFit="1" customWidth="1"/>
    <col min="3" max="3" width="47.140625" style="208" customWidth="1"/>
    <col min="4" max="4" width="14.7109375" style="208" customWidth="1"/>
    <col min="5" max="7" width="13.85546875" style="208" customWidth="1"/>
    <col min="8" max="8" width="14.85546875" style="208" bestFit="1" customWidth="1"/>
    <col min="9" max="9" width="13.28515625" style="208" customWidth="1"/>
    <col min="10" max="10" width="13.28515625" style="31" customWidth="1"/>
    <col min="11" max="11" width="27.85546875" style="208" bestFit="1" customWidth="1"/>
    <col min="12" max="12" width="11.28515625" style="208"/>
    <col min="13" max="13" width="12.7109375" style="208" bestFit="1" customWidth="1"/>
    <col min="14" max="14" width="19.7109375" style="208" customWidth="1"/>
    <col min="15" max="16" width="23.28515625" style="208" bestFit="1" customWidth="1"/>
    <col min="17" max="17" width="23.7109375" style="208" bestFit="1" customWidth="1"/>
    <col min="18" max="18" width="11.28515625" style="208"/>
    <col min="19" max="20" width="23.28515625" style="208" bestFit="1" customWidth="1"/>
    <col min="21" max="16384" width="11.28515625" style="208"/>
  </cols>
  <sheetData>
    <row r="1" spans="1:21" ht="7.5" customHeight="1" thickBot="1" x14ac:dyDescent="0.3"/>
    <row r="2" spans="1:21" x14ac:dyDescent="0.25">
      <c r="A2" s="564" t="s">
        <v>554</v>
      </c>
      <c r="B2" s="565"/>
      <c r="C2" s="565"/>
      <c r="D2" s="565"/>
      <c r="E2" s="565"/>
      <c r="F2" s="565"/>
      <c r="G2" s="565"/>
      <c r="H2" s="565"/>
      <c r="I2" s="565"/>
      <c r="J2" s="565"/>
      <c r="K2" s="566"/>
    </row>
    <row r="3" spans="1:21" x14ac:dyDescent="0.25">
      <c r="A3" s="567" t="s">
        <v>32</v>
      </c>
      <c r="B3" s="568"/>
      <c r="C3" s="568"/>
      <c r="D3" s="568"/>
      <c r="E3" s="568"/>
      <c r="F3" s="568"/>
      <c r="G3" s="568"/>
      <c r="H3" s="568"/>
      <c r="I3" s="568"/>
      <c r="J3" s="568"/>
      <c r="K3" s="569"/>
    </row>
    <row r="4" spans="1:21" ht="14.25" customHeight="1" x14ac:dyDescent="0.25">
      <c r="A4" s="570" t="s">
        <v>555</v>
      </c>
      <c r="B4" s="571"/>
      <c r="C4" s="571"/>
      <c r="D4" s="571"/>
      <c r="E4" s="571"/>
      <c r="F4" s="571"/>
      <c r="G4" s="571"/>
      <c r="H4" s="571"/>
      <c r="I4" s="571"/>
      <c r="J4" s="571"/>
      <c r="K4" s="572"/>
    </row>
    <row r="5" spans="1:21" ht="15.75" thickBot="1" x14ac:dyDescent="0.3">
      <c r="A5" s="209"/>
      <c r="B5" s="210"/>
      <c r="C5" s="210"/>
      <c r="D5" s="210"/>
      <c r="E5" s="210"/>
      <c r="F5" s="210"/>
      <c r="G5" s="210"/>
      <c r="H5" s="210"/>
      <c r="I5" s="210"/>
      <c r="J5" s="36"/>
      <c r="K5" s="211"/>
      <c r="L5" s="210"/>
    </row>
    <row r="6" spans="1:21" ht="15.75" x14ac:dyDescent="0.25">
      <c r="A6" s="212"/>
      <c r="B6" s="573" t="s">
        <v>556</v>
      </c>
      <c r="C6" s="574"/>
      <c r="D6" s="574"/>
      <c r="E6" s="575">
        <f>$S$8+P7</f>
        <v>4664382903</v>
      </c>
      <c r="F6" s="575"/>
      <c r="G6" s="576"/>
      <c r="I6" s="213" t="s">
        <v>557</v>
      </c>
      <c r="J6" s="577">
        <f>Base!$D$9</f>
        <v>44988</v>
      </c>
      <c r="K6" s="578"/>
      <c r="M6" s="214" t="s">
        <v>558</v>
      </c>
      <c r="N6" s="214" t="s">
        <v>559</v>
      </c>
      <c r="O6" s="214" t="s">
        <v>560</v>
      </c>
      <c r="P6" s="214" t="s">
        <v>561</v>
      </c>
      <c r="Q6" s="214" t="s">
        <v>562</v>
      </c>
      <c r="R6" s="214" t="s">
        <v>558</v>
      </c>
      <c r="S6" s="214" t="s">
        <v>563</v>
      </c>
      <c r="T6" s="215" t="s">
        <v>564</v>
      </c>
    </row>
    <row r="7" spans="1:21" ht="15.75" x14ac:dyDescent="0.25">
      <c r="A7" s="212"/>
      <c r="B7" s="553" t="s">
        <v>565</v>
      </c>
      <c r="C7" s="554"/>
      <c r="D7" s="554"/>
      <c r="E7" s="216">
        <f>DedicProfObr!$U$6</f>
        <v>1</v>
      </c>
      <c r="F7" s="554" t="s">
        <v>566</v>
      </c>
      <c r="G7" s="559"/>
      <c r="I7" s="217" t="s">
        <v>567</v>
      </c>
      <c r="J7" s="557" t="s">
        <v>32</v>
      </c>
      <c r="K7" s="558"/>
      <c r="M7" s="218"/>
      <c r="N7" s="218" t="s">
        <v>562</v>
      </c>
      <c r="O7" s="219">
        <f>O19</f>
        <v>0</v>
      </c>
      <c r="P7" s="220">
        <v>0</v>
      </c>
      <c r="Q7" s="221">
        <f>O7-P7</f>
        <v>0</v>
      </c>
      <c r="R7" s="218"/>
      <c r="S7" s="218"/>
      <c r="T7" s="218"/>
    </row>
    <row r="8" spans="1:21" ht="15.75" x14ac:dyDescent="0.25">
      <c r="A8" s="212"/>
      <c r="B8" s="553" t="s">
        <v>568</v>
      </c>
      <c r="C8" s="554"/>
      <c r="D8" s="554"/>
      <c r="E8" s="216">
        <f>DedicProfObr!$V$6</f>
        <v>6</v>
      </c>
      <c r="F8" s="555" t="s">
        <v>566</v>
      </c>
      <c r="G8" s="556"/>
      <c r="K8" s="222"/>
      <c r="M8" s="223" t="s">
        <v>505</v>
      </c>
      <c r="N8" s="224" t="s">
        <v>455</v>
      </c>
      <c r="O8" s="219">
        <f>'PRESUPUESTO OFICIAL'!K71</f>
        <v>6139260777</v>
      </c>
      <c r="P8" s="220">
        <v>6139260777</v>
      </c>
      <c r="Q8" s="221">
        <f>O8-P8</f>
        <v>0</v>
      </c>
      <c r="R8" s="223" t="s">
        <v>505</v>
      </c>
      <c r="S8" s="219">
        <f>'PRESUPUESTO OFICIAL'!K64</f>
        <v>4664382903</v>
      </c>
      <c r="T8" s="220">
        <f>IF(Q8=0,P8,IF(Q8&lt;(0.01*P8),P8,S8*1.32))</f>
        <v>6139260777</v>
      </c>
    </row>
    <row r="9" spans="1:21" ht="16.5" thickBot="1" x14ac:dyDescent="0.3">
      <c r="A9" s="212"/>
      <c r="B9" s="560" t="s">
        <v>569</v>
      </c>
      <c r="C9" s="561"/>
      <c r="D9" s="561"/>
      <c r="E9" s="225">
        <f>DedicProfObr!$W$6</f>
        <v>0</v>
      </c>
      <c r="F9" s="562" t="s">
        <v>566</v>
      </c>
      <c r="G9" s="563"/>
      <c r="K9" s="222"/>
      <c r="M9" s="223"/>
      <c r="N9" s="224" t="s">
        <v>570</v>
      </c>
      <c r="O9" s="219">
        <f>PPTO_AMB!N255</f>
        <v>222418405</v>
      </c>
      <c r="P9" s="220">
        <v>222418405</v>
      </c>
      <c r="Q9" s="221">
        <f t="shared" ref="Q9:Q11" si="0">O9-P9</f>
        <v>0</v>
      </c>
      <c r="R9" s="223"/>
      <c r="S9" s="219">
        <f>PPTO_AMB!N246</f>
        <v>188012177</v>
      </c>
      <c r="T9" s="220">
        <f t="shared" ref="T9:T11" si="1">IF(Q9=0,P9,IF(Q9&lt;(0.01*P9),P9,S9*1.32))</f>
        <v>222418405</v>
      </c>
    </row>
    <row r="10" spans="1:21" ht="15.75" x14ac:dyDescent="0.25">
      <c r="A10" s="212"/>
      <c r="K10" s="222"/>
      <c r="M10" s="223"/>
      <c r="N10" s="224" t="s">
        <v>571</v>
      </c>
      <c r="O10" s="219">
        <f>PPTO_SOCIAL!N68</f>
        <v>138802452</v>
      </c>
      <c r="P10" s="220">
        <v>138802452</v>
      </c>
      <c r="Q10" s="221">
        <f t="shared" si="0"/>
        <v>0</v>
      </c>
      <c r="R10" s="223"/>
      <c r="S10" s="219">
        <f>PPTO_SOCIAL!N59</f>
        <v>117330898</v>
      </c>
      <c r="T10" s="220">
        <f t="shared" si="1"/>
        <v>138802452</v>
      </c>
    </row>
    <row r="11" spans="1:21" ht="15.75" x14ac:dyDescent="0.25">
      <c r="A11" s="597" t="s">
        <v>450</v>
      </c>
      <c r="B11" s="524" t="s">
        <v>449</v>
      </c>
      <c r="C11" s="549" t="s">
        <v>572</v>
      </c>
      <c r="D11" s="549"/>
      <c r="E11" s="549"/>
      <c r="F11" s="549"/>
      <c r="G11" s="549"/>
      <c r="H11" s="549"/>
      <c r="I11" s="549"/>
      <c r="J11" s="549"/>
      <c r="K11" s="550"/>
      <c r="M11" s="223"/>
      <c r="N11" s="224" t="s">
        <v>573</v>
      </c>
      <c r="O11" s="219">
        <f>PPTO_PMT!N55</f>
        <v>166780825</v>
      </c>
      <c r="P11" s="220">
        <v>166780825</v>
      </c>
      <c r="Q11" s="221">
        <f t="shared" si="0"/>
        <v>0</v>
      </c>
      <c r="R11" s="223"/>
      <c r="S11" s="219">
        <f>PPTO_PMT!N46</f>
        <v>140981255</v>
      </c>
      <c r="T11" s="220">
        <f t="shared" si="1"/>
        <v>166780825</v>
      </c>
      <c r="U11" s="227"/>
    </row>
    <row r="12" spans="1:21" s="227" customFormat="1" ht="15.75" x14ac:dyDescent="0.25">
      <c r="A12" s="597"/>
      <c r="B12" s="524"/>
      <c r="C12" s="598" t="s">
        <v>574</v>
      </c>
      <c r="D12" s="599"/>
      <c r="E12" s="599"/>
      <c r="F12" s="599"/>
      <c r="G12" s="599"/>
      <c r="H12" s="599"/>
      <c r="I12" s="599"/>
      <c r="J12" s="599"/>
      <c r="K12" s="600"/>
      <c r="M12" s="223"/>
      <c r="N12" s="224" t="s">
        <v>575</v>
      </c>
      <c r="O12" s="221">
        <f>SUM(O8:O11)</f>
        <v>6667262459</v>
      </c>
      <c r="P12" s="221">
        <f>SUM(P8:P11)</f>
        <v>6667262459</v>
      </c>
      <c r="Q12" s="221">
        <f>SUM(Q7:Q11)</f>
        <v>0</v>
      </c>
      <c r="R12" s="223"/>
      <c r="S12" s="219">
        <f>SUM(S8:S11)</f>
        <v>5110707233</v>
      </c>
      <c r="T12" s="220">
        <f>SUM(T8:T11)</f>
        <v>6667262459</v>
      </c>
      <c r="U12" s="228"/>
    </row>
    <row r="13" spans="1:21" s="228" customFormat="1" x14ac:dyDescent="0.25">
      <c r="A13" s="597"/>
      <c r="B13" s="524"/>
      <c r="C13" s="524" t="s">
        <v>451</v>
      </c>
      <c r="D13" s="524"/>
      <c r="E13" s="518" t="s">
        <v>452</v>
      </c>
      <c r="F13" s="524" t="s">
        <v>453</v>
      </c>
      <c r="G13" s="518" t="s">
        <v>576</v>
      </c>
      <c r="H13" s="518" t="s">
        <v>577</v>
      </c>
      <c r="I13" s="601" t="s">
        <v>578</v>
      </c>
      <c r="J13" s="602"/>
      <c r="K13" s="592" t="s">
        <v>579</v>
      </c>
      <c r="M13" s="229"/>
      <c r="N13" s="229"/>
      <c r="O13" s="230"/>
      <c r="P13" s="230"/>
      <c r="Q13" s="230"/>
      <c r="R13" s="229"/>
      <c r="S13" s="229"/>
      <c r="T13" s="229"/>
      <c r="U13" s="229"/>
    </row>
    <row r="14" spans="1:21" s="229" customFormat="1" ht="14.45" customHeight="1" x14ac:dyDescent="0.25">
      <c r="A14" s="597"/>
      <c r="B14" s="524"/>
      <c r="C14" s="524"/>
      <c r="D14" s="524"/>
      <c r="E14" s="520"/>
      <c r="F14" s="524"/>
      <c r="G14" s="520"/>
      <c r="H14" s="520"/>
      <c r="I14" s="603"/>
      <c r="J14" s="604"/>
      <c r="K14" s="593"/>
    </row>
    <row r="15" spans="1:21" s="229" customFormat="1" ht="11.25" x14ac:dyDescent="0.25">
      <c r="A15" s="597"/>
      <c r="B15" s="524"/>
      <c r="C15" s="524"/>
      <c r="D15" s="524"/>
      <c r="E15" s="519"/>
      <c r="F15" s="524"/>
      <c r="G15" s="519"/>
      <c r="H15" s="519"/>
      <c r="I15" s="142" t="s">
        <v>455</v>
      </c>
      <c r="J15" s="142" t="s">
        <v>456</v>
      </c>
      <c r="K15" s="594"/>
    </row>
    <row r="16" spans="1:21" s="229" customFormat="1" ht="11.25" customHeight="1" x14ac:dyDescent="0.25">
      <c r="A16" s="597"/>
      <c r="B16" s="524"/>
      <c r="C16" s="524"/>
      <c r="D16" s="524"/>
      <c r="E16" s="146" t="s">
        <v>443</v>
      </c>
      <c r="F16" s="524"/>
      <c r="G16" s="146" t="s">
        <v>580</v>
      </c>
      <c r="H16" s="146" t="s">
        <v>447</v>
      </c>
      <c r="I16" s="595"/>
      <c r="J16" s="596"/>
      <c r="K16" s="232" t="s">
        <v>581</v>
      </c>
    </row>
    <row r="17" spans="1:21" s="229" customFormat="1" ht="10.5" customHeight="1" x14ac:dyDescent="0.25">
      <c r="A17" s="226"/>
      <c r="B17" s="142">
        <v>1.1000000000000001</v>
      </c>
      <c r="C17" s="148" t="s">
        <v>474</v>
      </c>
      <c r="D17" s="233"/>
      <c r="E17" s="149"/>
      <c r="F17" s="149"/>
      <c r="G17" s="149"/>
      <c r="H17" s="149"/>
      <c r="I17" s="149"/>
      <c r="J17" s="234"/>
      <c r="K17" s="235"/>
      <c r="M17" s="236" t="s">
        <v>582</v>
      </c>
      <c r="N17" s="237"/>
      <c r="O17" s="238">
        <f>'PRESUPUESTO OFICIAL'!K64</f>
        <v>4664382903</v>
      </c>
      <c r="P17" s="239"/>
      <c r="Q17" s="239"/>
      <c r="R17" s="239"/>
      <c r="S17" s="239"/>
      <c r="T17" s="239"/>
      <c r="U17" s="239"/>
    </row>
    <row r="18" spans="1:21" s="239" customFormat="1" x14ac:dyDescent="0.25">
      <c r="A18" s="240">
        <f>INDEX(DedicProfObr!$A$4:$X$51,MATCH($B18,DedicProfObr!$A$4:$A$51,0),MATCH(DedicProfObr!$B$4,DedicProfObr!$A$4:$W$4,0))</f>
        <v>9110</v>
      </c>
      <c r="B18" s="179">
        <f>DedicProfObr!A8</f>
        <v>1.101</v>
      </c>
      <c r="C18" s="586" t="str">
        <f>INDEX(DedicProfObr!$A$4:$X$51,MATCH($B18,DedicProfObr!$A$4:$A$51,0),MATCH(DedicProfObr!$D$4,DedicProfObr!$A$4:$W$4,0))</f>
        <v>DIRECTOR DE OBRA</v>
      </c>
      <c r="D18" s="587"/>
      <c r="E18" s="241">
        <f>INDEX(DedicProfObr!$A$4:$X$51,MATCH($B18,DedicProfObr!$A$4:$A$51,0),MATCH(DedicProfObr!$E$4,DedicProfObr!$A$4:$W$4,0))</f>
        <v>1</v>
      </c>
      <c r="F18" s="201">
        <f>INDEX(DedicProfObr!$A$4:$X$51,MATCH($B18,DedicProfObr!$A$4:$A$51,0),MATCH(DedicProfObr!$F$4,DedicProfObr!$A$4:$W$4,0))</f>
        <v>4</v>
      </c>
      <c r="G18" s="242">
        <f>INDEX(DedicProfObr!$A$4:$X$51,MATCH($B18,DedicProfObr!$A$4:$A$51,0),MATCH(DedicProfObr!$G$4,DedicProfObr!$A$4:$W$4,0))</f>
        <v>7881000</v>
      </c>
      <c r="H18" s="243">
        <f>INDEX(DedicProfObr!$A$4:$X$51,MATCH($B18,DedicProfObr!$A$4:$A$51,0),MATCH(DedicProfObr!$H$4,DedicProfObr!$A$4:$W$4,0))</f>
        <v>1.4516</v>
      </c>
      <c r="I18" s="201">
        <f>INDEX(DedicProfObr!$A$4:$W$51,MATCH($B18,DedicProfObr!$A$4:$A$51,0),MATCH(DedicProfObr!$V$4,DedicProfObr!$A$4:$W$4,0))</f>
        <v>1.8</v>
      </c>
      <c r="J18" s="201">
        <f>INDEX(DedicProfObr!$A$4:$W$51,MATCH($B18,DedicProfObr!$A$4:$A$51,0),MATCH(DedicProfObr!$W$4,DedicProfObr!$A$4:$W$4,0))</f>
        <v>0</v>
      </c>
      <c r="K18" s="244">
        <f>ROUND(E18*G18*H18*(I18+J18),0)</f>
        <v>20592107</v>
      </c>
      <c r="M18" s="236" t="s">
        <v>583</v>
      </c>
      <c r="N18" s="245"/>
      <c r="O18" s="238">
        <f>'PRESUPUESTO OFICIAL'!K64</f>
        <v>4664382903</v>
      </c>
      <c r="P18" s="228"/>
      <c r="Q18" s="228"/>
      <c r="R18" s="228"/>
      <c r="S18" s="228"/>
      <c r="T18" s="228"/>
      <c r="U18" s="228"/>
    </row>
    <row r="19" spans="1:21" s="228" customFormat="1" x14ac:dyDescent="0.25">
      <c r="A19" s="240">
        <f>INDEX(DedicProfObr!$A$4:$X$51,MATCH($B19,DedicProfObr!$A$4:$A$51,0),MATCH(DedicProfObr!$B$4,DedicProfObr!$A$4:$W$4,0))</f>
        <v>9112</v>
      </c>
      <c r="B19" s="179">
        <f>DedicProfObr!A9</f>
        <v>1.1019999999999999</v>
      </c>
      <c r="C19" s="586" t="str">
        <f>INDEX(DedicProfObr!$A$4:$X$49,MATCH($B19,DedicProfObr!$A$4:$A$49,0),MATCH(DedicProfObr!$D$4,DedicProfObr!$A$4:$W$4,0))</f>
        <v>RESIDENTE DE OBRA</v>
      </c>
      <c r="D19" s="587"/>
      <c r="E19" s="241">
        <f>INDEX(DedicProfObr!$A$4:$X$51,MATCH($B19,DedicProfObr!$A$4:$A$51,0),MATCH(DedicProfObr!$E$4,DedicProfObr!$A$4:$W$4,0))</f>
        <v>2</v>
      </c>
      <c r="F19" s="201">
        <f>INDEX(DedicProfObr!$A$4:$X$51,MATCH($B19,DedicProfObr!$A$4:$A$51,0),MATCH(DedicProfObr!$F$4,DedicProfObr!$A$4:$W$4,0))</f>
        <v>6</v>
      </c>
      <c r="G19" s="242">
        <f>INDEX(DedicProfObr!$A$4:$X$51,MATCH($B19,DedicProfObr!$A$4:$A$51,0),MATCH(DedicProfObr!$G$4,DedicProfObr!$A$4:$W$4,0))</f>
        <v>6339000</v>
      </c>
      <c r="H19" s="243">
        <f>INDEX(DedicProfObr!$A$4:$X$51,MATCH($B19,DedicProfObr!$A$4:$A$51,0),MATCH(DedicProfObr!$H$4,DedicProfObr!$A$4:$W$4,0))</f>
        <v>1.4524999999999999</v>
      </c>
      <c r="I19" s="201">
        <f>INDEX(DedicProfObr!$A$4:$W$51,MATCH($B19,DedicProfObr!$A$4:$A$51,0),MATCH(DedicProfObr!$V$4,DedicProfObr!$A$4:$W$4,0))</f>
        <v>6</v>
      </c>
      <c r="J19" s="201">
        <f>INDEX(DedicProfObr!$A$4:$W$51,MATCH($B19,DedicProfObr!$A$4:$A$51,0),MATCH(DedicProfObr!$W$4,DedicProfObr!$A$4:$W$4,0))</f>
        <v>0</v>
      </c>
      <c r="K19" s="244">
        <f>ROUND(E19*G19*H19*(I19+J19),0)</f>
        <v>110488770</v>
      </c>
      <c r="M19" s="236" t="s">
        <v>584</v>
      </c>
      <c r="N19" s="245"/>
      <c r="O19" s="238">
        <f>O18-O17</f>
        <v>0</v>
      </c>
    </row>
    <row r="20" spans="1:21" s="228" customFormat="1" x14ac:dyDescent="0.25">
      <c r="A20" s="240">
        <f>INDEX(DedicProfObr!$A$4:$X$51,MATCH($B20,DedicProfObr!$A$4:$A$51,0),MATCH(DedicProfObr!$B$4,DedicProfObr!$A$4:$W$4,0))</f>
        <v>9110</v>
      </c>
      <c r="B20" s="179">
        <f>DedicProfObr!A10</f>
        <v>1.103</v>
      </c>
      <c r="C20" s="586" t="str">
        <f>INDEX(DedicProfObr!$A$4:$X$49,MATCH($B20,DedicProfObr!$A$4:$A$49,0),MATCH(DedicProfObr!$D$4,DedicProfObr!$A$4:$W$4,0))</f>
        <v>ESPECIALISTA EN DISEÑO GEOMETRICO</v>
      </c>
      <c r="D20" s="587"/>
      <c r="E20" s="241">
        <f>INDEX(DedicProfObr!$A$4:$X$51,MATCH($B20,DedicProfObr!$A$4:$A$51,0),MATCH(DedicProfObr!$E$4,DedicProfObr!$A$4:$W$4,0))</f>
        <v>1</v>
      </c>
      <c r="F20" s="201">
        <f>INDEX(DedicProfObr!$A$4:$X$51,MATCH($B20,DedicProfObr!$A$4:$A$51,0),MATCH(DedicProfObr!$F$4,DedicProfObr!$A$4:$W$4,0))</f>
        <v>4</v>
      </c>
      <c r="G20" s="242">
        <f>INDEX(DedicProfObr!$A$4:$X$51,MATCH($B20,DedicProfObr!$A$4:$A$51,0),MATCH(DedicProfObr!$G$4,DedicProfObr!$A$4:$W$4,0))</f>
        <v>7881000</v>
      </c>
      <c r="H20" s="243">
        <f>INDEX(DedicProfObr!$A$4:$X$51,MATCH($B20,DedicProfObr!$A$4:$A$51,0),MATCH(DedicProfObr!$H$4,DedicProfObr!$A$4:$W$4,0))</f>
        <v>1.4516</v>
      </c>
      <c r="I20" s="201">
        <f>INDEX(DedicProfObr!$A$4:$W$51,MATCH($B20,DedicProfObr!$A$4:$A$51,0),MATCH(DedicProfObr!$V$4,DedicProfObr!$A$4:$W$4,0))</f>
        <v>0.45</v>
      </c>
      <c r="J20" s="201">
        <f>INDEX(DedicProfObr!$A$4:$W$51,MATCH($B20,DedicProfObr!$A$4:$A$51,0),MATCH(DedicProfObr!$W$4,DedicProfObr!$A$4:$W$4,0))</f>
        <v>0</v>
      </c>
      <c r="K20" s="244">
        <f t="shared" ref="K20:K44" si="2">ROUND(E20*G20*H20*(I20+J20),0)</f>
        <v>5148027</v>
      </c>
      <c r="M20" s="236" t="s">
        <v>585</v>
      </c>
      <c r="N20" s="245"/>
      <c r="O20" s="238">
        <f>O17+P7</f>
        <v>4664382903</v>
      </c>
    </row>
    <row r="21" spans="1:21" s="228" customFormat="1" ht="11.25" x14ac:dyDescent="0.25">
      <c r="A21" s="240">
        <f>INDEX(DedicProfObr!$A$4:$X$51,MATCH($B21,DedicProfObr!$A$4:$A$51,0),MATCH(DedicProfObr!$B$4,DedicProfObr!$A$4:$W$4,0))</f>
        <v>9110</v>
      </c>
      <c r="B21" s="179">
        <f>DedicProfObr!A11</f>
        <v>1.1040000000000001</v>
      </c>
      <c r="C21" s="586" t="str">
        <f>INDEX(DedicProfObr!$A$4:$X$49,MATCH($B21,DedicProfObr!$A$4:$A$49,0),MATCH(DedicProfObr!$D$4,DedicProfObr!$A$4:$W$4,0))</f>
        <v>ESPECIALISTA EN URBANISMO Y ESPACIO PÚBLICO</v>
      </c>
      <c r="D21" s="587"/>
      <c r="E21" s="241">
        <f>INDEX(DedicProfObr!$A$4:$X$51,MATCH($B21,DedicProfObr!$A$4:$A$51,0),MATCH(DedicProfObr!$E$4,DedicProfObr!$A$4:$W$4,0))</f>
        <v>1</v>
      </c>
      <c r="F21" s="201">
        <f>INDEX(DedicProfObr!$A$4:$X$51,MATCH($B21,DedicProfObr!$A$4:$A$51,0),MATCH(DedicProfObr!$F$4,DedicProfObr!$A$4:$W$4,0))</f>
        <v>4</v>
      </c>
      <c r="G21" s="242">
        <f>INDEX(DedicProfObr!$A$4:$X$51,MATCH($B21,DedicProfObr!$A$4:$A$51,0),MATCH(DedicProfObr!$G$4,DedicProfObr!$A$4:$W$4,0))</f>
        <v>7881000</v>
      </c>
      <c r="H21" s="243">
        <f>INDEX(DedicProfObr!$A$4:$X$51,MATCH($B21,DedicProfObr!$A$4:$A$51,0),MATCH(DedicProfObr!$H$4,DedicProfObr!$A$4:$W$4,0))</f>
        <v>1.4516</v>
      </c>
      <c r="I21" s="201">
        <f>INDEX(DedicProfObr!$A$4:$W$51,MATCH($B21,DedicProfObr!$A$4:$A$51,0),MATCH(DedicProfObr!$V$4,DedicProfObr!$A$4:$W$4,0))</f>
        <v>0.45</v>
      </c>
      <c r="J21" s="201">
        <f>INDEX(DedicProfObr!$A$4:$W$51,MATCH($B21,DedicProfObr!$A$4:$A$51,0),MATCH(DedicProfObr!$W$4,DedicProfObr!$A$4:$W$4,0))</f>
        <v>0</v>
      </c>
      <c r="K21" s="244">
        <f t="shared" si="2"/>
        <v>5148027</v>
      </c>
    </row>
    <row r="22" spans="1:21" s="228" customFormat="1" ht="11.25" x14ac:dyDescent="0.25">
      <c r="A22" s="240">
        <f>INDEX(DedicProfObr!$A$4:$X$51,MATCH($B22,DedicProfObr!$A$4:$A$51,0),MATCH(DedicProfObr!$B$4,DedicProfObr!$A$4:$W$4,0))</f>
        <v>9112</v>
      </c>
      <c r="B22" s="179">
        <f>DedicProfObr!A12</f>
        <v>1.105</v>
      </c>
      <c r="C22" s="586" t="str">
        <f>INDEX(DedicProfObr!$A$4:$X$49,MATCH($B22,DedicProfObr!$A$4:$A$49,0),MATCH(DedicProfObr!$D$4,DedicProfObr!$A$4:$W$4,0))</f>
        <v>ARQUITECTO APOYO EN DISEÑO URBANO</v>
      </c>
      <c r="D22" s="587"/>
      <c r="E22" s="241">
        <f>INDEX(DedicProfObr!$A$4:$X$51,MATCH($B22,DedicProfObr!$A$4:$A$51,0),MATCH(DedicProfObr!$E$4,DedicProfObr!$A$4:$W$4,0))</f>
        <v>0</v>
      </c>
      <c r="F22" s="201">
        <f>INDEX(DedicProfObr!$A$4:$X$51,MATCH($B22,DedicProfObr!$A$4:$A$51,0),MATCH(DedicProfObr!$F$4,DedicProfObr!$A$4:$W$4,0))</f>
        <v>6</v>
      </c>
      <c r="G22" s="242">
        <f>INDEX(DedicProfObr!$A$4:$X$51,MATCH($B22,DedicProfObr!$A$4:$A$51,0),MATCH(DedicProfObr!$G$4,DedicProfObr!$A$4:$W$4,0))</f>
        <v>6339000</v>
      </c>
      <c r="H22" s="243">
        <f>INDEX(DedicProfObr!$A$4:$X$51,MATCH($B22,DedicProfObr!$A$4:$A$51,0),MATCH(DedicProfObr!$H$4,DedicProfObr!$A$4:$W$4,0))</f>
        <v>1.4524999999999999</v>
      </c>
      <c r="I22" s="201">
        <f>INDEX(DedicProfObr!$A$4:$W$51,MATCH($B22,DedicProfObr!$A$4:$A$51,0),MATCH(DedicProfObr!$V$4,DedicProfObr!$A$4:$W$4,0))</f>
        <v>0</v>
      </c>
      <c r="J22" s="201">
        <f>INDEX(DedicProfObr!$A$4:$W$51,MATCH($B22,DedicProfObr!$A$4:$A$51,0),MATCH(DedicProfObr!$W$4,DedicProfObr!$A$4:$W$4,0))</f>
        <v>0</v>
      </c>
      <c r="K22" s="244">
        <f t="shared" si="2"/>
        <v>0</v>
      </c>
    </row>
    <row r="23" spans="1:21" s="228" customFormat="1" ht="11.25" x14ac:dyDescent="0.25">
      <c r="A23" s="240">
        <f>INDEX(DedicProfObr!$A$4:$X$51,MATCH($B23,DedicProfObr!$A$4:$A$51,0),MATCH(DedicProfObr!$B$4,DedicProfObr!$A$4:$W$4,0))</f>
        <v>9110</v>
      </c>
      <c r="B23" s="179">
        <f>DedicProfObr!A13</f>
        <v>1.1060000000000001</v>
      </c>
      <c r="C23" s="586" t="str">
        <f>INDEX(DedicProfObr!$A$4:$X$49,MATCH($B23,DedicProfObr!$A$4:$A$49,0),MATCH(DedicProfObr!$D$4,DedicProfObr!$A$4:$W$4,0))</f>
        <v>ESPECIALISTA EN GEOTECNIA</v>
      </c>
      <c r="D23" s="587"/>
      <c r="E23" s="241">
        <f>INDEX(DedicProfObr!$A$4:$X$51,MATCH($B23,DedicProfObr!$A$4:$A$51,0),MATCH(DedicProfObr!$E$4,DedicProfObr!$A$4:$W$4,0))</f>
        <v>1</v>
      </c>
      <c r="F23" s="201">
        <f>INDEX(DedicProfObr!$A$4:$X$51,MATCH($B23,DedicProfObr!$A$4:$A$51,0),MATCH(DedicProfObr!$F$4,DedicProfObr!$A$4:$W$4,0))</f>
        <v>4</v>
      </c>
      <c r="G23" s="242">
        <f>INDEX(DedicProfObr!$A$4:$X$51,MATCH($B23,DedicProfObr!$A$4:$A$51,0),MATCH(DedicProfObr!$G$4,DedicProfObr!$A$4:$W$4,0))</f>
        <v>7881000</v>
      </c>
      <c r="H23" s="243">
        <f>INDEX(DedicProfObr!$A$4:$X$51,MATCH($B23,DedicProfObr!$A$4:$A$51,0),MATCH(DedicProfObr!$H$4,DedicProfObr!$A$4:$W$4,0))</f>
        <v>1.4516</v>
      </c>
      <c r="I23" s="201">
        <f>INDEX(DedicProfObr!$A$4:$W$51,MATCH($B23,DedicProfObr!$A$4:$A$51,0),MATCH(DedicProfObr!$V$4,DedicProfObr!$A$4:$W$4,0))</f>
        <v>0.45</v>
      </c>
      <c r="J23" s="201">
        <f>INDEX(DedicProfObr!$A$4:$W$51,MATCH($B23,DedicProfObr!$A$4:$A$51,0),MATCH(DedicProfObr!$W$4,DedicProfObr!$A$4:$W$4,0))</f>
        <v>0</v>
      </c>
      <c r="K23" s="244">
        <f t="shared" si="2"/>
        <v>5148027</v>
      </c>
    </row>
    <row r="24" spans="1:21" s="228" customFormat="1" ht="11.25" x14ac:dyDescent="0.25">
      <c r="A24" s="240">
        <f>INDEX(DedicProfObr!$A$4:$X$51,MATCH($B24,DedicProfObr!$A$4:$A$51,0),MATCH(DedicProfObr!$B$4,DedicProfObr!$A$4:$W$4,0))</f>
        <v>9110</v>
      </c>
      <c r="B24" s="179">
        <f>DedicProfObr!A14</f>
        <v>1.107</v>
      </c>
      <c r="C24" s="586" t="str">
        <f>INDEX(DedicProfObr!$A$4:$X$49,MATCH($B24,DedicProfObr!$A$4:$A$49,0),MATCH(DedicProfObr!$D$4,DedicProfObr!$A$4:$W$4,0))</f>
        <v>ESPECIALISTA EN PAVIMENTOS</v>
      </c>
      <c r="D24" s="587"/>
      <c r="E24" s="241">
        <f>INDEX(DedicProfObr!$A$4:$X$51,MATCH($B24,DedicProfObr!$A$4:$A$51,0),MATCH(DedicProfObr!$E$4,DedicProfObr!$A$4:$W$4,0))</f>
        <v>1</v>
      </c>
      <c r="F24" s="201">
        <f>INDEX(DedicProfObr!$A$4:$X$51,MATCH($B24,DedicProfObr!$A$4:$A$51,0),MATCH(DedicProfObr!$F$4,DedicProfObr!$A$4:$W$4,0))</f>
        <v>4</v>
      </c>
      <c r="G24" s="242">
        <f>INDEX(DedicProfObr!$A$4:$X$51,MATCH($B24,DedicProfObr!$A$4:$A$51,0),MATCH(DedicProfObr!$G$4,DedicProfObr!$A$4:$W$4,0))</f>
        <v>7881000</v>
      </c>
      <c r="H24" s="243">
        <f>INDEX(DedicProfObr!$A$4:$X$51,MATCH($B24,DedicProfObr!$A$4:$A$51,0),MATCH(DedicProfObr!$H$4,DedicProfObr!$A$4:$W$4,0))</f>
        <v>1.4516</v>
      </c>
      <c r="I24" s="201">
        <f>INDEX(DedicProfObr!$A$4:$W$51,MATCH($B24,DedicProfObr!$A$4:$A$51,0),MATCH(DedicProfObr!$V$4,DedicProfObr!$A$4:$W$4,0))</f>
        <v>0.75</v>
      </c>
      <c r="J24" s="201">
        <f>INDEX(DedicProfObr!$A$4:$W$51,MATCH($B24,DedicProfObr!$A$4:$A$51,0),MATCH(DedicProfObr!$W$4,DedicProfObr!$A$4:$W$4,0))</f>
        <v>0</v>
      </c>
      <c r="K24" s="244">
        <f t="shared" si="2"/>
        <v>8580045</v>
      </c>
    </row>
    <row r="25" spans="1:21" s="228" customFormat="1" ht="11.25" x14ac:dyDescent="0.25">
      <c r="A25" s="240">
        <f>INDEX(DedicProfObr!$A$4:$X$51,MATCH($B25,DedicProfObr!$A$4:$A$51,0),MATCH(DedicProfObr!$B$4,DedicProfObr!$A$4:$W$4,0))</f>
        <v>9112</v>
      </c>
      <c r="B25" s="179">
        <f>DedicProfObr!A15</f>
        <v>1.1080000000000001</v>
      </c>
      <c r="C25" s="586" t="str">
        <f>INDEX(DedicProfObr!$A$4:$X$49,MATCH($B25,DedicProfObr!$A$4:$A$49,0),MATCH(DedicProfObr!$D$4,DedicProfObr!$A$4:$W$4,0))</f>
        <v>ESPECIALISTA REDES HIDROSANITARIAS</v>
      </c>
      <c r="D25" s="587"/>
      <c r="E25" s="241">
        <f>INDEX(DedicProfObr!$A$4:$X$51,MATCH($B25,DedicProfObr!$A$4:$A$51,0),MATCH(DedicProfObr!$E$4,DedicProfObr!$A$4:$W$4,0))</f>
        <v>1</v>
      </c>
      <c r="F25" s="201">
        <f>INDEX(DedicProfObr!$A$4:$X$51,MATCH($B25,DedicProfObr!$A$4:$A$51,0),MATCH(DedicProfObr!$F$4,DedicProfObr!$A$4:$W$4,0))</f>
        <v>6</v>
      </c>
      <c r="G25" s="242">
        <f>INDEX(DedicProfObr!$A$4:$X$51,MATCH($B25,DedicProfObr!$A$4:$A$51,0),MATCH(DedicProfObr!$G$4,DedicProfObr!$A$4:$W$4,0))</f>
        <v>6339000</v>
      </c>
      <c r="H25" s="243">
        <f>INDEX(DedicProfObr!$A$4:$X$51,MATCH($B25,DedicProfObr!$A$4:$A$51,0),MATCH(DedicProfObr!$H$4,DedicProfObr!$A$4:$W$4,0))</f>
        <v>1.4524999999999999</v>
      </c>
      <c r="I25" s="201">
        <f>INDEX(DedicProfObr!$A$4:$W$51,MATCH($B25,DedicProfObr!$A$4:$A$51,0),MATCH(DedicProfObr!$V$4,DedicProfObr!$A$4:$W$4,0))</f>
        <v>0.6</v>
      </c>
      <c r="J25" s="201">
        <f>INDEX(DedicProfObr!$A$4:$W$51,MATCH($B25,DedicProfObr!$A$4:$A$51,0),MATCH(DedicProfObr!$W$4,DedicProfObr!$A$4:$W$4,0))</f>
        <v>0</v>
      </c>
      <c r="K25" s="244">
        <f t="shared" si="2"/>
        <v>5524439</v>
      </c>
    </row>
    <row r="26" spans="1:21" s="228" customFormat="1" ht="11.25" x14ac:dyDescent="0.25">
      <c r="A26" s="240">
        <f>INDEX(DedicProfObr!$A$4:$X$51,MATCH($B26,DedicProfObr!$A$4:$A$51,0),MATCH(DedicProfObr!$B$4,DedicProfObr!$A$4:$W$4,0))</f>
        <v>9112</v>
      </c>
      <c r="B26" s="179">
        <f>DedicProfObr!A16</f>
        <v>1.109</v>
      </c>
      <c r="C26" s="586" t="str">
        <f>INDEX(DedicProfObr!$A$4:$X$49,MATCH($B26,DedicProfObr!$A$4:$A$49,0),MATCH(DedicProfObr!$D$4,DedicProfObr!$A$4:$W$4,0))</f>
        <v>ESPECIALISTA EN ESTRUCTURAS</v>
      </c>
      <c r="D26" s="587"/>
      <c r="E26" s="241">
        <f>INDEX(DedicProfObr!$A$4:$X$51,MATCH($B26,DedicProfObr!$A$4:$A$51,0),MATCH(DedicProfObr!$E$4,DedicProfObr!$A$4:$W$4,0))</f>
        <v>1</v>
      </c>
      <c r="F26" s="201">
        <f>INDEX(DedicProfObr!$A$4:$X$51,MATCH($B26,DedicProfObr!$A$4:$A$51,0),MATCH(DedicProfObr!$F$4,DedicProfObr!$A$4:$W$4,0))</f>
        <v>6</v>
      </c>
      <c r="G26" s="242">
        <f>INDEX(DedicProfObr!$A$4:$X$51,MATCH($B26,DedicProfObr!$A$4:$A$51,0),MATCH(DedicProfObr!$G$4,DedicProfObr!$A$4:$W$4,0))</f>
        <v>6339000</v>
      </c>
      <c r="H26" s="243">
        <f>INDEX(DedicProfObr!$A$4:$X$51,MATCH($B26,DedicProfObr!$A$4:$A$51,0),MATCH(DedicProfObr!$H$4,DedicProfObr!$A$4:$W$4,0))</f>
        <v>1.4524999999999999</v>
      </c>
      <c r="I26" s="201">
        <f>INDEX(DedicProfObr!$A$4:$W$51,MATCH($B26,DedicProfObr!$A$4:$A$51,0),MATCH(DedicProfObr!$V$4,DedicProfObr!$A$4:$W$4,0))</f>
        <v>0.3</v>
      </c>
      <c r="J26" s="201">
        <f>INDEX(DedicProfObr!$A$4:$W$51,MATCH($B26,DedicProfObr!$A$4:$A$51,0),MATCH(DedicProfObr!$W$4,DedicProfObr!$A$4:$W$4,0))</f>
        <v>0</v>
      </c>
      <c r="K26" s="244">
        <f t="shared" si="2"/>
        <v>2762219</v>
      </c>
    </row>
    <row r="27" spans="1:21" s="228" customFormat="1" ht="11.25" x14ac:dyDescent="0.25">
      <c r="A27" s="240">
        <f>INDEX(DedicProfObr!$A$4:$X$51,MATCH($B27,DedicProfObr!$A$4:$A$51,0),MATCH(DedicProfObr!$B$4,DedicProfObr!$A$4:$W$4,0))</f>
        <v>9112</v>
      </c>
      <c r="B27" s="179">
        <f>DedicProfObr!A17</f>
        <v>1.1100000000000001</v>
      </c>
      <c r="C27" s="586" t="str">
        <f>INDEX(DedicProfObr!$A$4:$X$49,MATCH($B27,DedicProfObr!$A$4:$A$49,0),MATCH(DedicProfObr!$D$4,DedicProfObr!$A$4:$W$4,0))</f>
        <v>PROFESIONAL EN PRESUPUESTO Y PROGRAMACIÓN</v>
      </c>
      <c r="D27" s="587"/>
      <c r="E27" s="241">
        <f>INDEX(DedicProfObr!$A$4:$X$51,MATCH($B27,DedicProfObr!$A$4:$A$51,0),MATCH(DedicProfObr!$E$4,DedicProfObr!$A$4:$W$4,0))</f>
        <v>1</v>
      </c>
      <c r="F27" s="201">
        <f>INDEX(DedicProfObr!$A$4:$X$51,MATCH($B27,DedicProfObr!$A$4:$A$51,0),MATCH(DedicProfObr!$F$4,DedicProfObr!$A$4:$W$4,0))</f>
        <v>6</v>
      </c>
      <c r="G27" s="242">
        <f>INDEX(DedicProfObr!$A$4:$X$51,MATCH($B27,DedicProfObr!$A$4:$A$51,0),MATCH(DedicProfObr!$G$4,DedicProfObr!$A$4:$W$4,0))</f>
        <v>6339000</v>
      </c>
      <c r="H27" s="243">
        <f>INDEX(DedicProfObr!$A$4:$X$51,MATCH($B27,DedicProfObr!$A$4:$A$51,0),MATCH(DedicProfObr!$H$4,DedicProfObr!$A$4:$W$4,0))</f>
        <v>1.4524999999999999</v>
      </c>
      <c r="I27" s="201">
        <f>INDEX(DedicProfObr!$A$4:$W$51,MATCH($B27,DedicProfObr!$A$4:$A$51,0),MATCH(DedicProfObr!$V$4,DedicProfObr!$A$4:$W$4,0))</f>
        <v>0</v>
      </c>
      <c r="J27" s="201">
        <f>INDEX(DedicProfObr!$A$4:$W$51,MATCH($B27,DedicProfObr!$A$4:$A$51,0),MATCH(DedicProfObr!$W$4,DedicProfObr!$A$4:$W$4,0))</f>
        <v>0</v>
      </c>
      <c r="K27" s="244">
        <f t="shared" si="2"/>
        <v>0</v>
      </c>
    </row>
    <row r="28" spans="1:21" s="228" customFormat="1" ht="11.25" x14ac:dyDescent="0.25">
      <c r="A28" s="240">
        <f>INDEX(DedicProfObr!$A$4:$X$51,MATCH($B28,DedicProfObr!$A$4:$A$51,0),MATCH(DedicProfObr!$B$4,DedicProfObr!$A$4:$W$4,0))</f>
        <v>9112</v>
      </c>
      <c r="B28" s="179">
        <f>DedicProfObr!A18</f>
        <v>1.111</v>
      </c>
      <c r="C28" s="586" t="str">
        <f>INDEX(DedicProfObr!$A$4:$X$49,MATCH($B28,DedicProfObr!$A$4:$A$49,0),MATCH(DedicProfObr!$D$4,DedicProfObr!$A$4:$W$4,0))</f>
        <v>PROFESIONAL EN REDES SECAS</v>
      </c>
      <c r="D28" s="587"/>
      <c r="E28" s="241">
        <f>INDEX(DedicProfObr!$A$4:$X$51,MATCH($B28,DedicProfObr!$A$4:$A$51,0),MATCH(DedicProfObr!$E$4,DedicProfObr!$A$4:$W$4,0))</f>
        <v>1</v>
      </c>
      <c r="F28" s="201">
        <f>INDEX(DedicProfObr!$A$4:$X$51,MATCH($B28,DedicProfObr!$A$4:$A$51,0),MATCH(DedicProfObr!$F$4,DedicProfObr!$A$4:$W$4,0))</f>
        <v>6</v>
      </c>
      <c r="G28" s="242">
        <f>INDEX(DedicProfObr!$A$4:$X$51,MATCH($B28,DedicProfObr!$A$4:$A$51,0),MATCH(DedicProfObr!$G$4,DedicProfObr!$A$4:$W$4,0))</f>
        <v>6339000</v>
      </c>
      <c r="H28" s="243">
        <f>INDEX(DedicProfObr!$A$4:$X$51,MATCH($B28,DedicProfObr!$A$4:$A$51,0),MATCH(DedicProfObr!$H$4,DedicProfObr!$A$4:$W$4,0))</f>
        <v>1.4524999999999999</v>
      </c>
      <c r="I28" s="201">
        <f>INDEX(DedicProfObr!$A$4:$W$51,MATCH($B28,DedicProfObr!$A$4:$A$51,0),MATCH(DedicProfObr!$V$4,DedicProfObr!$A$4:$W$4,0))</f>
        <v>0.4</v>
      </c>
      <c r="J28" s="201">
        <f>INDEX(DedicProfObr!$A$4:$W$51,MATCH($B28,DedicProfObr!$A$4:$A$51,0),MATCH(DedicProfObr!$W$4,DedicProfObr!$A$4:$W$4,0))</f>
        <v>0</v>
      </c>
      <c r="K28" s="244">
        <f t="shared" si="2"/>
        <v>3682959</v>
      </c>
    </row>
    <row r="29" spans="1:21" s="228" customFormat="1" ht="11.25" x14ac:dyDescent="0.25">
      <c r="A29" s="240">
        <f>INDEX(DedicProfObr!$A$4:$X$51,MATCH($B29,DedicProfObr!$A$4:$A$51,0),MATCH(DedicProfObr!$B$4,DedicProfObr!$A$4:$W$4,0))</f>
        <v>9112</v>
      </c>
      <c r="B29" s="179">
        <f>DedicProfObr!A19</f>
        <v>1.1120000000000001</v>
      </c>
      <c r="C29" s="586" t="str">
        <f>INDEX(DedicProfObr!$A$4:$X$49,MATCH($B29,DedicProfObr!$A$4:$A$49,0),MATCH(DedicProfObr!$D$4,DedicProfObr!$A$4:$W$4,0))</f>
        <v>INGENIERO ESPECIALISTA EN SIG-CAD</v>
      </c>
      <c r="D29" s="587"/>
      <c r="E29" s="241">
        <f>INDEX(DedicProfObr!$A$4:$X$51,MATCH($B29,DedicProfObr!$A$4:$A$51,0),MATCH(DedicProfObr!$E$4,DedicProfObr!$A$4:$W$4,0))</f>
        <v>0</v>
      </c>
      <c r="F29" s="201">
        <f>INDEX(DedicProfObr!$A$4:$X$51,MATCH($B29,DedicProfObr!$A$4:$A$51,0),MATCH(DedicProfObr!$F$4,DedicProfObr!$A$4:$W$4,0))</f>
        <v>6</v>
      </c>
      <c r="G29" s="242">
        <f>INDEX(DedicProfObr!$A$4:$X$51,MATCH($B29,DedicProfObr!$A$4:$A$51,0),MATCH(DedicProfObr!$G$4,DedicProfObr!$A$4:$W$4,0))</f>
        <v>6339000</v>
      </c>
      <c r="H29" s="243">
        <f>INDEX(DedicProfObr!$A$4:$X$51,MATCH($B29,DedicProfObr!$A$4:$A$51,0),MATCH(DedicProfObr!$H$4,DedicProfObr!$A$4:$W$4,0))</f>
        <v>1.4524999999999999</v>
      </c>
      <c r="I29" s="201">
        <f>INDEX(DedicProfObr!$A$4:$W$51,MATCH($B29,DedicProfObr!$A$4:$A$51,0),MATCH(DedicProfObr!$V$4,DedicProfObr!$A$4:$W$4,0))</f>
        <v>0</v>
      </c>
      <c r="J29" s="201">
        <f>INDEX(DedicProfObr!$A$4:$W$51,MATCH($B29,DedicProfObr!$A$4:$A$51,0),MATCH(DedicProfObr!$W$4,DedicProfObr!$A$4:$W$4,0))</f>
        <v>0</v>
      </c>
      <c r="K29" s="244">
        <f t="shared" si="2"/>
        <v>0</v>
      </c>
    </row>
    <row r="30" spans="1:21" s="228" customFormat="1" ht="11.25" x14ac:dyDescent="0.25">
      <c r="A30" s="246"/>
      <c r="B30" s="142">
        <f>DedicProfObr!A20</f>
        <v>1.2000000000000002</v>
      </c>
      <c r="C30" s="178" t="s">
        <v>489</v>
      </c>
      <c r="D30" s="233"/>
      <c r="E30" s="149"/>
      <c r="F30" s="149"/>
      <c r="G30" s="149"/>
      <c r="H30" s="247"/>
      <c r="I30" s="247"/>
      <c r="J30" s="248"/>
      <c r="K30" s="235"/>
      <c r="M30" s="239"/>
      <c r="N30" s="239"/>
      <c r="O30" s="239"/>
      <c r="P30" s="239"/>
      <c r="Q30" s="239"/>
      <c r="R30" s="239"/>
      <c r="S30" s="239"/>
      <c r="T30" s="239"/>
      <c r="U30" s="239"/>
    </row>
    <row r="31" spans="1:21" s="239" customFormat="1" ht="11.25" x14ac:dyDescent="0.25">
      <c r="A31" s="240">
        <f>INDEX(DedicProfObr!$A$4:$X$51,MATCH($B31,DedicProfObr!$A$4:$A$51,0),MATCH(DedicProfObr!$B$4,DedicProfObr!$A$4:$W$4,0))</f>
        <v>9085</v>
      </c>
      <c r="B31" s="179">
        <f>DedicProfObr!A21</f>
        <v>1.2010000000000001</v>
      </c>
      <c r="C31" s="586" t="str">
        <f>INDEX(DedicProfObr!$A$4:$X$49,MATCH($B31,DedicProfObr!$A$4:$A$49,0),MATCH(DedicProfObr!$D$4,DedicProfObr!$A$4:$W$4,0))</f>
        <v>AUXILIAR DE INGENIERÍA</v>
      </c>
      <c r="D31" s="587"/>
      <c r="E31" s="241">
        <f>INDEX(DedicProfObr!$A$4:$X$51,MATCH($B31,DedicProfObr!$A$4:$A$51,0),MATCH(DedicProfObr!$E$4,DedicProfObr!$A$4:$W$4,0))</f>
        <v>1</v>
      </c>
      <c r="F31" s="201" t="str">
        <f>INDEX(DedicProfObr!$A$4:$X$51,MATCH($B31,DedicProfObr!$A$4:$A$51,0),MATCH(DedicProfObr!$F$4,DedicProfObr!$A$4:$W$4,0))</f>
        <v>N/A</v>
      </c>
      <c r="G31" s="242">
        <f>INDEX(DedicProfObr!$A$4:$X$51,MATCH($B31,DedicProfObr!$A$4:$A$51,0),MATCH(DedicProfObr!$G$4,DedicProfObr!$A$4:$W$4,0))</f>
        <v>2607000</v>
      </c>
      <c r="H31" s="243">
        <f>INDEX(DedicProfObr!$A$4:$X$51,MATCH($B31,DedicProfObr!$A$4:$A$51,0),MATCH(DedicProfObr!$H$4,DedicProfObr!$A$4:$W$4,0))</f>
        <v>1.4591000000000001</v>
      </c>
      <c r="I31" s="201">
        <f>INDEX(DedicProfObr!$A$4:$W$51,MATCH($B31,DedicProfObr!$A$4:$A$51,0),MATCH(DedicProfObr!$V$4,DedicProfObr!$A$4:$W$4,0))</f>
        <v>3</v>
      </c>
      <c r="J31" s="201">
        <f>INDEX(DedicProfObr!$A$4:$W$51,MATCH($B31,DedicProfObr!$A$4:$A$51,0),MATCH(DedicProfObr!$W$4,DedicProfObr!$A$4:$W$4,0))</f>
        <v>0</v>
      </c>
      <c r="K31" s="244">
        <f t="shared" si="2"/>
        <v>11411621</v>
      </c>
      <c r="M31" s="229"/>
      <c r="N31" s="229"/>
      <c r="O31" s="229"/>
      <c r="P31" s="229"/>
      <c r="Q31" s="229"/>
      <c r="R31" s="229"/>
      <c r="S31" s="229"/>
      <c r="T31" s="229"/>
      <c r="U31" s="229"/>
    </row>
    <row r="32" spans="1:21" s="229" customFormat="1" ht="11.25" x14ac:dyDescent="0.25">
      <c r="A32" s="240">
        <f>INDEX(DedicProfObr!$A$4:$X$51,MATCH($B32,DedicProfObr!$A$4:$A$51,0),MATCH(DedicProfObr!$B$4,DedicProfObr!$A$4:$W$4,0))</f>
        <v>9093</v>
      </c>
      <c r="B32" s="179">
        <f>DedicProfObr!A22</f>
        <v>1.202</v>
      </c>
      <c r="C32" s="586" t="str">
        <f>INDEX(DedicProfObr!$A$4:$X$49,MATCH($B32,DedicProfObr!$A$4:$A$49,0),MATCH(DedicProfObr!$D$4,DedicProfObr!$A$4:$W$4,0))</f>
        <v>TÉCNICO INSPECTOR</v>
      </c>
      <c r="D32" s="587"/>
      <c r="E32" s="241">
        <f>INDEX(DedicProfObr!$A$4:$X$51,MATCH($B32,DedicProfObr!$A$4:$A$51,0),MATCH(DedicProfObr!$E$4,DedicProfObr!$A$4:$W$4,0))</f>
        <v>2</v>
      </c>
      <c r="F32" s="201" t="str">
        <f>INDEX(DedicProfObr!$A$4:$X$51,MATCH($B32,DedicProfObr!$A$4:$A$51,0),MATCH(DedicProfObr!$F$4,DedicProfObr!$A$4:$W$4,0))</f>
        <v>N/A</v>
      </c>
      <c r="G32" s="242">
        <f>INDEX(DedicProfObr!$A$4:$X$51,MATCH($B32,DedicProfObr!$A$4:$A$51,0),MATCH(DedicProfObr!$G$4,DedicProfObr!$A$4:$W$4,0))</f>
        <v>2249000</v>
      </c>
      <c r="H32" s="243">
        <f>INDEX(DedicProfObr!$A$4:$X$51,MATCH($B32,DedicProfObr!$A$4:$A$51,0),MATCH(DedicProfObr!$H$4,DedicProfObr!$A$4:$W$4,0))</f>
        <v>1.5510999999999999</v>
      </c>
      <c r="I32" s="201">
        <f>INDEX(DedicProfObr!$A$4:$W$51,MATCH($B32,DedicProfObr!$A$4:$A$51,0),MATCH(DedicProfObr!$V$4,DedicProfObr!$A$4:$W$4,0))</f>
        <v>6</v>
      </c>
      <c r="J32" s="201">
        <f>INDEX(DedicProfObr!$A$4:$W$51,MATCH($B32,DedicProfObr!$A$4:$A$51,0),MATCH(DedicProfObr!$W$4,DedicProfObr!$A$4:$W$4,0))</f>
        <v>0</v>
      </c>
      <c r="K32" s="244">
        <f t="shared" si="2"/>
        <v>41861087</v>
      </c>
    </row>
    <row r="33" spans="1:21" s="229" customFormat="1" ht="11.25" x14ac:dyDescent="0.25">
      <c r="A33" s="240">
        <f>INDEX(DedicProfObr!$A$4:$X$51,MATCH($B33,DedicProfObr!$A$4:$A$51,0),MATCH(DedicProfObr!$B$4,DedicProfObr!$A$4:$W$4,0))</f>
        <v>9088</v>
      </c>
      <c r="B33" s="179">
        <f>DedicProfObr!A23</f>
        <v>1.2030000000000001</v>
      </c>
      <c r="C33" s="586" t="str">
        <f>INDEX(DedicProfObr!$A$4:$X$49,MATCH($B33,DedicProfObr!$A$4:$A$49,0),MATCH(DedicProfObr!$D$4,DedicProfObr!$A$4:$W$4,0))</f>
        <v>TOPOGRAFO INSPECTOR</v>
      </c>
      <c r="D33" s="587"/>
      <c r="E33" s="241">
        <f>INDEX(DedicProfObr!$A$4:$X$51,MATCH($B33,DedicProfObr!$A$4:$A$51,0),MATCH(DedicProfObr!$E$4,DedicProfObr!$A$4:$W$4,0))</f>
        <v>2</v>
      </c>
      <c r="F33" s="201" t="str">
        <f>INDEX(DedicProfObr!$A$4:$X$51,MATCH($B33,DedicProfObr!$A$4:$A$51,0),MATCH(DedicProfObr!$F$4,DedicProfObr!$A$4:$W$4,0))</f>
        <v>N/A</v>
      </c>
      <c r="G33" s="242">
        <f>INDEX(DedicProfObr!$A$4:$X$51,MATCH($B33,DedicProfObr!$A$4:$A$51,0),MATCH(DedicProfObr!$G$4,DedicProfObr!$A$4:$W$4,0))</f>
        <v>3092000</v>
      </c>
      <c r="H33" s="243">
        <f>INDEX(DedicProfObr!$A$4:$X$51,MATCH($B33,DedicProfObr!$A$4:$A$51,0),MATCH(DedicProfObr!$H$4,DedicProfObr!$A$4:$W$4,0))</f>
        <v>1.4573</v>
      </c>
      <c r="I33" s="201">
        <f>INDEX(DedicProfObr!$A$4:$W$51,MATCH($B33,DedicProfObr!$A$4:$A$51,0),MATCH(DedicProfObr!$V$4,DedicProfObr!$A$4:$W$4,0))</f>
        <v>5</v>
      </c>
      <c r="J33" s="201">
        <f>INDEX(DedicProfObr!$A$4:$W$51,MATCH($B33,DedicProfObr!$A$4:$A$51,0),MATCH(DedicProfObr!$W$4,DedicProfObr!$A$4:$W$4,0))</f>
        <v>0</v>
      </c>
      <c r="K33" s="244">
        <f t="shared" si="2"/>
        <v>45059716</v>
      </c>
    </row>
    <row r="34" spans="1:21" s="229" customFormat="1" ht="11.25" x14ac:dyDescent="0.25">
      <c r="A34" s="240">
        <f>INDEX(DedicProfObr!$A$4:$X$51,MATCH($B34,DedicProfObr!$A$4:$A$51,0),MATCH(DedicProfObr!$B$4,DedicProfObr!$A$4:$W$4,0))</f>
        <v>9098</v>
      </c>
      <c r="B34" s="179">
        <f>DedicProfObr!A24</f>
        <v>1.204</v>
      </c>
      <c r="C34" s="586" t="str">
        <f>INDEX(DedicProfObr!$A$4:$X$49,MATCH($B34,DedicProfObr!$A$4:$A$49,0),MATCH(DedicProfObr!$D$4,DedicProfObr!$A$4:$W$4,0))</f>
        <v>CADENERO 1</v>
      </c>
      <c r="D34" s="587"/>
      <c r="E34" s="241">
        <f>INDEX(DedicProfObr!$A$4:$X$51,MATCH($B34,DedicProfObr!$A$4:$A$51,0),MATCH(DedicProfObr!$E$4,DedicProfObr!$A$4:$W$4,0))</f>
        <v>2</v>
      </c>
      <c r="F34" s="201" t="str">
        <f>INDEX(DedicProfObr!$A$4:$X$51,MATCH($B34,DedicProfObr!$A$4:$A$51,0),MATCH(DedicProfObr!$F$4,DedicProfObr!$A$4:$W$4,0))</f>
        <v>N/A</v>
      </c>
      <c r="G34" s="242">
        <f>INDEX(DedicProfObr!$A$4:$X$51,MATCH($B34,DedicProfObr!$A$4:$A$51,0),MATCH(DedicProfObr!$G$4,DedicProfObr!$A$4:$W$4,0))</f>
        <v>1917000</v>
      </c>
      <c r="H34" s="243">
        <f>INDEX(DedicProfObr!$A$4:$X$51,MATCH($B34,DedicProfObr!$A$4:$A$51,0),MATCH(DedicProfObr!$H$4,DedicProfObr!$A$4:$W$4,0))</f>
        <v>1.569</v>
      </c>
      <c r="I34" s="201">
        <f>INDEX(DedicProfObr!$A$4:$W$51,MATCH($B34,DedicProfObr!$A$4:$A$51,0),MATCH(DedicProfObr!$V$4,DedicProfObr!$A$4:$W$4,0))</f>
        <v>5</v>
      </c>
      <c r="J34" s="201">
        <f>INDEX(DedicProfObr!$A$4:$W$51,MATCH($B34,DedicProfObr!$A$4:$A$51,0),MATCH(DedicProfObr!$W$4,DedicProfObr!$A$4:$W$4,0))</f>
        <v>0</v>
      </c>
      <c r="K34" s="244">
        <f t="shared" si="2"/>
        <v>30077730</v>
      </c>
      <c r="M34" s="228"/>
      <c r="N34" s="228"/>
      <c r="O34" s="228"/>
      <c r="P34" s="228"/>
      <c r="Q34" s="228"/>
      <c r="R34" s="228"/>
      <c r="S34" s="228"/>
      <c r="T34" s="228"/>
      <c r="U34" s="228"/>
    </row>
    <row r="35" spans="1:21" s="228" customFormat="1" ht="11.25" x14ac:dyDescent="0.25">
      <c r="A35" s="240">
        <f>INDEX(DedicProfObr!$A$4:$X$51,MATCH($B35,DedicProfObr!$A$4:$A$51,0),MATCH(DedicProfObr!$B$4,DedicProfObr!$A$4:$W$4,0))</f>
        <v>9099</v>
      </c>
      <c r="B35" s="179">
        <f>DedicProfObr!A25</f>
        <v>1.2050000000000001</v>
      </c>
      <c r="C35" s="586" t="str">
        <f>INDEX(DedicProfObr!$A$4:$X$49,MATCH($B35,DedicProfObr!$A$4:$A$49,0),MATCH(DedicProfObr!$D$4,DedicProfObr!$A$4:$W$4,0))</f>
        <v>CADENERO 2</v>
      </c>
      <c r="D35" s="587"/>
      <c r="E35" s="241">
        <f>INDEX(DedicProfObr!$A$4:$X$51,MATCH($B35,DedicProfObr!$A$4:$A$51,0),MATCH(DedicProfObr!$E$4,DedicProfObr!$A$4:$W$4,0))</f>
        <v>2</v>
      </c>
      <c r="F35" s="201" t="str">
        <f>INDEX(DedicProfObr!$A$4:$X$51,MATCH($B35,DedicProfObr!$A$4:$A$51,0),MATCH(DedicProfObr!$F$4,DedicProfObr!$A$4:$W$4,0))</f>
        <v>N/A</v>
      </c>
      <c r="G35" s="242">
        <f>INDEX(DedicProfObr!$A$4:$X$51,MATCH($B35,DedicProfObr!$A$4:$A$51,0),MATCH(DedicProfObr!$G$4,DedicProfObr!$A$4:$W$4,0))</f>
        <v>1670000</v>
      </c>
      <c r="H35" s="243">
        <f>INDEX(DedicProfObr!$A$4:$X$51,MATCH($B35,DedicProfObr!$A$4:$A$51,0),MATCH(DedicProfObr!$H$4,DedicProfObr!$A$4:$W$4,0))</f>
        <v>1.5869</v>
      </c>
      <c r="I35" s="201">
        <f>INDEX(DedicProfObr!$A$4:$W$51,MATCH($B35,DedicProfObr!$A$4:$A$51,0),MATCH(DedicProfObr!$V$4,DedicProfObr!$A$4:$W$4,0))</f>
        <v>5</v>
      </c>
      <c r="J35" s="201">
        <f>INDEX(DedicProfObr!$A$4:$W$51,MATCH($B35,DedicProfObr!$A$4:$A$51,0),MATCH(DedicProfObr!$W$4,DedicProfObr!$A$4:$W$4,0))</f>
        <v>0</v>
      </c>
      <c r="K35" s="244">
        <f t="shared" si="2"/>
        <v>26501230</v>
      </c>
    </row>
    <row r="36" spans="1:21" s="228" customFormat="1" ht="11.25" x14ac:dyDescent="0.25">
      <c r="A36" s="240">
        <f>INDEX(DedicProfObr!$A$4:$X$51,MATCH($B36,DedicProfObr!$A$4:$A$51,0),MATCH(DedicProfObr!$B$4,DedicProfObr!$A$4:$W$4,0))</f>
        <v>9089</v>
      </c>
      <c r="B36" s="179">
        <f>DedicProfObr!A26</f>
        <v>1.206</v>
      </c>
      <c r="C36" s="586" t="str">
        <f>INDEX(DedicProfObr!$A$4:$X$49,MATCH($B36,DedicProfObr!$A$4:$A$49,0),MATCH(DedicProfObr!$D$4,DedicProfObr!$A$4:$W$4,0))</f>
        <v>LABORATORISTA INSPECTOR</v>
      </c>
      <c r="D36" s="587"/>
      <c r="E36" s="241">
        <f>INDEX(DedicProfObr!$A$4:$X$51,MATCH($B36,DedicProfObr!$A$4:$A$51,0),MATCH(DedicProfObr!$E$4,DedicProfObr!$A$4:$W$4,0))</f>
        <v>0</v>
      </c>
      <c r="F36" s="201" t="str">
        <f>INDEX(DedicProfObr!$A$4:$X$51,MATCH($B36,DedicProfObr!$A$4:$A$51,0),MATCH(DedicProfObr!$F$4,DedicProfObr!$A$4:$W$4,0))</f>
        <v>N/A</v>
      </c>
      <c r="G36" s="242">
        <f>INDEX(DedicProfObr!$A$4:$X$51,MATCH($B36,DedicProfObr!$A$4:$A$51,0),MATCH(DedicProfObr!$G$4,DedicProfObr!$A$4:$W$4,0))</f>
        <v>2739000</v>
      </c>
      <c r="H36" s="243">
        <f>INDEX(DedicProfObr!$A$4:$X$51,MATCH($B36,DedicProfObr!$A$4:$A$51,0),MATCH(DedicProfObr!$H$4,DedicProfObr!$A$4:$W$4,0))</f>
        <v>1.4584999999999999</v>
      </c>
      <c r="I36" s="201">
        <f>INDEX(DedicProfObr!$A$4:$W$51,MATCH($B36,DedicProfObr!$A$4:$A$51,0),MATCH(DedicProfObr!$V$4,DedicProfObr!$A$4:$W$4,0))</f>
        <v>0.6</v>
      </c>
      <c r="J36" s="201">
        <f>INDEX(DedicProfObr!$A$4:$W$51,MATCH($B36,DedicProfObr!$A$4:$A$51,0),MATCH(DedicProfObr!$W$4,DedicProfObr!$A$4:$W$4,0))</f>
        <v>0</v>
      </c>
      <c r="K36" s="244">
        <f t="shared" si="2"/>
        <v>0</v>
      </c>
    </row>
    <row r="37" spans="1:21" s="228" customFormat="1" ht="11.25" x14ac:dyDescent="0.25">
      <c r="A37" s="240">
        <f>INDEX(DedicProfObr!$A$4:$X$51,MATCH($B37,DedicProfObr!$A$4:$A$51,0),MATCH(DedicProfObr!$B$4,DedicProfObr!$A$4:$W$4,0))</f>
        <v>9086</v>
      </c>
      <c r="B37" s="179">
        <f>DedicProfObr!A27</f>
        <v>1.2070000000000001</v>
      </c>
      <c r="C37" s="586" t="str">
        <f>INDEX(DedicProfObr!$A$4:$X$49,MATCH($B37,DedicProfObr!$A$4:$A$49,0),MATCH(DedicProfObr!$D$4,DedicProfObr!$A$4:$W$4,0))</f>
        <v>DIBUJANTE</v>
      </c>
      <c r="D37" s="587"/>
      <c r="E37" s="241">
        <f>INDEX(DedicProfObr!$A$4:$X$51,MATCH($B37,DedicProfObr!$A$4:$A$51,0),MATCH(DedicProfObr!$E$4,DedicProfObr!$A$4:$W$4,0))</f>
        <v>0</v>
      </c>
      <c r="F37" s="201" t="str">
        <f>INDEX(DedicProfObr!$A$4:$X$51,MATCH($B37,DedicProfObr!$A$4:$A$51,0),MATCH(DedicProfObr!$F$4,DedicProfObr!$A$4:$W$4,0))</f>
        <v>NA</v>
      </c>
      <c r="G37" s="242">
        <f>INDEX(DedicProfObr!$A$4:$X$51,MATCH($B37,DedicProfObr!$A$4:$A$51,0),MATCH(DedicProfObr!$G$4,DedicProfObr!$A$4:$W$4,0))</f>
        <v>2734000</v>
      </c>
      <c r="H37" s="243">
        <f>INDEX(DedicProfObr!$A$4:$X$51,MATCH($B37,DedicProfObr!$A$4:$A$51,0),MATCH(DedicProfObr!$H$4,DedicProfObr!$A$4:$W$4,0))</f>
        <v>1.4584999999999999</v>
      </c>
      <c r="I37" s="201">
        <f>INDEX(DedicProfObr!$A$4:$W$51,MATCH($B37,DedicProfObr!$A$4:$A$51,0),MATCH(DedicProfObr!$V$4,DedicProfObr!$A$4:$W$4,0))</f>
        <v>0</v>
      </c>
      <c r="J37" s="201">
        <f>INDEX(DedicProfObr!$A$4:$W$51,MATCH($B37,DedicProfObr!$A$4:$A$51,0),MATCH(DedicProfObr!$W$4,DedicProfObr!$A$4:$W$4,0))</f>
        <v>0</v>
      </c>
      <c r="K37" s="244">
        <f t="shared" si="2"/>
        <v>0</v>
      </c>
    </row>
    <row r="38" spans="1:21" s="228" customFormat="1" ht="11.25" x14ac:dyDescent="0.25">
      <c r="A38" s="240">
        <f>INDEX(DedicProfObr!$A$4:$X$51,MATCH($B38,DedicProfObr!$A$4:$A$51,0),MATCH(DedicProfObr!$B$4,DedicProfObr!$A$4:$W$4,0))</f>
        <v>9100</v>
      </c>
      <c r="B38" s="179">
        <f>DedicProfObr!A28</f>
        <v>1.208</v>
      </c>
      <c r="C38" s="586" t="str">
        <f>INDEX(DedicProfObr!$A$4:$X$49,MATCH($B38,DedicProfObr!$A$4:$A$49,0),MATCH(DedicProfObr!$D$4,DedicProfObr!$A$4:$W$4,0))</f>
        <v>CONDUCTOR</v>
      </c>
      <c r="D38" s="587"/>
      <c r="E38" s="241">
        <f>INDEX(DedicProfObr!$A$4:$X$51,MATCH($B38,DedicProfObr!$A$4:$A$51,0),MATCH(DedicProfObr!$E$4,DedicProfObr!$A$4:$W$4,0))</f>
        <v>2</v>
      </c>
      <c r="F38" s="201" t="str">
        <f>INDEX(DedicProfObr!$A$4:$X$51,MATCH($B38,DedicProfObr!$A$4:$A$51,0),MATCH(DedicProfObr!$F$4,DedicProfObr!$A$4:$W$4,0))</f>
        <v>N/A</v>
      </c>
      <c r="G38" s="242">
        <f>INDEX(DedicProfObr!$A$4:$X$51,MATCH($B38,DedicProfObr!$A$4:$A$51,0),MATCH(DedicProfObr!$G$4,DedicProfObr!$A$4:$W$4,0))</f>
        <v>1389000</v>
      </c>
      <c r="H38" s="243">
        <f>INDEX(DedicProfObr!$A$4:$X$51,MATCH($B38,DedicProfObr!$A$4:$A$51,0),MATCH(DedicProfObr!$H$4,DedicProfObr!$A$4:$W$4,0))</f>
        <v>1.615</v>
      </c>
      <c r="I38" s="201">
        <f>INDEX(DedicProfObr!$A$4:$W$51,MATCH($B38,DedicProfObr!$A$4:$A$51,0),MATCH(DedicProfObr!$V$4,DedicProfObr!$A$4:$W$4,0))</f>
        <v>3</v>
      </c>
      <c r="J38" s="201">
        <f>INDEX(DedicProfObr!$A$4:$W$51,MATCH($B38,DedicProfObr!$A$4:$A$51,0),MATCH(DedicProfObr!$W$4,DedicProfObr!$A$4:$W$4,0))</f>
        <v>0</v>
      </c>
      <c r="K38" s="244">
        <f t="shared" si="2"/>
        <v>13459410</v>
      </c>
    </row>
    <row r="39" spans="1:21" s="228" customFormat="1" ht="11.25" x14ac:dyDescent="0.25">
      <c r="A39" s="249"/>
      <c r="B39" s="144">
        <f>DedicProfObr!A29</f>
        <v>1.3</v>
      </c>
      <c r="C39" s="148" t="s">
        <v>508</v>
      </c>
      <c r="D39" s="250"/>
      <c r="E39" s="197"/>
      <c r="F39" s="197"/>
      <c r="G39" s="251"/>
      <c r="H39" s="252"/>
      <c r="I39" s="253"/>
      <c r="J39" s="253"/>
      <c r="K39" s="254"/>
    </row>
    <row r="40" spans="1:21" s="228" customFormat="1" ht="11.25" x14ac:dyDescent="0.25">
      <c r="A40" s="240">
        <f>INDEX(DedicProfObr!$A$4:$X$51,MATCH($B40,DedicProfObr!$A$4:$A$51,0),MATCH(DedicProfObr!$B$4,DedicProfObr!$A$4:$W$4,0))</f>
        <v>9102</v>
      </c>
      <c r="B40" s="179">
        <f>DedicProfObr!A30</f>
        <v>1.3009999999999999</v>
      </c>
      <c r="C40" s="586" t="str">
        <f>INDEX(DedicProfObr!$A$4:$X$49,MATCH($B40,DedicProfObr!$A$4:$A$49,0),MATCH(DedicProfObr!$D$4,DedicProfObr!$A$4:$W$4,0))</f>
        <v>ADMINISTRADOR</v>
      </c>
      <c r="D40" s="587"/>
      <c r="E40" s="241">
        <f>INDEX(DedicProfObr!$A$4:$X$51,MATCH($B40,DedicProfObr!$A$4:$A$51,0),MATCH(DedicProfObr!$E$4,DedicProfObr!$A$4:$W$4,0))</f>
        <v>0</v>
      </c>
      <c r="F40" s="201" t="str">
        <f>INDEX(DedicProfObr!$A$4:$X$51,MATCH($B40,DedicProfObr!$A$4:$A$51,0),MATCH(DedicProfObr!$F$4,DedicProfObr!$A$4:$W$4,0))</f>
        <v>N/A</v>
      </c>
      <c r="G40" s="242">
        <f>INDEX(DedicProfObr!$A$4:$X$51,MATCH($B40,DedicProfObr!$A$4:$A$51,0),MATCH(DedicProfObr!$G$4,DedicProfObr!$A$4:$W$4,0))</f>
        <v>2879000</v>
      </c>
      <c r="H40" s="243">
        <f>INDEX(DedicProfObr!$A$4:$X$51,MATCH($B40,DedicProfObr!$A$4:$A$51,0),MATCH(DedicProfObr!$H$4,DedicProfObr!$A$4:$W$4,0))</f>
        <v>1.458</v>
      </c>
      <c r="I40" s="201">
        <f>INDEX(DedicProfObr!$A$4:$W$51,MATCH($B40,DedicProfObr!$A$4:$A$51,0),MATCH(DedicProfObr!$V$4,DedicProfObr!$A$4:$W$4,0))</f>
        <v>0</v>
      </c>
      <c r="J40" s="201">
        <f>INDEX(DedicProfObr!$A$4:$W$51,MATCH($B40,DedicProfObr!$A$4:$A$51,0),MATCH(DedicProfObr!$W$4,DedicProfObr!$A$4:$W$4,0))</f>
        <v>0</v>
      </c>
      <c r="K40" s="244">
        <f t="shared" si="2"/>
        <v>0</v>
      </c>
    </row>
    <row r="41" spans="1:21" s="228" customFormat="1" ht="11.25" x14ac:dyDescent="0.25">
      <c r="A41" s="240">
        <f>INDEX(DedicProfObr!$A$4:$X$51,MATCH($B41,DedicProfObr!$A$4:$A$51,0),MATCH(DedicProfObr!$B$4,DedicProfObr!$A$4:$W$4,0))</f>
        <v>9103</v>
      </c>
      <c r="B41" s="179">
        <f>DedicProfObr!A31</f>
        <v>1.302</v>
      </c>
      <c r="C41" s="586" t="str">
        <f>INDEX(DedicProfObr!$A$4:$X$49,MATCH($B41,DedicProfObr!$A$4:$A$49,0),MATCH(DedicProfObr!$D$4,DedicProfObr!$A$4:$W$4,0))</f>
        <v>ALMACENISTA</v>
      </c>
      <c r="D41" s="587"/>
      <c r="E41" s="241">
        <f>INDEX(DedicProfObr!$A$4:$X$51,MATCH($B41,DedicProfObr!$A$4:$A$51,0),MATCH(DedicProfObr!$E$4,DedicProfObr!$A$4:$W$4,0))</f>
        <v>1</v>
      </c>
      <c r="F41" s="201" t="str">
        <f>INDEX(DedicProfObr!$A$4:$X$51,MATCH($B41,DedicProfObr!$A$4:$A$51,0),MATCH(DedicProfObr!$F$4,DedicProfObr!$A$4:$W$4,0))</f>
        <v>N/A</v>
      </c>
      <c r="G41" s="242">
        <f>INDEX(DedicProfObr!$A$4:$X$51,MATCH($B41,DedicProfObr!$A$4:$A$51,0),MATCH(DedicProfObr!$G$4,DedicProfObr!$A$4:$W$4,0))</f>
        <v>2053000</v>
      </c>
      <c r="H41" s="243">
        <f>INDEX(DedicProfObr!$A$4:$X$51,MATCH($B41,DedicProfObr!$A$4:$A$51,0),MATCH(DedicProfObr!$H$4,DedicProfObr!$A$4:$W$4,0))</f>
        <v>1.5609999999999999</v>
      </c>
      <c r="I41" s="201">
        <f>INDEX(DedicProfObr!$A$4:$W$51,MATCH($B41,DedicProfObr!$A$4:$A$51,0),MATCH(DedicProfObr!$V$4,DedicProfObr!$A$4:$W$4,0))</f>
        <v>6</v>
      </c>
      <c r="J41" s="201">
        <f>INDEX(DedicProfObr!$A$4:$W$51,MATCH($B41,DedicProfObr!$A$4:$A$51,0),MATCH(DedicProfObr!$W$4,DedicProfObr!$A$4:$W$4,0))</f>
        <v>0</v>
      </c>
      <c r="K41" s="244">
        <f t="shared" si="2"/>
        <v>19228398</v>
      </c>
    </row>
    <row r="42" spans="1:21" s="228" customFormat="1" ht="11.25" x14ac:dyDescent="0.25">
      <c r="A42" s="240">
        <f>INDEX(DedicProfObr!$A$4:$X$51,MATCH($B42,DedicProfObr!$A$4:$A$51,0),MATCH(DedicProfObr!$B$4,DedicProfObr!$A$4:$W$4,0))</f>
        <v>9104</v>
      </c>
      <c r="B42" s="179">
        <f>DedicProfObr!A32</f>
        <v>1.3029999999999999</v>
      </c>
      <c r="C42" s="586" t="str">
        <f>INDEX(DedicProfObr!$A$4:$X$49,MATCH($B42,DedicProfObr!$A$4:$A$49,0),MATCH(DedicProfObr!$D$4,DedicProfObr!$A$4:$W$4,0))</f>
        <v>SECRETARIA 1</v>
      </c>
      <c r="D42" s="587"/>
      <c r="E42" s="241">
        <f>INDEX(DedicProfObr!$A$4:$X$51,MATCH($B42,DedicProfObr!$A$4:$A$51,0),MATCH(DedicProfObr!$E$4,DedicProfObr!$A$4:$W$4,0))</f>
        <v>1</v>
      </c>
      <c r="F42" s="201" t="str">
        <f>INDEX(DedicProfObr!$A$4:$X$51,MATCH($B42,DedicProfObr!$A$4:$A$51,0),MATCH(DedicProfObr!$F$4,DedicProfObr!$A$4:$W$4,0))</f>
        <v>N/A</v>
      </c>
      <c r="G42" s="242">
        <f>INDEX(DedicProfObr!$A$4:$X$51,MATCH($B42,DedicProfObr!$A$4:$A$51,0),MATCH(DedicProfObr!$G$4,DedicProfObr!$A$4:$W$4,0))</f>
        <v>1670000</v>
      </c>
      <c r="H42" s="243">
        <f>INDEX(DedicProfObr!$A$4:$X$51,MATCH($B42,DedicProfObr!$A$4:$A$51,0),MATCH(DedicProfObr!$H$4,DedicProfObr!$A$4:$W$4,0))</f>
        <v>1.5869</v>
      </c>
      <c r="I42" s="201">
        <f>INDEX(DedicProfObr!$A$4:$W$51,MATCH($B42,DedicProfObr!$A$4:$A$51,0),MATCH(DedicProfObr!$V$4,DedicProfObr!$A$4:$W$4,0))</f>
        <v>1.5</v>
      </c>
      <c r="J42" s="201">
        <f>INDEX(DedicProfObr!$A$4:$W$51,MATCH($B42,DedicProfObr!$A$4:$A$51,0),MATCH(DedicProfObr!$W$4,DedicProfObr!$A$4:$W$4,0))</f>
        <v>0</v>
      </c>
      <c r="K42" s="244">
        <f t="shared" si="2"/>
        <v>3975185</v>
      </c>
    </row>
    <row r="43" spans="1:21" s="228" customFormat="1" ht="11.25" x14ac:dyDescent="0.25">
      <c r="A43" s="240">
        <f>INDEX(DedicProfObr!$A$4:$X$51,MATCH($B43,DedicProfObr!$A$4:$A$51,0),MATCH(DedicProfObr!$B$4,DedicProfObr!$A$4:$W$4,0))</f>
        <v>9105</v>
      </c>
      <c r="B43" s="179">
        <f>DedicProfObr!A33</f>
        <v>1.304</v>
      </c>
      <c r="C43" s="586" t="str">
        <f>INDEX(DedicProfObr!$A$4:$X$49,MATCH($B43,DedicProfObr!$A$4:$A$49,0),MATCH(DedicProfObr!$D$4,DedicProfObr!$A$4:$W$4,0))</f>
        <v>SECRETARIA 2</v>
      </c>
      <c r="D43" s="587"/>
      <c r="E43" s="241">
        <f>INDEX(DedicProfObr!$A$4:$X$51,MATCH($B43,DedicProfObr!$A$4:$A$51,0),MATCH(DedicProfObr!$E$4,DedicProfObr!$A$4:$W$4,0))</f>
        <v>0</v>
      </c>
      <c r="F43" s="201" t="str">
        <f>INDEX(DedicProfObr!$A$4:$X$51,MATCH($B43,DedicProfObr!$A$4:$A$51,0),MATCH(DedicProfObr!$F$4,DedicProfObr!$A$4:$W$4,0))</f>
        <v>N/A</v>
      </c>
      <c r="G43" s="242">
        <f>INDEX(DedicProfObr!$A$4:$X$51,MATCH($B43,DedicProfObr!$A$4:$A$51,0),MATCH(DedicProfObr!$G$4,DedicProfObr!$A$4:$W$4,0))</f>
        <v>1389000</v>
      </c>
      <c r="H43" s="243">
        <f>INDEX(DedicProfObr!$A$4:$X$51,MATCH($B43,DedicProfObr!$A$4:$A$51,0),MATCH(DedicProfObr!$H$4,DedicProfObr!$A$4:$W$4,0))</f>
        <v>1.615</v>
      </c>
      <c r="I43" s="201">
        <f>INDEX(DedicProfObr!$A$4:$W$51,MATCH($B43,DedicProfObr!$A$4:$A$51,0),MATCH(DedicProfObr!$V$4,DedicProfObr!$A$4:$W$4,0))</f>
        <v>0</v>
      </c>
      <c r="J43" s="201">
        <f>INDEX(DedicProfObr!$A$4:$W$51,MATCH($B43,DedicProfObr!$A$4:$A$51,0),MATCH(DedicProfObr!$W$4,DedicProfObr!$A$4:$W$4,0))</f>
        <v>0</v>
      </c>
      <c r="K43" s="244">
        <f t="shared" si="2"/>
        <v>0</v>
      </c>
    </row>
    <row r="44" spans="1:21" s="228" customFormat="1" ht="11.25" x14ac:dyDescent="0.25">
      <c r="A44" s="240">
        <f>INDEX(DedicProfObr!$A$4:$X$51,MATCH($B44,DedicProfObr!$A$4:$A$51,0),MATCH(DedicProfObr!$B$4,DedicProfObr!$A$4:$W$4,0))</f>
        <v>9575</v>
      </c>
      <c r="B44" s="179">
        <f>DedicProfObr!A34</f>
        <v>1.3049999999999999</v>
      </c>
      <c r="C44" s="586" t="str">
        <f>INDEX(DedicProfObr!$A$4:$X$49,MATCH($B44,DedicProfObr!$A$4:$A$49,0),MATCH(DedicProfObr!$D$4,DedicProfObr!$A$4:$W$4,0))</f>
        <v>CELADOR ARMADO 24 HORAS</v>
      </c>
      <c r="D44" s="587"/>
      <c r="E44" s="241">
        <f>INDEX(DedicProfObr!$A$4:$X$51,MATCH($B44,DedicProfObr!$A$4:$A$51,0),MATCH(DedicProfObr!$E$4,DedicProfObr!$A$4:$W$4,0))</f>
        <v>1</v>
      </c>
      <c r="F44" s="201" t="str">
        <f>INDEX(DedicProfObr!$A$4:$X$51,MATCH($B44,DedicProfObr!$A$4:$A$51,0),MATCH(DedicProfObr!$F$4,DedicProfObr!$A$4:$W$4,0))</f>
        <v>N/A</v>
      </c>
      <c r="G44" s="242">
        <f>INDEX(DedicProfObr!$A$4:$X$51,MATCH($B44,DedicProfObr!$A$4:$A$51,0),MATCH(DedicProfObr!$G$4,DedicProfObr!$A$4:$W$4,0))</f>
        <v>10981528</v>
      </c>
      <c r="H44" s="243">
        <f>INDEX(DedicProfObr!$A$4:$X$51,MATCH($B44,DedicProfObr!$A$4:$A$51,0),MATCH(DedicProfObr!$H$4,DedicProfObr!$A$4:$W$4,0))</f>
        <v>1</v>
      </c>
      <c r="I44" s="201">
        <f>INDEX(DedicProfObr!$A$4:$W$51,MATCH($B44,DedicProfObr!$A$4:$A$51,0),MATCH(DedicProfObr!$V$4,DedicProfObr!$A$4:$W$4,0))</f>
        <v>2.1</v>
      </c>
      <c r="J44" s="201">
        <f>INDEX(DedicProfObr!$A$4:$W$51,MATCH($B44,DedicProfObr!$A$4:$A$51,0),MATCH(DedicProfObr!$W$4,DedicProfObr!$A$4:$W$4,0))</f>
        <v>0</v>
      </c>
      <c r="K44" s="244">
        <f t="shared" si="2"/>
        <v>23061209</v>
      </c>
    </row>
    <row r="45" spans="1:21" s="228" customFormat="1" ht="11.25" x14ac:dyDescent="0.25">
      <c r="A45" s="255"/>
      <c r="B45" s="256"/>
      <c r="C45" s="588" t="s">
        <v>586</v>
      </c>
      <c r="D45" s="589"/>
      <c r="E45" s="589"/>
      <c r="F45" s="589"/>
      <c r="G45" s="589"/>
      <c r="H45" s="589"/>
      <c r="I45" s="589"/>
      <c r="J45" s="589"/>
      <c r="K45" s="257">
        <f>+SUM(K18:K44)</f>
        <v>381710206</v>
      </c>
      <c r="M45" s="258">
        <v>856268610</v>
      </c>
      <c r="N45" s="259">
        <f>M45/12</f>
        <v>71355717.5</v>
      </c>
      <c r="O45" s="258">
        <f>K45/6</f>
        <v>63618367.666666664</v>
      </c>
    </row>
    <row r="46" spans="1:21" s="228" customFormat="1" ht="11.25" x14ac:dyDescent="0.25">
      <c r="A46" s="255"/>
      <c r="C46" s="590"/>
      <c r="D46" s="590"/>
      <c r="E46" s="590"/>
      <c r="F46" s="590"/>
      <c r="G46" s="590"/>
      <c r="H46" s="590"/>
      <c r="I46" s="590"/>
      <c r="J46" s="590"/>
      <c r="K46" s="591"/>
    </row>
    <row r="47" spans="1:21" s="228" customFormat="1" ht="25.15" customHeight="1" x14ac:dyDescent="0.25">
      <c r="A47" s="226" t="s">
        <v>450</v>
      </c>
      <c r="B47" s="142">
        <v>2</v>
      </c>
      <c r="C47" s="549" t="s">
        <v>587</v>
      </c>
      <c r="D47" s="549"/>
      <c r="E47" s="261" t="s">
        <v>588</v>
      </c>
      <c r="F47" s="142" t="s">
        <v>589</v>
      </c>
      <c r="G47" s="142" t="s">
        <v>590</v>
      </c>
      <c r="H47" s="261" t="s">
        <v>591</v>
      </c>
      <c r="I47" s="142" t="s">
        <v>592</v>
      </c>
      <c r="J47" s="143" t="s">
        <v>593</v>
      </c>
      <c r="K47" s="262" t="s">
        <v>594</v>
      </c>
      <c r="M47" s="263"/>
      <c r="N47" s="263"/>
      <c r="O47" s="263"/>
      <c r="P47" s="263"/>
      <c r="Q47" s="263"/>
      <c r="R47" s="263"/>
      <c r="S47" s="263"/>
      <c r="T47" s="263"/>
      <c r="U47" s="263"/>
    </row>
    <row r="48" spans="1:21" s="263" customFormat="1" ht="11.25" x14ac:dyDescent="0.25">
      <c r="A48" s="240">
        <v>9576</v>
      </c>
      <c r="B48" s="264">
        <v>2.0099999999999998</v>
      </c>
      <c r="C48" s="585" t="s">
        <v>595</v>
      </c>
      <c r="D48" s="585"/>
      <c r="E48" s="265">
        <v>1</v>
      </c>
      <c r="F48" s="266">
        <v>70</v>
      </c>
      <c r="G48" s="267">
        <v>45108</v>
      </c>
      <c r="H48" s="268">
        <v>0.5</v>
      </c>
      <c r="I48" s="269">
        <f>F48*H48</f>
        <v>35</v>
      </c>
      <c r="J48" s="270">
        <f t="shared" ref="J48:J53" si="3">+$E$8</f>
        <v>6</v>
      </c>
      <c r="K48" s="271">
        <f>+J48*G48*I48*E48*H48</f>
        <v>4736340</v>
      </c>
      <c r="M48" s="228"/>
      <c r="N48" s="228"/>
      <c r="O48" s="228"/>
      <c r="P48" s="228"/>
      <c r="Q48" s="228"/>
      <c r="R48" s="228"/>
      <c r="S48" s="228"/>
      <c r="T48" s="228"/>
      <c r="U48" s="228"/>
    </row>
    <row r="49" spans="1:21" s="228" customFormat="1" ht="11.25" x14ac:dyDescent="0.25">
      <c r="A49" s="240">
        <v>9577</v>
      </c>
      <c r="B49" s="264">
        <v>2.0199999999999996</v>
      </c>
      <c r="C49" s="585" t="s">
        <v>596</v>
      </c>
      <c r="D49" s="585"/>
      <c r="E49" s="265">
        <v>1</v>
      </c>
      <c r="F49" s="266">
        <v>80</v>
      </c>
      <c r="G49" s="267">
        <v>30851</v>
      </c>
      <c r="H49" s="268">
        <v>1</v>
      </c>
      <c r="I49" s="269">
        <f>F49*H49</f>
        <v>80</v>
      </c>
      <c r="J49" s="270">
        <f t="shared" si="3"/>
        <v>6</v>
      </c>
      <c r="K49" s="271">
        <f>+J49*G49*I49*E49*H49</f>
        <v>14808480</v>
      </c>
    </row>
    <row r="50" spans="1:21" s="228" customFormat="1" ht="11.25" x14ac:dyDescent="0.25">
      <c r="A50" s="240">
        <v>9578</v>
      </c>
      <c r="B50" s="264">
        <v>2.0299999999999998</v>
      </c>
      <c r="C50" s="585" t="s">
        <v>597</v>
      </c>
      <c r="D50" s="585"/>
      <c r="E50" s="265">
        <v>1</v>
      </c>
      <c r="F50" s="158" t="s">
        <v>492</v>
      </c>
      <c r="G50" s="267">
        <v>1043625</v>
      </c>
      <c r="H50" s="268">
        <v>1</v>
      </c>
      <c r="I50" s="269" t="s">
        <v>492</v>
      </c>
      <c r="J50" s="270">
        <f t="shared" si="3"/>
        <v>6</v>
      </c>
      <c r="K50" s="271">
        <f>+J50*G50*H50*E50</f>
        <v>6261750</v>
      </c>
    </row>
    <row r="51" spans="1:21" s="228" customFormat="1" ht="10.9" customHeight="1" x14ac:dyDescent="0.25">
      <c r="A51" s="272">
        <v>9117</v>
      </c>
      <c r="B51" s="264">
        <v>2.04</v>
      </c>
      <c r="C51" s="585" t="s">
        <v>598</v>
      </c>
      <c r="D51" s="585"/>
      <c r="E51" s="273">
        <v>1</v>
      </c>
      <c r="F51" s="158" t="s">
        <v>492</v>
      </c>
      <c r="G51" s="267">
        <v>6399000</v>
      </c>
      <c r="H51" s="274">
        <f>ROUND(I36/E8,2)</f>
        <v>0.1</v>
      </c>
      <c r="I51" s="269" t="s">
        <v>492</v>
      </c>
      <c r="J51" s="270">
        <f t="shared" si="3"/>
        <v>6</v>
      </c>
      <c r="K51" s="271">
        <f>+J51*G51*H51*E51</f>
        <v>3839400</v>
      </c>
    </row>
    <row r="52" spans="1:21" s="228" customFormat="1" ht="11.25" x14ac:dyDescent="0.25">
      <c r="A52" s="272">
        <v>9115</v>
      </c>
      <c r="B52" s="264">
        <v>2.0499999999999998</v>
      </c>
      <c r="C52" s="585" t="s">
        <v>599</v>
      </c>
      <c r="D52" s="585"/>
      <c r="E52" s="275">
        <v>2</v>
      </c>
      <c r="F52" s="158" t="s">
        <v>492</v>
      </c>
      <c r="G52" s="267">
        <v>4103000</v>
      </c>
      <c r="H52" s="274">
        <f>I33/J52</f>
        <v>0.83333333333333337</v>
      </c>
      <c r="I52" s="269" t="s">
        <v>492</v>
      </c>
      <c r="J52" s="270">
        <f t="shared" si="3"/>
        <v>6</v>
      </c>
      <c r="K52" s="271">
        <f>+J52*G52*H52*E52</f>
        <v>41030000</v>
      </c>
    </row>
    <row r="53" spans="1:21" s="228" customFormat="1" ht="21.2" customHeight="1" x14ac:dyDescent="0.25">
      <c r="A53" s="240">
        <v>9165</v>
      </c>
      <c r="B53" s="264">
        <v>2.06</v>
      </c>
      <c r="C53" s="585" t="s">
        <v>600</v>
      </c>
      <c r="D53" s="585"/>
      <c r="E53" s="276">
        <v>2</v>
      </c>
      <c r="F53" s="277" t="s">
        <v>492</v>
      </c>
      <c r="G53" s="267">
        <v>7265000</v>
      </c>
      <c r="H53" s="278">
        <f>I38/J53</f>
        <v>0.5</v>
      </c>
      <c r="I53" s="269" t="s">
        <v>492</v>
      </c>
      <c r="J53" s="279">
        <f t="shared" si="3"/>
        <v>6</v>
      </c>
      <c r="K53" s="280">
        <f>+J53*G53*H53*E53</f>
        <v>43590000</v>
      </c>
    </row>
    <row r="54" spans="1:21" s="228" customFormat="1" ht="11.25" x14ac:dyDescent="0.25">
      <c r="A54" s="255"/>
      <c r="B54" s="256"/>
      <c r="C54" s="579" t="s">
        <v>601</v>
      </c>
      <c r="D54" s="580"/>
      <c r="E54" s="580"/>
      <c r="F54" s="580"/>
      <c r="G54" s="580"/>
      <c r="H54" s="580"/>
      <c r="I54" s="580"/>
      <c r="J54" s="580"/>
      <c r="K54" s="281">
        <f>+SUM(K48:K53)</f>
        <v>114265970</v>
      </c>
      <c r="M54" s="259">
        <v>368638500</v>
      </c>
      <c r="N54" s="259">
        <f>M54/12</f>
        <v>30719875</v>
      </c>
      <c r="O54" s="259">
        <f>K54/6</f>
        <v>19044328.333333332</v>
      </c>
    </row>
    <row r="55" spans="1:21" s="228" customFormat="1" ht="11.25" x14ac:dyDescent="0.25">
      <c r="A55" s="255"/>
      <c r="B55" s="256"/>
      <c r="C55" s="581"/>
      <c r="D55" s="581"/>
      <c r="E55" s="581"/>
      <c r="F55" s="581"/>
      <c r="G55" s="581"/>
      <c r="H55" s="581"/>
      <c r="I55" s="581"/>
      <c r="J55" s="581"/>
      <c r="K55" s="582"/>
    </row>
    <row r="56" spans="1:21" s="228" customFormat="1" ht="11.25" x14ac:dyDescent="0.25">
      <c r="A56" s="255"/>
      <c r="B56" s="256"/>
      <c r="C56" s="583" t="s">
        <v>602</v>
      </c>
      <c r="D56" s="583"/>
      <c r="E56" s="583"/>
      <c r="F56" s="583"/>
      <c r="G56" s="583"/>
      <c r="H56" s="583"/>
      <c r="I56" s="583"/>
      <c r="J56" s="583"/>
      <c r="K56" s="281">
        <f>PPTO_DIAGN!K63</f>
        <v>58198487.75</v>
      </c>
    </row>
    <row r="57" spans="1:21" s="228" customFormat="1" ht="11.25" x14ac:dyDescent="0.25">
      <c r="A57" s="255"/>
      <c r="B57" s="256"/>
      <c r="C57" s="282"/>
      <c r="D57" s="282"/>
      <c r="E57" s="282"/>
      <c r="F57" s="282"/>
      <c r="G57" s="282"/>
      <c r="H57" s="282"/>
      <c r="I57" s="282"/>
      <c r="J57" s="282"/>
      <c r="K57" s="283"/>
    </row>
    <row r="58" spans="1:21" s="228" customFormat="1" ht="9.75" customHeight="1" x14ac:dyDescent="0.25">
      <c r="A58" s="255"/>
      <c r="B58" s="256"/>
      <c r="C58" s="579" t="s">
        <v>603</v>
      </c>
      <c r="D58" s="580"/>
      <c r="E58" s="580"/>
      <c r="F58" s="580"/>
      <c r="G58" s="580"/>
      <c r="H58" s="580"/>
      <c r="I58" s="580"/>
      <c r="J58" s="584"/>
      <c r="K58" s="281">
        <f>+K45+K54+K56</f>
        <v>554174663.75</v>
      </c>
    </row>
    <row r="59" spans="1:21" s="228" customFormat="1" ht="12.75" x14ac:dyDescent="0.25">
      <c r="A59" s="255"/>
      <c r="B59" s="256"/>
      <c r="C59" s="579" t="s">
        <v>604</v>
      </c>
      <c r="D59" s="580"/>
      <c r="E59" s="580"/>
      <c r="F59" s="580"/>
      <c r="G59" s="580"/>
      <c r="H59" s="580"/>
      <c r="I59" s="580"/>
      <c r="J59" s="584"/>
      <c r="K59" s="284">
        <f>+K58/E6</f>
        <v>0.11880985658222236</v>
      </c>
    </row>
    <row r="60" spans="1:21" s="228" customFormat="1" ht="11.25" x14ac:dyDescent="0.25">
      <c r="A60" s="255"/>
      <c r="B60" s="256"/>
      <c r="C60" s="285"/>
      <c r="D60" s="285"/>
      <c r="E60" s="285"/>
      <c r="F60" s="285"/>
      <c r="G60" s="286"/>
      <c r="H60" s="285"/>
      <c r="I60" s="285"/>
      <c r="J60" s="286"/>
      <c r="K60" s="287"/>
    </row>
    <row r="61" spans="1:21" s="228" customFormat="1" ht="7.5" customHeight="1" x14ac:dyDescent="0.25">
      <c r="A61" s="288"/>
      <c r="B61" s="549" t="s">
        <v>605</v>
      </c>
      <c r="C61" s="549"/>
      <c r="D61" s="549"/>
      <c r="E61" s="549"/>
      <c r="F61" s="549"/>
      <c r="G61" s="549"/>
      <c r="H61" s="549"/>
      <c r="I61" s="549"/>
      <c r="J61" s="549"/>
      <c r="K61" s="550"/>
    </row>
    <row r="62" spans="1:21" s="228" customFormat="1" ht="12.75" customHeight="1" x14ac:dyDescent="0.25">
      <c r="A62" s="255"/>
      <c r="B62" s="261">
        <v>3.1</v>
      </c>
      <c r="C62" s="551" t="s">
        <v>606</v>
      </c>
      <c r="D62" s="551"/>
      <c r="E62" s="551"/>
      <c r="F62" s="551"/>
      <c r="G62" s="551"/>
      <c r="H62" s="551"/>
      <c r="I62" s="551"/>
      <c r="J62" s="551"/>
      <c r="K62" s="552"/>
      <c r="M62" s="289"/>
      <c r="N62" s="289"/>
      <c r="O62" s="289"/>
      <c r="P62" s="289"/>
      <c r="Q62" s="289"/>
      <c r="R62" s="289"/>
      <c r="S62" s="289"/>
      <c r="T62" s="289"/>
      <c r="U62" s="289"/>
    </row>
    <row r="63" spans="1:21" s="289" customFormat="1" ht="11.25" x14ac:dyDescent="0.25">
      <c r="A63" s="255"/>
      <c r="B63" s="142" t="s">
        <v>449</v>
      </c>
      <c r="C63" s="521" t="s">
        <v>43</v>
      </c>
      <c r="D63" s="522"/>
      <c r="E63" s="290"/>
      <c r="F63" s="291"/>
      <c r="G63" s="231"/>
      <c r="H63" s="291"/>
      <c r="I63" s="521" t="s">
        <v>607</v>
      </c>
      <c r="J63" s="522"/>
      <c r="K63" s="292" t="s">
        <v>594</v>
      </c>
    </row>
    <row r="64" spans="1:21" s="289" customFormat="1" ht="11.25" x14ac:dyDescent="0.25">
      <c r="A64" s="255"/>
      <c r="B64" s="179">
        <v>3.101</v>
      </c>
      <c r="C64" s="293" t="s">
        <v>608</v>
      </c>
      <c r="D64" s="294"/>
      <c r="E64" s="294"/>
      <c r="F64" s="294"/>
      <c r="G64" s="294"/>
      <c r="H64" s="294"/>
      <c r="I64" s="547">
        <v>0.05</v>
      </c>
      <c r="J64" s="548"/>
      <c r="K64" s="295">
        <f>I64*$P$8</f>
        <v>306963038.85000002</v>
      </c>
      <c r="M64" s="228"/>
      <c r="N64" s="228"/>
      <c r="O64" s="228"/>
      <c r="P64" s="228"/>
      <c r="Q64" s="228"/>
      <c r="R64" s="228"/>
      <c r="S64" s="228"/>
      <c r="T64" s="228"/>
      <c r="U64" s="228"/>
    </row>
    <row r="65" spans="1:21" s="228" customFormat="1" ht="11.25" x14ac:dyDescent="0.25">
      <c r="A65" s="255"/>
      <c r="B65" s="179">
        <v>3.1019999999999999</v>
      </c>
      <c r="C65" s="293" t="s">
        <v>609</v>
      </c>
      <c r="D65" s="294"/>
      <c r="E65" s="294"/>
      <c r="F65" s="294"/>
      <c r="G65" s="294"/>
      <c r="H65" s="294"/>
      <c r="I65" s="547">
        <v>6.9000000000000008E-3</v>
      </c>
      <c r="J65" s="548"/>
      <c r="K65" s="295">
        <f t="shared" ref="K65:K70" si="4">I65*$P$8</f>
        <v>42360899.361300007</v>
      </c>
    </row>
    <row r="66" spans="1:21" s="228" customFormat="1" ht="11.25" x14ac:dyDescent="0.25">
      <c r="A66" s="255"/>
      <c r="B66" s="179">
        <v>3.1029999999999998</v>
      </c>
      <c r="C66" s="293" t="s">
        <v>610</v>
      </c>
      <c r="D66" s="294"/>
      <c r="E66" s="294"/>
      <c r="F66" s="294"/>
      <c r="G66" s="294"/>
      <c r="H66" s="294"/>
      <c r="I66" s="547">
        <v>4.0000000000000001E-3</v>
      </c>
      <c r="J66" s="548"/>
      <c r="K66" s="295">
        <f t="shared" si="4"/>
        <v>24557043.107999999</v>
      </c>
    </row>
    <row r="67" spans="1:21" s="228" customFormat="1" ht="11.25" x14ac:dyDescent="0.25">
      <c r="A67" s="255"/>
      <c r="B67" s="179">
        <v>3.1039999999999996</v>
      </c>
      <c r="C67" s="293" t="s">
        <v>611</v>
      </c>
      <c r="D67" s="294"/>
      <c r="E67" s="294"/>
      <c r="F67" s="294"/>
      <c r="G67" s="294"/>
      <c r="H67" s="294"/>
      <c r="I67" s="547">
        <v>1.0999999999999999E-2</v>
      </c>
      <c r="J67" s="548"/>
      <c r="K67" s="295">
        <f t="shared" si="4"/>
        <v>67531868.546999991</v>
      </c>
    </row>
    <row r="68" spans="1:21" s="228" customFormat="1" ht="11.25" x14ac:dyDescent="0.25">
      <c r="A68" s="255"/>
      <c r="B68" s="179">
        <v>3.1049999999999995</v>
      </c>
      <c r="C68" s="293" t="s">
        <v>612</v>
      </c>
      <c r="D68" s="294"/>
      <c r="E68" s="294"/>
      <c r="F68" s="294"/>
      <c r="G68" s="294"/>
      <c r="H68" s="294"/>
      <c r="I68" s="547">
        <v>5.0000000000000001E-3</v>
      </c>
      <c r="J68" s="548"/>
      <c r="K68" s="295">
        <f t="shared" si="4"/>
        <v>30696303.885000002</v>
      </c>
    </row>
    <row r="69" spans="1:21" s="228" customFormat="1" ht="11.25" x14ac:dyDescent="0.25">
      <c r="A69" s="255"/>
      <c r="B69" s="179">
        <v>3.1059999999999994</v>
      </c>
      <c r="C69" s="293" t="s">
        <v>613</v>
      </c>
      <c r="D69" s="294"/>
      <c r="E69" s="294"/>
      <c r="F69" s="294"/>
      <c r="G69" s="294"/>
      <c r="H69" s="294"/>
      <c r="I69" s="547">
        <v>0.02</v>
      </c>
      <c r="J69" s="548"/>
      <c r="K69" s="295">
        <f t="shared" si="4"/>
        <v>122785215.54000001</v>
      </c>
    </row>
    <row r="70" spans="1:21" s="228" customFormat="1" ht="11.25" customHeight="1" x14ac:dyDescent="0.25">
      <c r="A70" s="255"/>
      <c r="B70" s="179">
        <v>3.1069999999999993</v>
      </c>
      <c r="C70" s="293" t="s">
        <v>614</v>
      </c>
      <c r="D70" s="294"/>
      <c r="E70" s="294"/>
      <c r="F70" s="294"/>
      <c r="G70" s="294"/>
      <c r="H70" s="294"/>
      <c r="I70" s="547">
        <v>5.0000000000000001E-3</v>
      </c>
      <c r="J70" s="548"/>
      <c r="K70" s="295">
        <f t="shared" si="4"/>
        <v>30696303.885000002</v>
      </c>
    </row>
    <row r="71" spans="1:21" s="228" customFormat="1" ht="11.25" x14ac:dyDescent="0.25">
      <c r="A71" s="255"/>
      <c r="B71" s="256"/>
      <c r="C71" s="532" t="s">
        <v>615</v>
      </c>
      <c r="D71" s="533"/>
      <c r="E71" s="533"/>
      <c r="F71" s="533"/>
      <c r="G71" s="533"/>
      <c r="H71" s="533"/>
      <c r="I71" s="533"/>
      <c r="J71" s="533"/>
      <c r="K71" s="257">
        <f>+SUM(K64:K70)</f>
        <v>625590673.17629993</v>
      </c>
    </row>
    <row r="72" spans="1:21" s="228" customFormat="1" ht="11.25" x14ac:dyDescent="0.25">
      <c r="A72" s="255"/>
      <c r="B72" s="256"/>
      <c r="C72" s="296"/>
      <c r="D72" s="296"/>
      <c r="E72" s="296"/>
      <c r="F72" s="296"/>
      <c r="G72" s="296"/>
      <c r="H72" s="296"/>
      <c r="I72" s="296"/>
      <c r="J72" s="297"/>
      <c r="K72" s="298"/>
    </row>
    <row r="73" spans="1:21" s="228" customFormat="1" ht="11.25" x14ac:dyDescent="0.25">
      <c r="A73" s="255"/>
      <c r="B73" s="261">
        <v>3.2</v>
      </c>
      <c r="C73" s="541" t="s">
        <v>616</v>
      </c>
      <c r="D73" s="541"/>
      <c r="E73" s="541"/>
      <c r="F73" s="541"/>
      <c r="G73" s="541"/>
      <c r="H73" s="541"/>
      <c r="I73" s="541"/>
      <c r="J73" s="541"/>
      <c r="K73" s="542"/>
    </row>
    <row r="74" spans="1:21" s="228" customFormat="1" ht="33.75" x14ac:dyDescent="0.25">
      <c r="A74" s="255"/>
      <c r="B74" s="142" t="s">
        <v>449</v>
      </c>
      <c r="C74" s="543" t="s">
        <v>43</v>
      </c>
      <c r="D74" s="543"/>
      <c r="E74" s="543"/>
      <c r="F74" s="543" t="s">
        <v>617</v>
      </c>
      <c r="G74" s="543"/>
      <c r="H74" s="142" t="s">
        <v>618</v>
      </c>
      <c r="I74" s="142" t="s">
        <v>619</v>
      </c>
      <c r="J74" s="142" t="s">
        <v>620</v>
      </c>
      <c r="K74" s="292" t="s">
        <v>594</v>
      </c>
      <c r="M74" s="227"/>
      <c r="N74" s="227"/>
      <c r="O74" s="227"/>
      <c r="P74" s="227"/>
      <c r="Q74" s="227"/>
      <c r="R74" s="227"/>
      <c r="S74" s="227"/>
      <c r="T74" s="227"/>
      <c r="U74" s="227"/>
    </row>
    <row r="75" spans="1:21" s="227" customFormat="1" ht="11.25" x14ac:dyDescent="0.25">
      <c r="A75" s="255"/>
      <c r="B75" s="179">
        <v>3.2010000000000001</v>
      </c>
      <c r="C75" s="536" t="s">
        <v>621</v>
      </c>
      <c r="D75" s="536"/>
      <c r="E75" s="544" t="s">
        <v>622</v>
      </c>
      <c r="F75" s="527">
        <f>$P$8</f>
        <v>6139260777</v>
      </c>
      <c r="G75" s="527"/>
      <c r="H75" s="299">
        <v>0.3</v>
      </c>
      <c r="I75" s="300">
        <f>SUM($E$7:$E$9)+6</f>
        <v>13</v>
      </c>
      <c r="J75" s="301">
        <v>2E-3</v>
      </c>
      <c r="K75" s="302">
        <f>ROUND(F75*H75*I75/12*J75*(1.19),2)</f>
        <v>4748718.21</v>
      </c>
      <c r="M75" s="228"/>
      <c r="N75" s="228"/>
      <c r="O75" s="228"/>
      <c r="P75" s="228"/>
      <c r="Q75" s="228"/>
      <c r="R75" s="228"/>
      <c r="S75" s="228"/>
      <c r="T75" s="228"/>
      <c r="U75" s="228"/>
    </row>
    <row r="76" spans="1:21" s="228" customFormat="1" ht="12.75" customHeight="1" x14ac:dyDescent="0.25">
      <c r="A76" s="255"/>
      <c r="B76" s="534">
        <v>3.202</v>
      </c>
      <c r="C76" s="536" t="s">
        <v>623</v>
      </c>
      <c r="D76" s="264" t="s">
        <v>624</v>
      </c>
      <c r="E76" s="544"/>
      <c r="F76" s="531">
        <f>ROUND(D77*P8,0)</f>
        <v>0</v>
      </c>
      <c r="G76" s="531"/>
      <c r="H76" s="537">
        <v>1</v>
      </c>
      <c r="I76" s="538">
        <f>SUM($E$7:$E$9)+6</f>
        <v>13</v>
      </c>
      <c r="J76" s="540">
        <v>2E-3</v>
      </c>
      <c r="K76" s="545">
        <f>ROUND(F76*H76*I76/12*J76*(1.19),2)</f>
        <v>0</v>
      </c>
    </row>
    <row r="77" spans="1:21" s="228" customFormat="1" ht="12.75" customHeight="1" x14ac:dyDescent="0.25">
      <c r="A77" s="255"/>
      <c r="B77" s="535"/>
      <c r="C77" s="536"/>
      <c r="D77" s="303">
        <v>0</v>
      </c>
      <c r="E77" s="544"/>
      <c r="F77" s="531"/>
      <c r="G77" s="531"/>
      <c r="H77" s="537"/>
      <c r="I77" s="539"/>
      <c r="J77" s="540"/>
      <c r="K77" s="546"/>
    </row>
    <row r="78" spans="1:21" s="228" customFormat="1" ht="12.75" customHeight="1" x14ac:dyDescent="0.25">
      <c r="A78" s="255"/>
      <c r="B78" s="179">
        <v>3.2029999999999998</v>
      </c>
      <c r="C78" s="536" t="s">
        <v>625</v>
      </c>
      <c r="D78" s="536"/>
      <c r="E78" s="544"/>
      <c r="F78" s="527">
        <f>$P$8</f>
        <v>6139260777</v>
      </c>
      <c r="G78" s="527"/>
      <c r="H78" s="299">
        <v>0.1</v>
      </c>
      <c r="I78" s="300">
        <f>SUM($E$7:$E$9)+3*12</f>
        <v>43</v>
      </c>
      <c r="J78" s="301">
        <v>2E-3</v>
      </c>
      <c r="K78" s="302">
        <f>ROUND(F78*H78*I78/12*J78*(1.19),2)</f>
        <v>5235766.2300000004</v>
      </c>
    </row>
    <row r="79" spans="1:21" s="228" customFormat="1" ht="12.75" customHeight="1" x14ac:dyDescent="0.25">
      <c r="A79" s="255"/>
      <c r="B79" s="179">
        <v>3.2039999999999997</v>
      </c>
      <c r="C79" s="536" t="s">
        <v>626</v>
      </c>
      <c r="D79" s="536"/>
      <c r="E79" s="544"/>
      <c r="F79" s="527">
        <f>$P$8</f>
        <v>6139260777</v>
      </c>
      <c r="G79" s="527"/>
      <c r="H79" s="299">
        <v>0.3</v>
      </c>
      <c r="I79" s="300">
        <f>5*12</f>
        <v>60</v>
      </c>
      <c r="J79" s="301">
        <v>2E-3</v>
      </c>
      <c r="K79" s="302">
        <f>ROUND(F79*H79*I79/12*J79*(1.19),2)</f>
        <v>21917160.969999999</v>
      </c>
    </row>
    <row r="80" spans="1:21" s="228" customFormat="1" ht="11.25" x14ac:dyDescent="0.25">
      <c r="A80" s="255"/>
      <c r="B80" s="179">
        <v>3.2059999999999995</v>
      </c>
      <c r="C80" s="528" t="s">
        <v>627</v>
      </c>
      <c r="D80" s="528"/>
      <c r="E80" s="529" t="s">
        <v>628</v>
      </c>
      <c r="F80" s="527">
        <f>$P$8</f>
        <v>6139260777</v>
      </c>
      <c r="G80" s="527"/>
      <c r="H80" s="299">
        <v>0.05</v>
      </c>
      <c r="I80" s="300">
        <f>SUM($E$7:$E$9)</f>
        <v>7</v>
      </c>
      <c r="J80" s="301">
        <v>3.0000000000000001E-3</v>
      </c>
      <c r="K80" s="302">
        <f>ROUND(F80*H80*I80/12*J80*(1.19),2)</f>
        <v>639250.53</v>
      </c>
    </row>
    <row r="81" spans="1:21" s="228" customFormat="1" ht="22.5" x14ac:dyDescent="0.25">
      <c r="A81" s="255"/>
      <c r="B81" s="179">
        <v>3.2069999999999994</v>
      </c>
      <c r="C81" s="304" t="s">
        <v>629</v>
      </c>
      <c r="D81" s="304"/>
      <c r="E81" s="530"/>
      <c r="F81" s="531">
        <f>D81*Base!$G$9</f>
        <v>0</v>
      </c>
      <c r="G81" s="531"/>
      <c r="H81" s="299" t="str">
        <f>D81&amp;" SMMLV"</f>
        <v xml:space="preserve"> SMMLV</v>
      </c>
      <c r="I81" s="300">
        <f>SUM($E$7:$E$9)</f>
        <v>7</v>
      </c>
      <c r="J81" s="301">
        <v>3.0000000000000001E-3</v>
      </c>
      <c r="K81" s="302">
        <f>ROUND(F81*I81/12*J81*(1.19),2)</f>
        <v>0</v>
      </c>
    </row>
    <row r="82" spans="1:21" x14ac:dyDescent="0.25">
      <c r="A82" s="255"/>
      <c r="B82" s="256"/>
      <c r="C82" s="532" t="s">
        <v>630</v>
      </c>
      <c r="D82" s="533"/>
      <c r="E82" s="533"/>
      <c r="F82" s="533"/>
      <c r="G82" s="533"/>
      <c r="H82" s="533"/>
      <c r="I82" s="533"/>
      <c r="J82" s="533"/>
      <c r="K82" s="257">
        <f>+SUM(K75:K81)*1.19</f>
        <v>38723666.1686</v>
      </c>
      <c r="M82" s="228"/>
      <c r="N82" s="228"/>
      <c r="O82" s="228"/>
      <c r="P82" s="228"/>
      <c r="Q82" s="228"/>
      <c r="R82" s="228"/>
      <c r="S82" s="228"/>
      <c r="T82" s="228"/>
      <c r="U82" s="228"/>
    </row>
    <row r="83" spans="1:21" s="228" customFormat="1" ht="11.25" x14ac:dyDescent="0.25">
      <c r="A83" s="255"/>
      <c r="B83" s="256"/>
      <c r="C83" s="525"/>
      <c r="D83" s="525"/>
      <c r="E83" s="525"/>
      <c r="F83" s="525"/>
      <c r="G83" s="525"/>
      <c r="H83" s="525"/>
      <c r="I83" s="525"/>
      <c r="J83" s="525"/>
      <c r="K83" s="526"/>
    </row>
    <row r="84" spans="1:21" s="228" customFormat="1" ht="11.25" x14ac:dyDescent="0.25">
      <c r="A84" s="255"/>
      <c r="B84" s="256"/>
      <c r="C84" s="305" t="s">
        <v>631</v>
      </c>
      <c r="D84" s="306"/>
      <c r="E84" s="306"/>
      <c r="F84" s="306"/>
      <c r="G84" s="306"/>
      <c r="H84" s="306"/>
      <c r="I84" s="260"/>
      <c r="J84" s="307"/>
      <c r="K84" s="257">
        <f>+K82+K71</f>
        <v>664314339.34489989</v>
      </c>
    </row>
    <row r="85" spans="1:21" s="228" customFormat="1" ht="13.7" customHeight="1" x14ac:dyDescent="0.25">
      <c r="A85" s="255"/>
      <c r="B85" s="256"/>
      <c r="C85" s="305" t="s">
        <v>632</v>
      </c>
      <c r="D85" s="306"/>
      <c r="E85" s="306"/>
      <c r="F85" s="306"/>
      <c r="G85" s="306"/>
      <c r="H85" s="306"/>
      <c r="I85" s="260"/>
      <c r="J85" s="307"/>
      <c r="K85" s="308">
        <f>+K84/E6</f>
        <v>0.14242277127755348</v>
      </c>
    </row>
    <row r="86" spans="1:21" s="228" customFormat="1" ht="13.7" customHeight="1" x14ac:dyDescent="0.25">
      <c r="A86" s="255"/>
      <c r="B86" s="256"/>
      <c r="C86" s="525"/>
      <c r="D86" s="525"/>
      <c r="E86" s="525"/>
      <c r="F86" s="525"/>
      <c r="G86" s="525"/>
      <c r="H86" s="525"/>
      <c r="I86" s="525"/>
      <c r="J86" s="525"/>
      <c r="K86" s="526"/>
    </row>
    <row r="87" spans="1:21" s="228" customFormat="1" ht="11.25" x14ac:dyDescent="0.25">
      <c r="A87" s="255"/>
      <c r="B87" s="256"/>
      <c r="C87" s="305" t="s">
        <v>633</v>
      </c>
      <c r="D87" s="306"/>
      <c r="E87" s="306"/>
      <c r="F87" s="306"/>
      <c r="G87" s="306"/>
      <c r="H87" s="306"/>
      <c r="I87" s="260"/>
      <c r="J87" s="307"/>
      <c r="K87" s="309">
        <f>ROUND(K59+K85,4)</f>
        <v>0.26119999999999999</v>
      </c>
    </row>
    <row r="88" spans="1:21" s="228" customFormat="1" ht="12.75" customHeight="1" x14ac:dyDescent="0.25">
      <c r="A88" s="310"/>
      <c r="B88" s="289"/>
      <c r="C88" s="305" t="s">
        <v>634</v>
      </c>
      <c r="D88" s="306"/>
      <c r="E88" s="306"/>
      <c r="F88" s="306"/>
      <c r="G88" s="306"/>
      <c r="H88" s="306"/>
      <c r="I88" s="260"/>
      <c r="J88" s="307"/>
      <c r="K88" s="311">
        <v>0.01</v>
      </c>
      <c r="M88" s="227"/>
      <c r="N88" s="227"/>
      <c r="O88" s="227"/>
      <c r="P88" s="227"/>
      <c r="Q88" s="227"/>
      <c r="R88" s="227"/>
      <c r="S88" s="227"/>
      <c r="T88" s="227"/>
      <c r="U88" s="227"/>
    </row>
    <row r="89" spans="1:21" s="227" customFormat="1" ht="12.75" customHeight="1" x14ac:dyDescent="0.25">
      <c r="A89" s="310"/>
      <c r="B89" s="289"/>
      <c r="C89" s="305" t="s">
        <v>635</v>
      </c>
      <c r="D89" s="306"/>
      <c r="E89" s="306"/>
      <c r="F89" s="306"/>
      <c r="G89" s="306"/>
      <c r="H89" s="306"/>
      <c r="I89" s="260"/>
      <c r="J89" s="307"/>
      <c r="K89" s="311">
        <v>4.4999999999999998E-2</v>
      </c>
    </row>
    <row r="90" spans="1:21" s="227" customFormat="1" ht="12.75" customHeight="1" x14ac:dyDescent="0.25">
      <c r="A90" s="255"/>
      <c r="B90" s="256"/>
      <c r="C90" s="525"/>
      <c r="D90" s="525"/>
      <c r="E90" s="525"/>
      <c r="F90" s="525"/>
      <c r="G90" s="525"/>
      <c r="H90" s="525"/>
      <c r="I90" s="525"/>
      <c r="J90" s="525"/>
      <c r="K90" s="526"/>
      <c r="M90" s="228"/>
      <c r="N90" s="228"/>
      <c r="O90" s="228"/>
      <c r="P90" s="228"/>
      <c r="Q90" s="228"/>
      <c r="R90" s="228"/>
      <c r="S90" s="228"/>
      <c r="T90" s="228"/>
      <c r="U90" s="228"/>
    </row>
    <row r="91" spans="1:21" s="228" customFormat="1" ht="13.5" thickBot="1" x14ac:dyDescent="0.3">
      <c r="A91" s="312"/>
      <c r="B91" s="313"/>
      <c r="C91" s="314" t="s">
        <v>636</v>
      </c>
      <c r="D91" s="315"/>
      <c r="E91" s="315"/>
      <c r="F91" s="315"/>
      <c r="G91" s="315"/>
      <c r="H91" s="315"/>
      <c r="I91" s="316"/>
      <c r="J91" s="317"/>
      <c r="K91" s="318">
        <f>+K87+K88+K89</f>
        <v>0.31619999999999998</v>
      </c>
    </row>
    <row r="92" spans="1:21" s="228" customFormat="1" ht="17.45" customHeight="1" thickBot="1" x14ac:dyDescent="0.3">
      <c r="A92" s="31"/>
      <c r="B92" s="31"/>
      <c r="C92" s="208"/>
      <c r="D92" s="208"/>
      <c r="E92" s="208"/>
      <c r="F92" s="208"/>
      <c r="G92" s="208"/>
      <c r="H92" s="208"/>
      <c r="I92" s="208"/>
      <c r="J92" s="31"/>
      <c r="K92" s="208"/>
      <c r="U92" s="208"/>
    </row>
    <row r="93" spans="1:21" x14ac:dyDescent="0.25">
      <c r="A93" s="564" t="s">
        <v>554</v>
      </c>
      <c r="B93" s="565"/>
      <c r="C93" s="565"/>
      <c r="D93" s="565"/>
      <c r="E93" s="565"/>
      <c r="F93" s="565"/>
      <c r="G93" s="565"/>
      <c r="H93" s="565"/>
      <c r="I93" s="565"/>
      <c r="J93" s="565"/>
      <c r="K93" s="566"/>
      <c r="M93" s="228"/>
      <c r="N93" s="228"/>
      <c r="O93" s="228"/>
      <c r="P93" s="228"/>
      <c r="Q93" s="228"/>
      <c r="R93" s="228"/>
      <c r="S93" s="228"/>
      <c r="T93" s="228"/>
    </row>
    <row r="94" spans="1:21" x14ac:dyDescent="0.25">
      <c r="A94" s="567" t="s">
        <v>32</v>
      </c>
      <c r="B94" s="568"/>
      <c r="C94" s="568"/>
      <c r="D94" s="568"/>
      <c r="E94" s="568"/>
      <c r="F94" s="568"/>
      <c r="G94" s="568"/>
      <c r="H94" s="568"/>
      <c r="I94" s="568"/>
      <c r="J94" s="568"/>
      <c r="K94" s="569"/>
      <c r="M94" s="228"/>
      <c r="N94" s="228"/>
      <c r="O94" s="228"/>
      <c r="P94" s="228"/>
      <c r="Q94" s="228"/>
      <c r="R94" s="228"/>
      <c r="S94" s="228"/>
      <c r="T94" s="228"/>
    </row>
    <row r="95" spans="1:21" x14ac:dyDescent="0.25">
      <c r="A95" s="570" t="s">
        <v>637</v>
      </c>
      <c r="B95" s="571"/>
      <c r="C95" s="571"/>
      <c r="D95" s="571"/>
      <c r="E95" s="571"/>
      <c r="F95" s="571"/>
      <c r="G95" s="571"/>
      <c r="H95" s="571"/>
      <c r="I95" s="571"/>
      <c r="J95" s="571"/>
      <c r="K95" s="572"/>
      <c r="M95" s="228"/>
      <c r="N95" s="228"/>
      <c r="O95" s="228"/>
      <c r="P95" s="228"/>
      <c r="Q95" s="228"/>
      <c r="R95" s="228"/>
      <c r="S95" s="228"/>
      <c r="T95" s="228"/>
    </row>
    <row r="96" spans="1:21" ht="14.25" customHeight="1" thickBot="1" x14ac:dyDescent="0.3">
      <c r="A96" s="209"/>
      <c r="B96" s="210"/>
      <c r="C96" s="210"/>
      <c r="D96" s="210"/>
      <c r="E96" s="210"/>
      <c r="F96" s="210"/>
      <c r="G96" s="210"/>
      <c r="H96" s="210"/>
      <c r="I96" s="210"/>
      <c r="J96" s="36"/>
      <c r="K96" s="211"/>
      <c r="M96" s="228"/>
      <c r="N96" s="228"/>
      <c r="O96" s="228"/>
      <c r="P96" s="228"/>
      <c r="Q96" s="228"/>
      <c r="R96" s="228"/>
      <c r="S96" s="228"/>
      <c r="T96" s="228"/>
    </row>
    <row r="97" spans="1:21" x14ac:dyDescent="0.25">
      <c r="A97" s="212"/>
      <c r="B97" s="573" t="s">
        <v>638</v>
      </c>
      <c r="C97" s="574"/>
      <c r="D97" s="574"/>
      <c r="E97" s="575">
        <f>$S$9</f>
        <v>188012177</v>
      </c>
      <c r="F97" s="575"/>
      <c r="G97" s="576"/>
      <c r="I97" s="213" t="s">
        <v>557</v>
      </c>
      <c r="J97" s="577">
        <f>Base!$D$9</f>
        <v>44988</v>
      </c>
      <c r="K97" s="578"/>
      <c r="L97" s="210"/>
      <c r="M97" s="228"/>
      <c r="N97" s="228"/>
      <c r="O97" s="228"/>
      <c r="P97" s="228"/>
      <c r="Q97" s="228"/>
      <c r="R97" s="228"/>
      <c r="S97" s="228"/>
      <c r="T97" s="228"/>
    </row>
    <row r="98" spans="1:21" x14ac:dyDescent="0.25">
      <c r="A98" s="212"/>
      <c r="B98" s="553" t="s">
        <v>568</v>
      </c>
      <c r="C98" s="554"/>
      <c r="D98" s="554"/>
      <c r="E98" s="216">
        <f>DedicProfObr!$V$6</f>
        <v>6</v>
      </c>
      <c r="F98" s="555" t="s">
        <v>566</v>
      </c>
      <c r="G98" s="556"/>
      <c r="I98" s="217" t="s">
        <v>567</v>
      </c>
      <c r="J98" s="557" t="s">
        <v>32</v>
      </c>
      <c r="K98" s="558"/>
      <c r="M98" s="228"/>
      <c r="N98" s="228"/>
      <c r="O98" s="228"/>
      <c r="P98" s="228"/>
      <c r="Q98" s="228"/>
      <c r="R98" s="228"/>
      <c r="S98" s="228"/>
      <c r="T98" s="228"/>
    </row>
    <row r="99" spans="1:21" ht="16.350000000000001" customHeight="1" x14ac:dyDescent="0.25">
      <c r="A99" s="212"/>
      <c r="B99" s="553" t="s">
        <v>565</v>
      </c>
      <c r="C99" s="554"/>
      <c r="D99" s="554"/>
      <c r="E99" s="216">
        <f>DedicProfObr!$U$6</f>
        <v>1</v>
      </c>
      <c r="F99" s="554" t="s">
        <v>566</v>
      </c>
      <c r="G99" s="559"/>
      <c r="K99" s="222"/>
      <c r="M99" s="228"/>
      <c r="N99" s="228"/>
      <c r="O99" s="228"/>
      <c r="P99" s="228"/>
      <c r="Q99" s="228"/>
      <c r="R99" s="228"/>
      <c r="S99" s="228"/>
      <c r="T99" s="228"/>
    </row>
    <row r="100" spans="1:21" ht="15.6" customHeight="1" thickBot="1" x14ac:dyDescent="0.3">
      <c r="A100" s="212"/>
      <c r="B100" s="560" t="s">
        <v>569</v>
      </c>
      <c r="C100" s="561"/>
      <c r="D100" s="561"/>
      <c r="E100" s="225">
        <f>DedicProfObr!$W$6</f>
        <v>0</v>
      </c>
      <c r="F100" s="562" t="s">
        <v>566</v>
      </c>
      <c r="G100" s="563"/>
      <c r="K100" s="222"/>
      <c r="M100" s="228"/>
      <c r="N100" s="228"/>
      <c r="O100" s="228"/>
      <c r="P100" s="228"/>
      <c r="Q100" s="228"/>
      <c r="R100" s="228"/>
      <c r="S100" s="228"/>
      <c r="T100" s="228"/>
    </row>
    <row r="101" spans="1:21" x14ac:dyDescent="0.25">
      <c r="A101" s="212"/>
      <c r="K101" s="222"/>
      <c r="M101" s="228"/>
      <c r="N101" s="228"/>
      <c r="O101" s="228"/>
      <c r="P101" s="228"/>
      <c r="Q101" s="228"/>
      <c r="R101" s="228"/>
      <c r="S101" s="228"/>
      <c r="T101" s="228"/>
    </row>
    <row r="102" spans="1:21" ht="7.5" customHeight="1" x14ac:dyDescent="0.25">
      <c r="A102" s="288"/>
      <c r="B102" s="549" t="s">
        <v>605</v>
      </c>
      <c r="C102" s="549"/>
      <c r="D102" s="549"/>
      <c r="E102" s="549"/>
      <c r="F102" s="549"/>
      <c r="G102" s="549"/>
      <c r="H102" s="549"/>
      <c r="I102" s="549"/>
      <c r="J102" s="549"/>
      <c r="K102" s="550"/>
      <c r="M102" s="228"/>
      <c r="N102" s="228"/>
      <c r="O102" s="228"/>
      <c r="P102" s="228"/>
      <c r="Q102" s="228"/>
      <c r="R102" s="228"/>
      <c r="S102" s="228"/>
      <c r="T102" s="228"/>
      <c r="U102" s="228"/>
    </row>
    <row r="103" spans="1:21" s="228" customFormat="1" ht="12.75" customHeight="1" x14ac:dyDescent="0.25">
      <c r="A103" s="255"/>
      <c r="B103" s="261">
        <v>3.1</v>
      </c>
      <c r="C103" s="551" t="s">
        <v>606</v>
      </c>
      <c r="D103" s="551"/>
      <c r="E103" s="551"/>
      <c r="F103" s="551"/>
      <c r="G103" s="551"/>
      <c r="H103" s="551"/>
      <c r="I103" s="551"/>
      <c r="J103" s="551"/>
      <c r="K103" s="552"/>
      <c r="U103" s="289"/>
    </row>
    <row r="104" spans="1:21" s="289" customFormat="1" ht="11.25" x14ac:dyDescent="0.25">
      <c r="A104" s="255"/>
      <c r="B104" s="142" t="s">
        <v>449</v>
      </c>
      <c r="C104" s="521" t="s">
        <v>43</v>
      </c>
      <c r="D104" s="522"/>
      <c r="E104" s="290"/>
      <c r="F104" s="291"/>
      <c r="G104" s="231"/>
      <c r="H104" s="291"/>
      <c r="I104" s="521" t="s">
        <v>607</v>
      </c>
      <c r="J104" s="522"/>
      <c r="K104" s="292" t="s">
        <v>594</v>
      </c>
      <c r="M104" s="228"/>
      <c r="N104" s="228"/>
      <c r="O104" s="228"/>
      <c r="P104" s="228"/>
      <c r="Q104" s="228"/>
      <c r="R104" s="228"/>
      <c r="S104" s="228"/>
      <c r="T104" s="228"/>
    </row>
    <row r="105" spans="1:21" s="289" customFormat="1" ht="22.7" customHeight="1" x14ac:dyDescent="0.25">
      <c r="A105" s="255"/>
      <c r="B105" s="179">
        <v>3.101</v>
      </c>
      <c r="C105" s="293" t="s">
        <v>608</v>
      </c>
      <c r="D105" s="294"/>
      <c r="E105" s="294"/>
      <c r="F105" s="294"/>
      <c r="G105" s="294"/>
      <c r="H105" s="294"/>
      <c r="I105" s="547">
        <v>0.05</v>
      </c>
      <c r="J105" s="548"/>
      <c r="K105" s="295">
        <f>I105*$P$9</f>
        <v>11120920.25</v>
      </c>
      <c r="M105" s="228"/>
      <c r="N105" s="228"/>
      <c r="O105" s="228"/>
      <c r="P105" s="228"/>
      <c r="Q105" s="228"/>
      <c r="R105" s="228"/>
      <c r="S105" s="228"/>
      <c r="T105" s="228"/>
      <c r="U105" s="228"/>
    </row>
    <row r="106" spans="1:21" s="228" customFormat="1" ht="11.25" x14ac:dyDescent="0.25">
      <c r="A106" s="255"/>
      <c r="B106" s="179">
        <v>3.1019999999999999</v>
      </c>
      <c r="C106" s="293" t="s">
        <v>609</v>
      </c>
      <c r="D106" s="294"/>
      <c r="E106" s="294"/>
      <c r="F106" s="294"/>
      <c r="G106" s="294"/>
      <c r="H106" s="294"/>
      <c r="I106" s="547">
        <v>6.9000000000000008E-3</v>
      </c>
      <c r="J106" s="548"/>
      <c r="K106" s="295">
        <f t="shared" ref="K106:K111" si="5">I106*$P$9</f>
        <v>1534686.9945000003</v>
      </c>
    </row>
    <row r="107" spans="1:21" s="228" customFormat="1" ht="11.25" x14ac:dyDescent="0.25">
      <c r="A107" s="255"/>
      <c r="B107" s="179">
        <v>3.1029999999999998</v>
      </c>
      <c r="C107" s="293" t="s">
        <v>610</v>
      </c>
      <c r="D107" s="294"/>
      <c r="E107" s="294"/>
      <c r="F107" s="294"/>
      <c r="G107" s="294"/>
      <c r="H107" s="294"/>
      <c r="I107" s="547">
        <v>4.0000000000000001E-3</v>
      </c>
      <c r="J107" s="548"/>
      <c r="K107" s="295">
        <f t="shared" si="5"/>
        <v>889673.62</v>
      </c>
    </row>
    <row r="108" spans="1:21" s="228" customFormat="1" ht="11.25" x14ac:dyDescent="0.25">
      <c r="A108" s="255"/>
      <c r="B108" s="179">
        <v>3.1039999999999996</v>
      </c>
      <c r="C108" s="293" t="s">
        <v>611</v>
      </c>
      <c r="D108" s="294"/>
      <c r="E108" s="294"/>
      <c r="F108" s="294"/>
      <c r="G108" s="294"/>
      <c r="H108" s="294"/>
      <c r="I108" s="547">
        <v>1.0999999999999999E-2</v>
      </c>
      <c r="J108" s="548"/>
      <c r="K108" s="295">
        <f t="shared" si="5"/>
        <v>2446602.4550000001</v>
      </c>
    </row>
    <row r="109" spans="1:21" s="228" customFormat="1" ht="11.25" x14ac:dyDescent="0.25">
      <c r="A109" s="255"/>
      <c r="B109" s="179">
        <v>3.1049999999999995</v>
      </c>
      <c r="C109" s="293" t="s">
        <v>612</v>
      </c>
      <c r="D109" s="294"/>
      <c r="E109" s="294"/>
      <c r="F109" s="294"/>
      <c r="G109" s="294"/>
      <c r="H109" s="294"/>
      <c r="I109" s="547">
        <v>5.0000000000000001E-3</v>
      </c>
      <c r="J109" s="548"/>
      <c r="K109" s="295">
        <f t="shared" si="5"/>
        <v>1112092.0249999999</v>
      </c>
    </row>
    <row r="110" spans="1:21" s="228" customFormat="1" ht="11.25" x14ac:dyDescent="0.25">
      <c r="A110" s="255"/>
      <c r="B110" s="179">
        <v>3.1059999999999994</v>
      </c>
      <c r="C110" s="293" t="s">
        <v>613</v>
      </c>
      <c r="D110" s="294"/>
      <c r="E110" s="294"/>
      <c r="F110" s="294"/>
      <c r="G110" s="294"/>
      <c r="H110" s="294"/>
      <c r="I110" s="547">
        <v>0.02</v>
      </c>
      <c r="J110" s="548"/>
      <c r="K110" s="295">
        <f t="shared" si="5"/>
        <v>4448368.0999999996</v>
      </c>
    </row>
    <row r="111" spans="1:21" s="228" customFormat="1" ht="11.25" customHeight="1" x14ac:dyDescent="0.25">
      <c r="A111" s="255"/>
      <c r="B111" s="179">
        <v>3.1069999999999993</v>
      </c>
      <c r="C111" s="293" t="s">
        <v>614</v>
      </c>
      <c r="D111" s="294"/>
      <c r="E111" s="294"/>
      <c r="F111" s="294"/>
      <c r="G111" s="294"/>
      <c r="H111" s="294"/>
      <c r="I111" s="547">
        <v>5.0000000000000001E-3</v>
      </c>
      <c r="J111" s="548"/>
      <c r="K111" s="295">
        <f t="shared" si="5"/>
        <v>1112092.0249999999</v>
      </c>
    </row>
    <row r="112" spans="1:21" s="228" customFormat="1" ht="11.25" x14ac:dyDescent="0.25">
      <c r="A112" s="255"/>
      <c r="B112" s="256"/>
      <c r="C112" s="532" t="s">
        <v>615</v>
      </c>
      <c r="D112" s="533"/>
      <c r="E112" s="533"/>
      <c r="F112" s="533"/>
      <c r="G112" s="533"/>
      <c r="H112" s="533"/>
      <c r="I112" s="533"/>
      <c r="J112" s="533"/>
      <c r="K112" s="257">
        <f>+SUM(K105:K111)</f>
        <v>22664435.469499998</v>
      </c>
    </row>
    <row r="113" spans="1:21" s="228" customFormat="1" ht="11.25" x14ac:dyDescent="0.25">
      <c r="A113" s="255"/>
      <c r="B113" s="256"/>
      <c r="C113" s="296"/>
      <c r="D113" s="296"/>
      <c r="E113" s="296"/>
      <c r="F113" s="296"/>
      <c r="G113" s="296"/>
      <c r="H113" s="296"/>
      <c r="I113" s="296"/>
      <c r="J113" s="297"/>
      <c r="K113" s="298"/>
    </row>
    <row r="114" spans="1:21" s="228" customFormat="1" ht="11.25" x14ac:dyDescent="0.25">
      <c r="A114" s="255"/>
      <c r="B114" s="261">
        <v>3.2</v>
      </c>
      <c r="C114" s="541" t="s">
        <v>616</v>
      </c>
      <c r="D114" s="541"/>
      <c r="E114" s="541"/>
      <c r="F114" s="541"/>
      <c r="G114" s="541"/>
      <c r="H114" s="541"/>
      <c r="I114" s="541"/>
      <c r="J114" s="541"/>
      <c r="K114" s="542"/>
    </row>
    <row r="115" spans="1:21" s="228" customFormat="1" ht="33.75" x14ac:dyDescent="0.25">
      <c r="A115" s="255"/>
      <c r="B115" s="142" t="s">
        <v>449</v>
      </c>
      <c r="C115" s="543" t="s">
        <v>43</v>
      </c>
      <c r="D115" s="543"/>
      <c r="E115" s="543"/>
      <c r="F115" s="543" t="s">
        <v>617</v>
      </c>
      <c r="G115" s="543"/>
      <c r="H115" s="142" t="s">
        <v>618</v>
      </c>
      <c r="I115" s="142" t="s">
        <v>619</v>
      </c>
      <c r="J115" s="142" t="s">
        <v>620</v>
      </c>
      <c r="K115" s="292" t="s">
        <v>594</v>
      </c>
      <c r="M115" s="227"/>
      <c r="N115" s="227"/>
      <c r="O115" s="227"/>
      <c r="P115" s="227"/>
      <c r="Q115" s="227"/>
      <c r="R115" s="227"/>
      <c r="S115" s="227"/>
      <c r="T115" s="227"/>
      <c r="U115" s="227"/>
    </row>
    <row r="116" spans="1:21" s="227" customFormat="1" ht="11.25" x14ac:dyDescent="0.25">
      <c r="A116" s="255"/>
      <c r="B116" s="179">
        <v>3.2010000000000001</v>
      </c>
      <c r="C116" s="536" t="s">
        <v>621</v>
      </c>
      <c r="D116" s="536"/>
      <c r="E116" s="544" t="s">
        <v>622</v>
      </c>
      <c r="F116" s="527">
        <f>$P$9</f>
        <v>222418405</v>
      </c>
      <c r="G116" s="527"/>
      <c r="H116" s="299">
        <v>0.3</v>
      </c>
      <c r="I116" s="300">
        <f>SUM($E$7:$E$9)+6</f>
        <v>13</v>
      </c>
      <c r="J116" s="301">
        <v>2E-3</v>
      </c>
      <c r="K116" s="302">
        <f>ROUND(F116*H116*I116/12*J116*(1.19),2)</f>
        <v>172040.64</v>
      </c>
      <c r="M116" s="228"/>
      <c r="N116" s="228"/>
      <c r="O116" s="228"/>
      <c r="P116" s="228"/>
      <c r="Q116" s="228"/>
      <c r="R116" s="228"/>
      <c r="S116" s="228"/>
      <c r="T116" s="228"/>
      <c r="U116" s="228"/>
    </row>
    <row r="117" spans="1:21" s="228" customFormat="1" ht="11.25" x14ac:dyDescent="0.25">
      <c r="A117" s="255"/>
      <c r="B117" s="534">
        <v>3.202</v>
      </c>
      <c r="C117" s="536" t="s">
        <v>623</v>
      </c>
      <c r="D117" s="264" t="s">
        <v>624</v>
      </c>
      <c r="E117" s="544"/>
      <c r="F117" s="531">
        <f>ROUND(D118*$P$9,0)</f>
        <v>0</v>
      </c>
      <c r="G117" s="531"/>
      <c r="H117" s="537">
        <v>1</v>
      </c>
      <c r="I117" s="538">
        <f>SUM($E$7:$E$9)+6</f>
        <v>13</v>
      </c>
      <c r="J117" s="540">
        <v>2E-3</v>
      </c>
      <c r="K117" s="545">
        <f>ROUND(F117*H117*I117/12*J117*(1.19),2)</f>
        <v>0</v>
      </c>
    </row>
    <row r="118" spans="1:21" s="228" customFormat="1" ht="11.25" x14ac:dyDescent="0.25">
      <c r="A118" s="255"/>
      <c r="B118" s="535"/>
      <c r="C118" s="536"/>
      <c r="D118" s="303">
        <f>$D$77</f>
        <v>0</v>
      </c>
      <c r="E118" s="544"/>
      <c r="F118" s="531"/>
      <c r="G118" s="531"/>
      <c r="H118" s="537"/>
      <c r="I118" s="539"/>
      <c r="J118" s="540"/>
      <c r="K118" s="546"/>
    </row>
    <row r="119" spans="1:21" s="228" customFormat="1" ht="11.25" x14ac:dyDescent="0.25">
      <c r="A119" s="255"/>
      <c r="B119" s="179">
        <v>3.2029999999999998</v>
      </c>
      <c r="C119" s="536" t="s">
        <v>625</v>
      </c>
      <c r="D119" s="536"/>
      <c r="E119" s="544"/>
      <c r="F119" s="527">
        <f>$P$9</f>
        <v>222418405</v>
      </c>
      <c r="G119" s="527"/>
      <c r="H119" s="299">
        <v>0.1</v>
      </c>
      <c r="I119" s="300">
        <f>SUM($E$7:$E$9)+3*12</f>
        <v>43</v>
      </c>
      <c r="J119" s="301">
        <v>2E-3</v>
      </c>
      <c r="K119" s="302">
        <f>ROUND(F119*H119*I119/12*J119*(1.19),2)</f>
        <v>189685.83</v>
      </c>
    </row>
    <row r="120" spans="1:21" s="228" customFormat="1" ht="11.25" x14ac:dyDescent="0.25">
      <c r="A120" s="255"/>
      <c r="B120" s="179">
        <v>3.2039999999999997</v>
      </c>
      <c r="C120" s="536" t="s">
        <v>626</v>
      </c>
      <c r="D120" s="536"/>
      <c r="E120" s="544"/>
      <c r="F120" s="527">
        <f>$P$9</f>
        <v>222418405</v>
      </c>
      <c r="G120" s="527"/>
      <c r="H120" s="299">
        <v>0.3</v>
      </c>
      <c r="I120" s="300">
        <f>5*12</f>
        <v>60</v>
      </c>
      <c r="J120" s="301">
        <v>2E-3</v>
      </c>
      <c r="K120" s="302">
        <f>ROUND(F120*H120*I120/12*J120*(1.19),2)</f>
        <v>794033.71</v>
      </c>
    </row>
    <row r="121" spans="1:21" s="228" customFormat="1" ht="11.25" x14ac:dyDescent="0.25">
      <c r="A121" s="255"/>
      <c r="B121" s="179">
        <v>3.2059999999999995</v>
      </c>
      <c r="C121" s="528" t="s">
        <v>627</v>
      </c>
      <c r="D121" s="528"/>
      <c r="E121" s="529" t="s">
        <v>628</v>
      </c>
      <c r="F121" s="527">
        <f>$P$9</f>
        <v>222418405</v>
      </c>
      <c r="G121" s="527"/>
      <c r="H121" s="299">
        <v>0.05</v>
      </c>
      <c r="I121" s="300">
        <f>SUM($E$7:$E$9)</f>
        <v>7</v>
      </c>
      <c r="J121" s="301">
        <v>3.0000000000000001E-3</v>
      </c>
      <c r="K121" s="302">
        <f>ROUND(F121*H121*I121/12*J121*(1.19),2)</f>
        <v>23159.32</v>
      </c>
    </row>
    <row r="122" spans="1:21" s="228" customFormat="1" ht="22.5" x14ac:dyDescent="0.25">
      <c r="A122" s="255"/>
      <c r="B122" s="179">
        <v>3.2069999999999994</v>
      </c>
      <c r="C122" s="304" t="s">
        <v>629</v>
      </c>
      <c r="D122" s="304">
        <v>0</v>
      </c>
      <c r="E122" s="530"/>
      <c r="F122" s="531">
        <f>D122*Base!$G$9</f>
        <v>0</v>
      </c>
      <c r="G122" s="531"/>
      <c r="H122" s="299" t="str">
        <f>D122&amp;" SMMLV"</f>
        <v>0 SMMLV</v>
      </c>
      <c r="I122" s="300">
        <f>SUM($E$7:$E$9)</f>
        <v>7</v>
      </c>
      <c r="J122" s="301">
        <v>3.0000000000000001E-3</v>
      </c>
      <c r="K122" s="302">
        <f>ROUND(F122*I122/12*J122*(1.19),2)</f>
        <v>0</v>
      </c>
    </row>
    <row r="123" spans="1:21" s="228" customFormat="1" ht="31.15" customHeight="1" x14ac:dyDescent="0.25">
      <c r="A123" s="212"/>
      <c r="B123" s="31"/>
      <c r="C123" s="208"/>
      <c r="D123" s="208"/>
      <c r="E123" s="208"/>
      <c r="F123" s="208"/>
      <c r="G123" s="208"/>
      <c r="H123" s="208"/>
      <c r="I123" s="208"/>
      <c r="J123" s="31"/>
      <c r="K123" s="222"/>
      <c r="M123" s="208"/>
      <c r="N123" s="208"/>
      <c r="O123" s="208"/>
      <c r="P123" s="208"/>
      <c r="Q123" s="208"/>
      <c r="R123" s="208"/>
      <c r="S123" s="208"/>
      <c r="T123" s="208"/>
      <c r="U123" s="208"/>
    </row>
    <row r="124" spans="1:21" x14ac:dyDescent="0.25">
      <c r="A124" s="255"/>
      <c r="B124" s="256"/>
      <c r="C124" s="532" t="s">
        <v>630</v>
      </c>
      <c r="D124" s="533"/>
      <c r="E124" s="533"/>
      <c r="F124" s="533"/>
      <c r="G124" s="533"/>
      <c r="H124" s="533"/>
      <c r="I124" s="533"/>
      <c r="J124" s="533"/>
      <c r="K124" s="257">
        <f>+SUM(K116:K122)*1.19</f>
        <v>1402914.2049999998</v>
      </c>
      <c r="M124" s="228"/>
      <c r="N124" s="228"/>
      <c r="O124" s="228"/>
      <c r="P124" s="228"/>
      <c r="Q124" s="228"/>
      <c r="R124" s="228"/>
      <c r="S124" s="228"/>
      <c r="T124" s="228"/>
      <c r="U124" s="228"/>
    </row>
    <row r="125" spans="1:21" s="228" customFormat="1" ht="11.25" x14ac:dyDescent="0.25">
      <c r="A125" s="255"/>
      <c r="B125" s="256"/>
      <c r="C125" s="525"/>
      <c r="D125" s="525"/>
      <c r="E125" s="525"/>
      <c r="F125" s="525"/>
      <c r="G125" s="525"/>
      <c r="H125" s="525"/>
      <c r="I125" s="525"/>
      <c r="J125" s="525"/>
      <c r="K125" s="526"/>
    </row>
    <row r="126" spans="1:21" s="228" customFormat="1" ht="11.25" x14ac:dyDescent="0.25">
      <c r="A126" s="255"/>
      <c r="B126" s="256"/>
      <c r="C126" s="305" t="s">
        <v>631</v>
      </c>
      <c r="D126" s="306"/>
      <c r="E126" s="306"/>
      <c r="F126" s="306"/>
      <c r="G126" s="306"/>
      <c r="H126" s="306"/>
      <c r="I126" s="260"/>
      <c r="J126" s="307"/>
      <c r="K126" s="257">
        <f>+K124+K112</f>
        <v>24067349.674499996</v>
      </c>
    </row>
    <row r="127" spans="1:21" s="228" customFormat="1" ht="13.7" customHeight="1" x14ac:dyDescent="0.25">
      <c r="A127" s="255"/>
      <c r="B127" s="256"/>
      <c r="C127" s="305" t="s">
        <v>632</v>
      </c>
      <c r="D127" s="306"/>
      <c r="E127" s="306"/>
      <c r="F127" s="306"/>
      <c r="G127" s="306"/>
      <c r="H127" s="306"/>
      <c r="I127" s="260"/>
      <c r="J127" s="307"/>
      <c r="K127" s="308">
        <f>+K126/E97</f>
        <v>0.12800952607713273</v>
      </c>
    </row>
    <row r="128" spans="1:21" s="228" customFormat="1" ht="13.7" customHeight="1" x14ac:dyDescent="0.25">
      <c r="A128" s="255"/>
      <c r="B128" s="256"/>
      <c r="C128" s="525"/>
      <c r="D128" s="525"/>
      <c r="E128" s="525"/>
      <c r="F128" s="525"/>
      <c r="G128" s="525"/>
      <c r="H128" s="525"/>
      <c r="I128" s="525"/>
      <c r="J128" s="525"/>
      <c r="K128" s="526"/>
    </row>
    <row r="129" spans="1:21" s="228" customFormat="1" ht="11.25" x14ac:dyDescent="0.25">
      <c r="A129" s="255"/>
      <c r="B129" s="256"/>
      <c r="C129" s="305" t="s">
        <v>633</v>
      </c>
      <c r="D129" s="306"/>
      <c r="E129" s="306"/>
      <c r="F129" s="306"/>
      <c r="G129" s="306"/>
      <c r="H129" s="306"/>
      <c r="I129" s="260"/>
      <c r="J129" s="307"/>
      <c r="K129" s="309">
        <f>ROUND(K127,4)</f>
        <v>0.128</v>
      </c>
    </row>
    <row r="130" spans="1:21" s="228" customFormat="1" ht="12.75" customHeight="1" x14ac:dyDescent="0.25">
      <c r="A130" s="310"/>
      <c r="B130" s="289"/>
      <c r="C130" s="305" t="s">
        <v>634</v>
      </c>
      <c r="D130" s="306"/>
      <c r="E130" s="306"/>
      <c r="F130" s="306"/>
      <c r="G130" s="306"/>
      <c r="H130" s="306"/>
      <c r="I130" s="260"/>
      <c r="J130" s="307"/>
      <c r="K130" s="311">
        <v>0.01</v>
      </c>
      <c r="M130" s="227"/>
      <c r="N130" s="227"/>
      <c r="O130" s="227"/>
      <c r="P130" s="227"/>
      <c r="Q130" s="227"/>
      <c r="R130" s="227"/>
      <c r="S130" s="227"/>
      <c r="T130" s="227"/>
      <c r="U130" s="227"/>
    </row>
    <row r="131" spans="1:21" s="227" customFormat="1" ht="12.75" customHeight="1" x14ac:dyDescent="0.25">
      <c r="A131" s="310"/>
      <c r="B131" s="289"/>
      <c r="C131" s="305" t="s">
        <v>635</v>
      </c>
      <c r="D131" s="306"/>
      <c r="E131" s="306"/>
      <c r="F131" s="306"/>
      <c r="G131" s="306"/>
      <c r="H131" s="306"/>
      <c r="I131" s="260"/>
      <c r="J131" s="307"/>
      <c r="K131" s="311">
        <v>4.4999999999999998E-2</v>
      </c>
    </row>
    <row r="132" spans="1:21" s="227" customFormat="1" ht="12.75" customHeight="1" x14ac:dyDescent="0.25">
      <c r="A132" s="255"/>
      <c r="B132" s="256"/>
      <c r="C132" s="525"/>
      <c r="D132" s="525"/>
      <c r="E132" s="525"/>
      <c r="F132" s="525"/>
      <c r="G132" s="525"/>
      <c r="H132" s="525"/>
      <c r="I132" s="525"/>
      <c r="J132" s="525"/>
      <c r="K132" s="526"/>
      <c r="M132" s="228"/>
      <c r="N132" s="228"/>
      <c r="O132" s="228"/>
      <c r="P132" s="228"/>
      <c r="Q132" s="228"/>
      <c r="R132" s="228"/>
      <c r="S132" s="228"/>
      <c r="T132" s="228"/>
      <c r="U132" s="228"/>
    </row>
    <row r="133" spans="1:21" s="228" customFormat="1" ht="13.5" thickBot="1" x14ac:dyDescent="0.3">
      <c r="A133" s="312"/>
      <c r="B133" s="313"/>
      <c r="C133" s="314" t="s">
        <v>636</v>
      </c>
      <c r="D133" s="315"/>
      <c r="E133" s="315"/>
      <c r="F133" s="315"/>
      <c r="G133" s="315"/>
      <c r="H133" s="315"/>
      <c r="I133" s="316"/>
      <c r="J133" s="317"/>
      <c r="K133" s="318">
        <f>+K129+K130+K131</f>
        <v>0.183</v>
      </c>
    </row>
    <row r="134" spans="1:21" s="228" customFormat="1" ht="17.45" customHeight="1" thickBot="1" x14ac:dyDescent="0.3">
      <c r="A134" s="31"/>
      <c r="B134" s="31"/>
      <c r="C134" s="208"/>
      <c r="D134" s="208"/>
      <c r="E134" s="208"/>
      <c r="F134" s="208"/>
      <c r="G134" s="208"/>
      <c r="H134" s="208"/>
      <c r="I134" s="208"/>
      <c r="J134" s="31"/>
      <c r="K134" s="208"/>
      <c r="U134" s="208"/>
    </row>
    <row r="135" spans="1:21" x14ac:dyDescent="0.25">
      <c r="A135" s="564" t="s">
        <v>554</v>
      </c>
      <c r="B135" s="565"/>
      <c r="C135" s="565"/>
      <c r="D135" s="565"/>
      <c r="E135" s="565"/>
      <c r="F135" s="565"/>
      <c r="G135" s="565"/>
      <c r="H135" s="565"/>
      <c r="I135" s="565"/>
      <c r="J135" s="565"/>
      <c r="K135" s="566"/>
      <c r="M135" s="228"/>
      <c r="N135" s="228"/>
      <c r="O135" s="228"/>
      <c r="P135" s="228"/>
      <c r="Q135" s="228"/>
      <c r="R135" s="228"/>
      <c r="S135" s="228"/>
      <c r="T135" s="228"/>
    </row>
    <row r="136" spans="1:21" x14ac:dyDescent="0.25">
      <c r="A136" s="567" t="s">
        <v>32</v>
      </c>
      <c r="B136" s="568"/>
      <c r="C136" s="568"/>
      <c r="D136" s="568"/>
      <c r="E136" s="568"/>
      <c r="F136" s="568"/>
      <c r="G136" s="568"/>
      <c r="H136" s="568"/>
      <c r="I136" s="568"/>
      <c r="J136" s="568"/>
      <c r="K136" s="569"/>
      <c r="M136" s="228"/>
      <c r="N136" s="228"/>
      <c r="O136" s="228"/>
      <c r="P136" s="228"/>
      <c r="Q136" s="228"/>
      <c r="R136" s="228"/>
      <c r="S136" s="228"/>
      <c r="T136" s="228"/>
    </row>
    <row r="137" spans="1:21" x14ac:dyDescent="0.25">
      <c r="A137" s="570" t="s">
        <v>639</v>
      </c>
      <c r="B137" s="571"/>
      <c r="C137" s="571"/>
      <c r="D137" s="571"/>
      <c r="E137" s="571"/>
      <c r="F137" s="571"/>
      <c r="G137" s="571"/>
      <c r="H137" s="571"/>
      <c r="I137" s="571"/>
      <c r="J137" s="571"/>
      <c r="K137" s="572"/>
      <c r="M137" s="228"/>
      <c r="N137" s="228"/>
      <c r="O137" s="228"/>
      <c r="P137" s="228"/>
      <c r="Q137" s="228"/>
      <c r="R137" s="228"/>
      <c r="S137" s="228"/>
      <c r="T137" s="228"/>
    </row>
    <row r="138" spans="1:21" ht="14.25" customHeight="1" thickBot="1" x14ac:dyDescent="0.3">
      <c r="A138" s="209"/>
      <c r="B138" s="210"/>
      <c r="C138" s="210"/>
      <c r="D138" s="210"/>
      <c r="E138" s="210"/>
      <c r="F138" s="210"/>
      <c r="G138" s="210"/>
      <c r="H138" s="210"/>
      <c r="I138" s="210"/>
      <c r="J138" s="36"/>
      <c r="K138" s="211"/>
      <c r="M138" s="228"/>
      <c r="N138" s="228"/>
      <c r="O138" s="228"/>
      <c r="P138" s="228"/>
      <c r="Q138" s="228"/>
      <c r="R138" s="228"/>
      <c r="S138" s="228"/>
      <c r="T138" s="228"/>
    </row>
    <row r="139" spans="1:21" x14ac:dyDescent="0.25">
      <c r="A139" s="212"/>
      <c r="B139" s="573" t="s">
        <v>640</v>
      </c>
      <c r="C139" s="574"/>
      <c r="D139" s="574"/>
      <c r="E139" s="575">
        <f>$S$10</f>
        <v>117330898</v>
      </c>
      <c r="F139" s="575"/>
      <c r="G139" s="576"/>
      <c r="I139" s="213" t="s">
        <v>557</v>
      </c>
      <c r="J139" s="577">
        <f>Base!$D$9</f>
        <v>44988</v>
      </c>
      <c r="K139" s="578"/>
      <c r="L139" s="210"/>
      <c r="M139" s="228"/>
      <c r="N139" s="228"/>
      <c r="O139" s="228"/>
      <c r="P139" s="228"/>
      <c r="Q139" s="228"/>
      <c r="R139" s="228"/>
      <c r="S139" s="228"/>
      <c r="T139" s="228"/>
    </row>
    <row r="140" spans="1:21" x14ac:dyDescent="0.25">
      <c r="A140" s="212"/>
      <c r="B140" s="553" t="s">
        <v>568</v>
      </c>
      <c r="C140" s="554"/>
      <c r="D140" s="554"/>
      <c r="E140" s="216">
        <f>DedicProfObr!$V$6</f>
        <v>6</v>
      </c>
      <c r="F140" s="555" t="s">
        <v>566</v>
      </c>
      <c r="G140" s="556"/>
      <c r="I140" s="217" t="s">
        <v>567</v>
      </c>
      <c r="J140" s="557" t="s">
        <v>32</v>
      </c>
      <c r="K140" s="558"/>
      <c r="M140" s="228"/>
      <c r="N140" s="228"/>
      <c r="O140" s="228"/>
      <c r="P140" s="228"/>
      <c r="Q140" s="228"/>
      <c r="R140" s="228"/>
      <c r="S140" s="228"/>
      <c r="T140" s="228"/>
    </row>
    <row r="141" spans="1:21" ht="16.350000000000001" customHeight="1" x14ac:dyDescent="0.25">
      <c r="A141" s="212"/>
      <c r="B141" s="553" t="s">
        <v>565</v>
      </c>
      <c r="C141" s="554"/>
      <c r="D141" s="554"/>
      <c r="E141" s="216">
        <f>DedicProfObr!$U$6</f>
        <v>1</v>
      </c>
      <c r="F141" s="554" t="s">
        <v>566</v>
      </c>
      <c r="G141" s="559"/>
      <c r="K141" s="222"/>
      <c r="M141" s="228"/>
      <c r="N141" s="228"/>
      <c r="O141" s="228"/>
      <c r="P141" s="228"/>
      <c r="Q141" s="228"/>
      <c r="R141" s="228"/>
      <c r="S141" s="228"/>
      <c r="T141" s="228"/>
    </row>
    <row r="142" spans="1:21" ht="15.6" customHeight="1" thickBot="1" x14ac:dyDescent="0.3">
      <c r="A142" s="212"/>
      <c r="B142" s="560" t="s">
        <v>569</v>
      </c>
      <c r="C142" s="561"/>
      <c r="D142" s="561"/>
      <c r="E142" s="225">
        <f>DedicProfObr!$W$6</f>
        <v>0</v>
      </c>
      <c r="F142" s="562" t="s">
        <v>566</v>
      </c>
      <c r="G142" s="563"/>
      <c r="K142" s="222"/>
      <c r="M142" s="228"/>
      <c r="N142" s="228"/>
      <c r="O142" s="228"/>
      <c r="P142" s="228"/>
      <c r="Q142" s="228"/>
      <c r="R142" s="228"/>
      <c r="S142" s="228"/>
      <c r="T142" s="228"/>
    </row>
    <row r="143" spans="1:21" x14ac:dyDescent="0.25">
      <c r="A143" s="212"/>
      <c r="K143" s="222"/>
      <c r="M143" s="228"/>
      <c r="N143" s="228"/>
      <c r="O143" s="228"/>
      <c r="P143" s="228"/>
      <c r="Q143" s="228"/>
      <c r="R143" s="228"/>
      <c r="S143" s="228"/>
      <c r="T143" s="228"/>
    </row>
    <row r="144" spans="1:21" ht="7.5" customHeight="1" x14ac:dyDescent="0.25">
      <c r="A144" s="288"/>
      <c r="B144" s="549" t="s">
        <v>605</v>
      </c>
      <c r="C144" s="549"/>
      <c r="D144" s="549"/>
      <c r="E144" s="549"/>
      <c r="F144" s="549"/>
      <c r="G144" s="549"/>
      <c r="H144" s="549"/>
      <c r="I144" s="549"/>
      <c r="J144" s="549"/>
      <c r="K144" s="550"/>
      <c r="M144" s="228"/>
      <c r="N144" s="228"/>
      <c r="O144" s="228"/>
      <c r="P144" s="228"/>
      <c r="Q144" s="228"/>
      <c r="R144" s="228"/>
      <c r="S144" s="228"/>
      <c r="T144" s="228"/>
      <c r="U144" s="228"/>
    </row>
    <row r="145" spans="1:21" s="228" customFormat="1" ht="12.75" customHeight="1" x14ac:dyDescent="0.25">
      <c r="A145" s="255"/>
      <c r="B145" s="261">
        <v>3.1</v>
      </c>
      <c r="C145" s="551" t="s">
        <v>606</v>
      </c>
      <c r="D145" s="551"/>
      <c r="E145" s="551"/>
      <c r="F145" s="551"/>
      <c r="G145" s="551"/>
      <c r="H145" s="551"/>
      <c r="I145" s="551"/>
      <c r="J145" s="551"/>
      <c r="K145" s="552"/>
      <c r="U145" s="289"/>
    </row>
    <row r="146" spans="1:21" s="289" customFormat="1" ht="11.25" x14ac:dyDescent="0.25">
      <c r="A146" s="255"/>
      <c r="B146" s="142" t="s">
        <v>449</v>
      </c>
      <c r="C146" s="521" t="s">
        <v>43</v>
      </c>
      <c r="D146" s="522"/>
      <c r="E146" s="290"/>
      <c r="F146" s="291"/>
      <c r="G146" s="231"/>
      <c r="H146" s="291"/>
      <c r="I146" s="521" t="s">
        <v>607</v>
      </c>
      <c r="J146" s="522"/>
      <c r="K146" s="292" t="s">
        <v>594</v>
      </c>
      <c r="M146" s="228"/>
      <c r="N146" s="228"/>
      <c r="O146" s="228"/>
      <c r="P146" s="228"/>
      <c r="Q146" s="228"/>
      <c r="R146" s="228"/>
      <c r="S146" s="228"/>
      <c r="T146" s="228"/>
    </row>
    <row r="147" spans="1:21" s="289" customFormat="1" ht="22.7" customHeight="1" x14ac:dyDescent="0.25">
      <c r="A147" s="255"/>
      <c r="B147" s="179">
        <v>3.101</v>
      </c>
      <c r="C147" s="293" t="s">
        <v>608</v>
      </c>
      <c r="D147" s="294"/>
      <c r="E147" s="294"/>
      <c r="F147" s="294"/>
      <c r="G147" s="294"/>
      <c r="H147" s="294"/>
      <c r="I147" s="547">
        <v>0.05</v>
      </c>
      <c r="J147" s="548"/>
      <c r="K147" s="295">
        <f>I147*$P$10</f>
        <v>6940122.6000000006</v>
      </c>
      <c r="M147" s="228"/>
      <c r="N147" s="228"/>
      <c r="O147" s="228"/>
      <c r="P147" s="228"/>
      <c r="Q147" s="228"/>
      <c r="R147" s="228"/>
      <c r="S147" s="228"/>
      <c r="T147" s="228"/>
      <c r="U147" s="228"/>
    </row>
    <row r="148" spans="1:21" s="228" customFormat="1" ht="11.25" x14ac:dyDescent="0.25">
      <c r="A148" s="255"/>
      <c r="B148" s="179">
        <v>3.1019999999999999</v>
      </c>
      <c r="C148" s="293" t="s">
        <v>609</v>
      </c>
      <c r="D148" s="294"/>
      <c r="E148" s="294"/>
      <c r="F148" s="294"/>
      <c r="G148" s="294"/>
      <c r="H148" s="294"/>
      <c r="I148" s="547">
        <v>6.9000000000000008E-3</v>
      </c>
      <c r="J148" s="548"/>
      <c r="K148" s="295">
        <f t="shared" ref="K148:K153" si="6">I148*$P$10</f>
        <v>957736.9188000001</v>
      </c>
    </row>
    <row r="149" spans="1:21" s="228" customFormat="1" ht="11.25" x14ac:dyDescent="0.25">
      <c r="A149" s="255"/>
      <c r="B149" s="179">
        <v>3.1029999999999998</v>
      </c>
      <c r="C149" s="293" t="s">
        <v>610</v>
      </c>
      <c r="D149" s="294"/>
      <c r="E149" s="294"/>
      <c r="F149" s="294"/>
      <c r="G149" s="294"/>
      <c r="H149" s="294"/>
      <c r="I149" s="547">
        <v>4.0000000000000001E-3</v>
      </c>
      <c r="J149" s="548"/>
      <c r="K149" s="295">
        <f t="shared" si="6"/>
        <v>555209.80799999996</v>
      </c>
    </row>
    <row r="150" spans="1:21" s="228" customFormat="1" ht="11.25" x14ac:dyDescent="0.25">
      <c r="A150" s="255"/>
      <c r="B150" s="179">
        <v>3.1039999999999996</v>
      </c>
      <c r="C150" s="293" t="s">
        <v>611</v>
      </c>
      <c r="D150" s="294"/>
      <c r="E150" s="294"/>
      <c r="F150" s="294"/>
      <c r="G150" s="294"/>
      <c r="H150" s="294"/>
      <c r="I150" s="547">
        <v>1.0999999999999999E-2</v>
      </c>
      <c r="J150" s="548"/>
      <c r="K150" s="295">
        <f t="shared" si="6"/>
        <v>1526826.9719999998</v>
      </c>
    </row>
    <row r="151" spans="1:21" s="228" customFormat="1" ht="11.25" x14ac:dyDescent="0.25">
      <c r="A151" s="255"/>
      <c r="B151" s="179">
        <v>3.1049999999999995</v>
      </c>
      <c r="C151" s="293" t="s">
        <v>612</v>
      </c>
      <c r="D151" s="294"/>
      <c r="E151" s="294"/>
      <c r="F151" s="294"/>
      <c r="G151" s="294"/>
      <c r="H151" s="294"/>
      <c r="I151" s="547">
        <v>5.0000000000000001E-3</v>
      </c>
      <c r="J151" s="548"/>
      <c r="K151" s="295">
        <f t="shared" si="6"/>
        <v>694012.26</v>
      </c>
    </row>
    <row r="152" spans="1:21" s="228" customFormat="1" ht="11.25" x14ac:dyDescent="0.25">
      <c r="A152" s="255"/>
      <c r="B152" s="179">
        <v>3.1059999999999994</v>
      </c>
      <c r="C152" s="293" t="s">
        <v>613</v>
      </c>
      <c r="D152" s="294"/>
      <c r="E152" s="294"/>
      <c r="F152" s="294"/>
      <c r="G152" s="294"/>
      <c r="H152" s="294"/>
      <c r="I152" s="547">
        <v>0.02</v>
      </c>
      <c r="J152" s="548"/>
      <c r="K152" s="295">
        <f t="shared" si="6"/>
        <v>2776049.04</v>
      </c>
    </row>
    <row r="153" spans="1:21" s="228" customFormat="1" ht="11.25" customHeight="1" x14ac:dyDescent="0.25">
      <c r="A153" s="255"/>
      <c r="B153" s="179">
        <v>3.1069999999999993</v>
      </c>
      <c r="C153" s="293" t="s">
        <v>614</v>
      </c>
      <c r="D153" s="294"/>
      <c r="E153" s="294"/>
      <c r="F153" s="294"/>
      <c r="G153" s="294"/>
      <c r="H153" s="294"/>
      <c r="I153" s="547">
        <v>5.0000000000000001E-3</v>
      </c>
      <c r="J153" s="548"/>
      <c r="K153" s="295">
        <f t="shared" si="6"/>
        <v>694012.26</v>
      </c>
    </row>
    <row r="154" spans="1:21" s="228" customFormat="1" ht="11.25" x14ac:dyDescent="0.25">
      <c r="A154" s="255"/>
      <c r="B154" s="256"/>
      <c r="C154" s="532" t="s">
        <v>615</v>
      </c>
      <c r="D154" s="533"/>
      <c r="E154" s="533"/>
      <c r="F154" s="533"/>
      <c r="G154" s="533"/>
      <c r="H154" s="533"/>
      <c r="I154" s="533"/>
      <c r="J154" s="533"/>
      <c r="K154" s="257">
        <f>+SUM(K147:K153)</f>
        <v>14143969.8588</v>
      </c>
    </row>
    <row r="155" spans="1:21" s="228" customFormat="1" ht="11.25" x14ac:dyDescent="0.25">
      <c r="A155" s="255"/>
      <c r="B155" s="256"/>
      <c r="C155" s="296"/>
      <c r="D155" s="296"/>
      <c r="E155" s="296"/>
      <c r="F155" s="296"/>
      <c r="G155" s="296"/>
      <c r="H155" s="296"/>
      <c r="I155" s="296"/>
      <c r="J155" s="297"/>
      <c r="K155" s="298"/>
    </row>
    <row r="156" spans="1:21" s="228" customFormat="1" ht="11.25" x14ac:dyDescent="0.25">
      <c r="A156" s="255"/>
      <c r="B156" s="261">
        <v>3.2</v>
      </c>
      <c r="C156" s="541" t="s">
        <v>616</v>
      </c>
      <c r="D156" s="541"/>
      <c r="E156" s="541"/>
      <c r="F156" s="541"/>
      <c r="G156" s="541"/>
      <c r="H156" s="541"/>
      <c r="I156" s="541"/>
      <c r="J156" s="541"/>
      <c r="K156" s="542"/>
    </row>
    <row r="157" spans="1:21" s="228" customFormat="1" ht="33.75" x14ac:dyDescent="0.25">
      <c r="A157" s="255"/>
      <c r="B157" s="142" t="s">
        <v>449</v>
      </c>
      <c r="C157" s="543" t="s">
        <v>43</v>
      </c>
      <c r="D157" s="543"/>
      <c r="E157" s="543"/>
      <c r="F157" s="543" t="s">
        <v>617</v>
      </c>
      <c r="G157" s="543"/>
      <c r="H157" s="142" t="s">
        <v>618</v>
      </c>
      <c r="I157" s="142" t="s">
        <v>619</v>
      </c>
      <c r="J157" s="142" t="s">
        <v>620</v>
      </c>
      <c r="K157" s="292" t="s">
        <v>594</v>
      </c>
      <c r="M157" s="227"/>
      <c r="N157" s="227"/>
      <c r="O157" s="227"/>
      <c r="P157" s="227"/>
      <c r="Q157" s="227"/>
      <c r="R157" s="227"/>
      <c r="S157" s="227"/>
      <c r="T157" s="227"/>
      <c r="U157" s="227"/>
    </row>
    <row r="158" spans="1:21" s="227" customFormat="1" ht="11.25" x14ac:dyDescent="0.25">
      <c r="A158" s="255"/>
      <c r="B158" s="179">
        <v>3.2010000000000001</v>
      </c>
      <c r="C158" s="536" t="s">
        <v>621</v>
      </c>
      <c r="D158" s="536"/>
      <c r="E158" s="544" t="s">
        <v>622</v>
      </c>
      <c r="F158" s="527">
        <f>$P$10</f>
        <v>138802452</v>
      </c>
      <c r="G158" s="527"/>
      <c r="H158" s="299">
        <v>0.3</v>
      </c>
      <c r="I158" s="300">
        <f>SUM($E$7:$E$9)+6</f>
        <v>13</v>
      </c>
      <c r="J158" s="301">
        <v>2E-3</v>
      </c>
      <c r="K158" s="302">
        <f>ROUND(F158*H158*I158/12*J158*(1.19),2)</f>
        <v>107363.7</v>
      </c>
      <c r="M158" s="228"/>
      <c r="N158" s="228"/>
      <c r="O158" s="228"/>
      <c r="P158" s="228"/>
      <c r="Q158" s="228"/>
      <c r="R158" s="228"/>
      <c r="S158" s="228"/>
      <c r="T158" s="228"/>
      <c r="U158" s="228"/>
    </row>
    <row r="159" spans="1:21" s="228" customFormat="1" ht="11.25" x14ac:dyDescent="0.25">
      <c r="A159" s="255"/>
      <c r="B159" s="534">
        <v>3.202</v>
      </c>
      <c r="C159" s="536" t="s">
        <v>623</v>
      </c>
      <c r="D159" s="264" t="s">
        <v>624</v>
      </c>
      <c r="E159" s="544"/>
      <c r="F159" s="531">
        <f>ROUND(D160*$P$10,0)</f>
        <v>0</v>
      </c>
      <c r="G159" s="531"/>
      <c r="H159" s="537">
        <v>1</v>
      </c>
      <c r="I159" s="538">
        <f>SUM($E$7:$E$9)+6</f>
        <v>13</v>
      </c>
      <c r="J159" s="540">
        <v>2E-3</v>
      </c>
      <c r="K159" s="545">
        <f>ROUND(F159*H159*I159/12*J159*(1.19),2)</f>
        <v>0</v>
      </c>
    </row>
    <row r="160" spans="1:21" s="228" customFormat="1" ht="11.25" x14ac:dyDescent="0.25">
      <c r="A160" s="255"/>
      <c r="B160" s="535"/>
      <c r="C160" s="536"/>
      <c r="D160" s="303">
        <f>$D$77</f>
        <v>0</v>
      </c>
      <c r="E160" s="544"/>
      <c r="F160" s="531"/>
      <c r="G160" s="531"/>
      <c r="H160" s="537"/>
      <c r="I160" s="539"/>
      <c r="J160" s="540"/>
      <c r="K160" s="546"/>
    </row>
    <row r="161" spans="1:21" s="228" customFormat="1" ht="11.25" x14ac:dyDescent="0.25">
      <c r="A161" s="255"/>
      <c r="B161" s="179">
        <v>3.2029999999999998</v>
      </c>
      <c r="C161" s="536" t="s">
        <v>625</v>
      </c>
      <c r="D161" s="536"/>
      <c r="E161" s="544"/>
      <c r="F161" s="527">
        <f>$P$10</f>
        <v>138802452</v>
      </c>
      <c r="G161" s="527"/>
      <c r="H161" s="299">
        <v>0.1</v>
      </c>
      <c r="I161" s="300">
        <f>SUM($E$7:$E$9)+3*12</f>
        <v>43</v>
      </c>
      <c r="J161" s="301">
        <v>2E-3</v>
      </c>
      <c r="K161" s="302">
        <f>ROUND(F161*H161*I161/12*J161*(1.19),2)</f>
        <v>118375.36</v>
      </c>
    </row>
    <row r="162" spans="1:21" s="228" customFormat="1" ht="11.25" x14ac:dyDescent="0.25">
      <c r="A162" s="255"/>
      <c r="B162" s="179">
        <v>3.2039999999999997</v>
      </c>
      <c r="C162" s="536" t="s">
        <v>626</v>
      </c>
      <c r="D162" s="536"/>
      <c r="E162" s="544"/>
      <c r="F162" s="527">
        <f>$P$10</f>
        <v>138802452</v>
      </c>
      <c r="G162" s="527"/>
      <c r="H162" s="299">
        <v>0.3</v>
      </c>
      <c r="I162" s="300">
        <f>5*12</f>
        <v>60</v>
      </c>
      <c r="J162" s="301">
        <v>2E-3</v>
      </c>
      <c r="K162" s="302">
        <f>ROUND(F162*H162*I162/12*J162*(1.19),2)</f>
        <v>495524.75</v>
      </c>
    </row>
    <row r="163" spans="1:21" s="228" customFormat="1" ht="11.25" x14ac:dyDescent="0.25">
      <c r="A163" s="255"/>
      <c r="B163" s="179">
        <v>3.2059999999999995</v>
      </c>
      <c r="C163" s="528" t="s">
        <v>627</v>
      </c>
      <c r="D163" s="528"/>
      <c r="E163" s="529" t="s">
        <v>628</v>
      </c>
      <c r="F163" s="527">
        <f>$P$10</f>
        <v>138802452</v>
      </c>
      <c r="G163" s="527"/>
      <c r="H163" s="299">
        <v>0.05</v>
      </c>
      <c r="I163" s="300">
        <f>SUM($E$7:$E$9)</f>
        <v>7</v>
      </c>
      <c r="J163" s="301">
        <v>3.0000000000000001E-3</v>
      </c>
      <c r="K163" s="302">
        <f>ROUND(F163*H163*I163/12*J163*(1.19),2)</f>
        <v>14452.81</v>
      </c>
    </row>
    <row r="164" spans="1:21" s="228" customFormat="1" ht="22.5" x14ac:dyDescent="0.25">
      <c r="A164" s="255"/>
      <c r="B164" s="179">
        <v>3.2069999999999994</v>
      </c>
      <c r="C164" s="304" t="s">
        <v>629</v>
      </c>
      <c r="D164" s="304">
        <v>0</v>
      </c>
      <c r="E164" s="530"/>
      <c r="F164" s="531">
        <f>D164*Base!$G$9</f>
        <v>0</v>
      </c>
      <c r="G164" s="531"/>
      <c r="H164" s="299" t="str">
        <f>D164&amp;" SMMLV"</f>
        <v>0 SMMLV</v>
      </c>
      <c r="I164" s="300">
        <f>SUM($E$7:$E$9)</f>
        <v>7</v>
      </c>
      <c r="J164" s="301">
        <v>3.0000000000000001E-3</v>
      </c>
      <c r="K164" s="302">
        <f>ROUND(F164*I164/12*J164*(1.19),2)</f>
        <v>0</v>
      </c>
    </row>
    <row r="165" spans="1:21" s="228" customFormat="1" ht="31.15" customHeight="1" x14ac:dyDescent="0.25">
      <c r="A165" s="212"/>
      <c r="B165" s="31"/>
      <c r="C165" s="208"/>
      <c r="D165" s="208"/>
      <c r="E165" s="208"/>
      <c r="F165" s="208"/>
      <c r="G165" s="208"/>
      <c r="H165" s="208"/>
      <c r="I165" s="208"/>
      <c r="J165" s="31"/>
      <c r="K165" s="222"/>
      <c r="M165" s="208"/>
      <c r="N165" s="208"/>
      <c r="O165" s="208"/>
      <c r="P165" s="208"/>
      <c r="Q165" s="208"/>
      <c r="R165" s="208"/>
      <c r="S165" s="208"/>
      <c r="T165" s="208"/>
      <c r="U165" s="208"/>
    </row>
    <row r="166" spans="1:21" x14ac:dyDescent="0.25">
      <c r="A166" s="255"/>
      <c r="B166" s="256"/>
      <c r="C166" s="532" t="s">
        <v>630</v>
      </c>
      <c r="D166" s="533"/>
      <c r="E166" s="533"/>
      <c r="F166" s="533"/>
      <c r="G166" s="533"/>
      <c r="H166" s="533"/>
      <c r="I166" s="533"/>
      <c r="J166" s="533"/>
      <c r="K166" s="257">
        <f>+SUM(K158:K164)*1.19</f>
        <v>875502.77780000004</v>
      </c>
      <c r="M166" s="228"/>
      <c r="N166" s="228"/>
      <c r="O166" s="228"/>
      <c r="P166" s="228"/>
      <c r="Q166" s="228"/>
      <c r="R166" s="228"/>
      <c r="S166" s="228"/>
      <c r="T166" s="228"/>
      <c r="U166" s="228"/>
    </row>
    <row r="167" spans="1:21" s="228" customFormat="1" ht="11.25" x14ac:dyDescent="0.25">
      <c r="A167" s="255"/>
      <c r="B167" s="256"/>
      <c r="C167" s="525"/>
      <c r="D167" s="525"/>
      <c r="E167" s="525"/>
      <c r="F167" s="525"/>
      <c r="G167" s="525"/>
      <c r="H167" s="525"/>
      <c r="I167" s="525"/>
      <c r="J167" s="525"/>
      <c r="K167" s="526"/>
    </row>
    <row r="168" spans="1:21" s="228" customFormat="1" ht="11.25" x14ac:dyDescent="0.25">
      <c r="A168" s="255"/>
      <c r="B168" s="256"/>
      <c r="C168" s="305" t="s">
        <v>631</v>
      </c>
      <c r="D168" s="306"/>
      <c r="E168" s="306"/>
      <c r="F168" s="306"/>
      <c r="G168" s="306"/>
      <c r="H168" s="306"/>
      <c r="I168" s="260"/>
      <c r="J168" s="307"/>
      <c r="K168" s="257">
        <f>+K166+K154</f>
        <v>15019472.636599999</v>
      </c>
    </row>
    <row r="169" spans="1:21" s="228" customFormat="1" ht="13.7" customHeight="1" x14ac:dyDescent="0.25">
      <c r="A169" s="255"/>
      <c r="B169" s="256"/>
      <c r="C169" s="305" t="s">
        <v>632</v>
      </c>
      <c r="D169" s="306"/>
      <c r="E169" s="306"/>
      <c r="F169" s="306"/>
      <c r="G169" s="306"/>
      <c r="H169" s="306"/>
      <c r="I169" s="260"/>
      <c r="J169" s="307"/>
      <c r="K169" s="308">
        <f>+K168/E139</f>
        <v>0.12800952598692289</v>
      </c>
    </row>
    <row r="170" spans="1:21" s="228" customFormat="1" ht="13.7" customHeight="1" x14ac:dyDescent="0.25">
      <c r="A170" s="255"/>
      <c r="B170" s="256"/>
      <c r="C170" s="525"/>
      <c r="D170" s="525"/>
      <c r="E170" s="525"/>
      <c r="F170" s="525"/>
      <c r="G170" s="525"/>
      <c r="H170" s="525"/>
      <c r="I170" s="525"/>
      <c r="J170" s="525"/>
      <c r="K170" s="526"/>
    </row>
    <row r="171" spans="1:21" s="228" customFormat="1" ht="11.25" x14ac:dyDescent="0.25">
      <c r="A171" s="255"/>
      <c r="B171" s="256"/>
      <c r="C171" s="305" t="s">
        <v>633</v>
      </c>
      <c r="D171" s="306"/>
      <c r="E171" s="306"/>
      <c r="F171" s="306"/>
      <c r="G171" s="306"/>
      <c r="H171" s="306"/>
      <c r="I171" s="260"/>
      <c r="J171" s="307"/>
      <c r="K171" s="309">
        <f>ROUND(K169,4)</f>
        <v>0.128</v>
      </c>
    </row>
    <row r="172" spans="1:21" s="228" customFormat="1" ht="12.75" customHeight="1" x14ac:dyDescent="0.25">
      <c r="A172" s="310"/>
      <c r="B172" s="289"/>
      <c r="C172" s="305" t="s">
        <v>634</v>
      </c>
      <c r="D172" s="306"/>
      <c r="E172" s="306"/>
      <c r="F172" s="306"/>
      <c r="G172" s="306"/>
      <c r="H172" s="306"/>
      <c r="I172" s="260"/>
      <c r="J172" s="307"/>
      <c r="K172" s="311">
        <v>0.01</v>
      </c>
      <c r="M172" s="227"/>
      <c r="N172" s="227"/>
      <c r="O172" s="227"/>
      <c r="P172" s="227"/>
      <c r="Q172" s="227"/>
      <c r="R172" s="227"/>
      <c r="S172" s="227"/>
      <c r="T172" s="227"/>
      <c r="U172" s="227"/>
    </row>
    <row r="173" spans="1:21" s="227" customFormat="1" ht="12.75" customHeight="1" x14ac:dyDescent="0.25">
      <c r="A173" s="310"/>
      <c r="B173" s="289"/>
      <c r="C173" s="305" t="s">
        <v>635</v>
      </c>
      <c r="D173" s="306"/>
      <c r="E173" s="306"/>
      <c r="F173" s="306"/>
      <c r="G173" s="306"/>
      <c r="H173" s="306"/>
      <c r="I173" s="260"/>
      <c r="J173" s="307"/>
      <c r="K173" s="311">
        <v>4.4999999999999998E-2</v>
      </c>
    </row>
    <row r="174" spans="1:21" s="227" customFormat="1" ht="12.75" customHeight="1" x14ac:dyDescent="0.25">
      <c r="A174" s="255"/>
      <c r="B174" s="256"/>
      <c r="C174" s="525"/>
      <c r="D174" s="525"/>
      <c r="E174" s="525"/>
      <c r="F174" s="525"/>
      <c r="G174" s="525"/>
      <c r="H174" s="525"/>
      <c r="I174" s="525"/>
      <c r="J174" s="525"/>
      <c r="K174" s="526"/>
      <c r="M174" s="228"/>
      <c r="N174" s="228"/>
      <c r="O174" s="228"/>
      <c r="P174" s="228"/>
      <c r="Q174" s="228"/>
      <c r="R174" s="228"/>
      <c r="S174" s="228"/>
      <c r="T174" s="228"/>
      <c r="U174" s="228"/>
    </row>
    <row r="175" spans="1:21" s="228" customFormat="1" ht="13.5" thickBot="1" x14ac:dyDescent="0.3">
      <c r="A175" s="312"/>
      <c r="B175" s="313"/>
      <c r="C175" s="314" t="s">
        <v>636</v>
      </c>
      <c r="D175" s="315"/>
      <c r="E175" s="315"/>
      <c r="F175" s="315"/>
      <c r="G175" s="315"/>
      <c r="H175" s="315"/>
      <c r="I175" s="316"/>
      <c r="J175" s="317"/>
      <c r="K175" s="318">
        <f>+K171+K172+K173</f>
        <v>0.183</v>
      </c>
    </row>
    <row r="176" spans="1:21" s="228" customFormat="1" ht="17.45" customHeight="1" thickBot="1" x14ac:dyDescent="0.3">
      <c r="A176" s="31"/>
      <c r="B176" s="31"/>
      <c r="C176" s="208"/>
      <c r="D176" s="208"/>
      <c r="E176" s="208"/>
      <c r="F176" s="208"/>
      <c r="G176" s="208"/>
      <c r="H176" s="208"/>
      <c r="I176" s="208"/>
      <c r="J176" s="31"/>
      <c r="K176" s="208"/>
      <c r="U176" s="208"/>
    </row>
    <row r="177" spans="1:21" x14ac:dyDescent="0.25">
      <c r="A177" s="564" t="s">
        <v>554</v>
      </c>
      <c r="B177" s="565"/>
      <c r="C177" s="565"/>
      <c r="D177" s="565"/>
      <c r="E177" s="565"/>
      <c r="F177" s="565"/>
      <c r="G177" s="565"/>
      <c r="H177" s="565"/>
      <c r="I177" s="565"/>
      <c r="J177" s="565"/>
      <c r="K177" s="566"/>
      <c r="M177" s="228"/>
      <c r="N177" s="228"/>
      <c r="O177" s="228"/>
      <c r="P177" s="228"/>
      <c r="Q177" s="228"/>
      <c r="R177" s="228"/>
      <c r="S177" s="228"/>
      <c r="T177" s="228"/>
    </row>
    <row r="178" spans="1:21" x14ac:dyDescent="0.25">
      <c r="A178" s="567" t="s">
        <v>32</v>
      </c>
      <c r="B178" s="568"/>
      <c r="C178" s="568"/>
      <c r="D178" s="568"/>
      <c r="E178" s="568"/>
      <c r="F178" s="568"/>
      <c r="G178" s="568"/>
      <c r="H178" s="568"/>
      <c r="I178" s="568"/>
      <c r="J178" s="568"/>
      <c r="K178" s="569"/>
      <c r="M178" s="228"/>
      <c r="N178" s="228"/>
      <c r="O178" s="228"/>
      <c r="P178" s="228"/>
      <c r="Q178" s="228"/>
      <c r="R178" s="228"/>
      <c r="S178" s="228"/>
      <c r="T178" s="228"/>
    </row>
    <row r="179" spans="1:21" x14ac:dyDescent="0.25">
      <c r="A179" s="570" t="s">
        <v>639</v>
      </c>
      <c r="B179" s="571"/>
      <c r="C179" s="571"/>
      <c r="D179" s="571"/>
      <c r="E179" s="571"/>
      <c r="F179" s="571"/>
      <c r="G179" s="571"/>
      <c r="H179" s="571"/>
      <c r="I179" s="571"/>
      <c r="J179" s="571"/>
      <c r="K179" s="572"/>
      <c r="M179" s="228"/>
      <c r="N179" s="228"/>
      <c r="O179" s="228"/>
      <c r="P179" s="228"/>
      <c r="Q179" s="228"/>
      <c r="R179" s="228"/>
      <c r="S179" s="228"/>
      <c r="T179" s="228"/>
    </row>
    <row r="180" spans="1:21" ht="14.25" customHeight="1" thickBot="1" x14ac:dyDescent="0.3">
      <c r="A180" s="209"/>
      <c r="B180" s="210"/>
      <c r="C180" s="210"/>
      <c r="D180" s="210"/>
      <c r="E180" s="210"/>
      <c r="F180" s="210"/>
      <c r="G180" s="210"/>
      <c r="H180" s="210"/>
      <c r="I180" s="210"/>
      <c r="J180" s="36"/>
      <c r="K180" s="211"/>
      <c r="M180" s="228"/>
      <c r="N180" s="228"/>
      <c r="O180" s="228"/>
      <c r="P180" s="228"/>
      <c r="Q180" s="228"/>
      <c r="R180" s="228"/>
      <c r="S180" s="228"/>
      <c r="T180" s="228"/>
    </row>
    <row r="181" spans="1:21" x14ac:dyDescent="0.25">
      <c r="A181" s="212"/>
      <c r="B181" s="573" t="s">
        <v>640</v>
      </c>
      <c r="C181" s="574"/>
      <c r="D181" s="574"/>
      <c r="E181" s="575">
        <f>S11</f>
        <v>140981255</v>
      </c>
      <c r="F181" s="575"/>
      <c r="G181" s="576"/>
      <c r="I181" s="213" t="s">
        <v>557</v>
      </c>
      <c r="J181" s="577">
        <f>Base!$D$9</f>
        <v>44988</v>
      </c>
      <c r="K181" s="578"/>
      <c r="L181" s="210"/>
      <c r="M181" s="228"/>
      <c r="N181" s="228"/>
      <c r="O181" s="228"/>
      <c r="P181" s="228"/>
      <c r="Q181" s="228"/>
      <c r="R181" s="228"/>
      <c r="S181" s="228"/>
      <c r="T181" s="228"/>
    </row>
    <row r="182" spans="1:21" x14ac:dyDescent="0.25">
      <c r="A182" s="212"/>
      <c r="B182" s="553" t="s">
        <v>568</v>
      </c>
      <c r="C182" s="554"/>
      <c r="D182" s="554"/>
      <c r="E182" s="216">
        <f>DedicProfObr!$V$6</f>
        <v>6</v>
      </c>
      <c r="F182" s="555" t="s">
        <v>566</v>
      </c>
      <c r="G182" s="556"/>
      <c r="I182" s="217" t="s">
        <v>567</v>
      </c>
      <c r="J182" s="557" t="s">
        <v>32</v>
      </c>
      <c r="K182" s="558"/>
      <c r="M182" s="228"/>
      <c r="N182" s="228"/>
      <c r="O182" s="228"/>
      <c r="P182" s="228"/>
      <c r="Q182" s="228"/>
      <c r="R182" s="228"/>
      <c r="S182" s="228"/>
      <c r="T182" s="228"/>
    </row>
    <row r="183" spans="1:21" ht="16.350000000000001" customHeight="1" x14ac:dyDescent="0.25">
      <c r="A183" s="212"/>
      <c r="B183" s="553" t="s">
        <v>565</v>
      </c>
      <c r="C183" s="554"/>
      <c r="D183" s="554"/>
      <c r="E183" s="216">
        <f>DedicProfObr!$U$6</f>
        <v>1</v>
      </c>
      <c r="F183" s="554" t="s">
        <v>566</v>
      </c>
      <c r="G183" s="559"/>
      <c r="K183" s="222"/>
      <c r="M183" s="228"/>
      <c r="N183" s="228"/>
      <c r="O183" s="228"/>
      <c r="P183" s="228"/>
      <c r="Q183" s="228"/>
      <c r="R183" s="228"/>
      <c r="S183" s="228"/>
      <c r="T183" s="228"/>
    </row>
    <row r="184" spans="1:21" ht="15.6" customHeight="1" thickBot="1" x14ac:dyDescent="0.3">
      <c r="A184" s="212"/>
      <c r="B184" s="560" t="s">
        <v>569</v>
      </c>
      <c r="C184" s="561"/>
      <c r="D184" s="561"/>
      <c r="E184" s="225">
        <f>DedicProfObr!$W$6</f>
        <v>0</v>
      </c>
      <c r="F184" s="562" t="s">
        <v>566</v>
      </c>
      <c r="G184" s="563"/>
      <c r="K184" s="222"/>
      <c r="M184" s="228"/>
      <c r="N184" s="228"/>
      <c r="O184" s="228"/>
      <c r="P184" s="228"/>
      <c r="Q184" s="228"/>
      <c r="R184" s="228"/>
      <c r="S184" s="228"/>
      <c r="T184" s="228"/>
    </row>
    <row r="185" spans="1:21" x14ac:dyDescent="0.25">
      <c r="A185" s="212"/>
      <c r="K185" s="222"/>
      <c r="M185" s="228"/>
      <c r="N185" s="228"/>
      <c r="O185" s="228"/>
      <c r="P185" s="228"/>
      <c r="Q185" s="228"/>
      <c r="R185" s="228"/>
      <c r="S185" s="228"/>
      <c r="T185" s="228"/>
    </row>
    <row r="186" spans="1:21" ht="7.5" customHeight="1" x14ac:dyDescent="0.25">
      <c r="A186" s="288"/>
      <c r="B186" s="549" t="s">
        <v>605</v>
      </c>
      <c r="C186" s="549"/>
      <c r="D186" s="549"/>
      <c r="E186" s="549"/>
      <c r="F186" s="549"/>
      <c r="G186" s="549"/>
      <c r="H186" s="549"/>
      <c r="I186" s="549"/>
      <c r="J186" s="549"/>
      <c r="K186" s="550"/>
      <c r="M186" s="228"/>
      <c r="N186" s="228"/>
      <c r="O186" s="228"/>
      <c r="P186" s="228"/>
      <c r="Q186" s="228"/>
      <c r="R186" s="228"/>
      <c r="S186" s="228"/>
      <c r="T186" s="228"/>
      <c r="U186" s="228"/>
    </row>
    <row r="187" spans="1:21" s="228" customFormat="1" ht="12.75" customHeight="1" x14ac:dyDescent="0.25">
      <c r="A187" s="255"/>
      <c r="B187" s="261">
        <v>3.1</v>
      </c>
      <c r="C187" s="551" t="s">
        <v>606</v>
      </c>
      <c r="D187" s="551"/>
      <c r="E187" s="551"/>
      <c r="F187" s="551"/>
      <c r="G187" s="551"/>
      <c r="H187" s="551"/>
      <c r="I187" s="551"/>
      <c r="J187" s="551"/>
      <c r="K187" s="552"/>
      <c r="U187" s="289"/>
    </row>
    <row r="188" spans="1:21" s="289" customFormat="1" ht="11.25" x14ac:dyDescent="0.25">
      <c r="A188" s="255"/>
      <c r="B188" s="142" t="s">
        <v>449</v>
      </c>
      <c r="C188" s="521" t="s">
        <v>43</v>
      </c>
      <c r="D188" s="522"/>
      <c r="E188" s="290"/>
      <c r="F188" s="291"/>
      <c r="G188" s="231"/>
      <c r="H188" s="291"/>
      <c r="I188" s="521" t="s">
        <v>607</v>
      </c>
      <c r="J188" s="522"/>
      <c r="K188" s="292" t="s">
        <v>594</v>
      </c>
      <c r="M188" s="228"/>
      <c r="N188" s="228"/>
      <c r="O188" s="228"/>
      <c r="P188" s="228"/>
      <c r="Q188" s="228"/>
      <c r="R188" s="228"/>
      <c r="S188" s="228"/>
      <c r="T188" s="228"/>
    </row>
    <row r="189" spans="1:21" s="289" customFormat="1" ht="11.25" x14ac:dyDescent="0.25">
      <c r="A189" s="255"/>
      <c r="B189" s="179">
        <v>3.101</v>
      </c>
      <c r="C189" s="293" t="s">
        <v>608</v>
      </c>
      <c r="D189" s="294"/>
      <c r="E189" s="294"/>
      <c r="F189" s="294"/>
      <c r="G189" s="294"/>
      <c r="H189" s="294"/>
      <c r="I189" s="547">
        <v>0.05</v>
      </c>
      <c r="J189" s="548"/>
      <c r="K189" s="295">
        <f>I189*$P$11</f>
        <v>8339041.25</v>
      </c>
      <c r="M189" s="228"/>
      <c r="N189" s="228"/>
      <c r="O189" s="228"/>
      <c r="P189" s="228"/>
      <c r="Q189" s="228"/>
      <c r="R189" s="228"/>
      <c r="S189" s="228"/>
      <c r="T189" s="228"/>
      <c r="U189" s="228"/>
    </row>
    <row r="190" spans="1:21" s="228" customFormat="1" ht="11.25" x14ac:dyDescent="0.25">
      <c r="A190" s="255"/>
      <c r="B190" s="179">
        <v>3.1019999999999999</v>
      </c>
      <c r="C190" s="293" t="s">
        <v>609</v>
      </c>
      <c r="D190" s="294"/>
      <c r="E190" s="294"/>
      <c r="F190" s="294"/>
      <c r="G190" s="294"/>
      <c r="H190" s="294"/>
      <c r="I190" s="547">
        <v>6.9000000000000008E-3</v>
      </c>
      <c r="J190" s="548"/>
      <c r="K190" s="295">
        <f t="shared" ref="K190:K195" si="7">I190*$P$11</f>
        <v>1150787.6925000001</v>
      </c>
    </row>
    <row r="191" spans="1:21" s="228" customFormat="1" ht="11.25" x14ac:dyDescent="0.25">
      <c r="A191" s="255"/>
      <c r="B191" s="179">
        <v>3.1029999999999998</v>
      </c>
      <c r="C191" s="293" t="s">
        <v>610</v>
      </c>
      <c r="D191" s="294"/>
      <c r="E191" s="294"/>
      <c r="F191" s="294"/>
      <c r="G191" s="294"/>
      <c r="H191" s="294"/>
      <c r="I191" s="547">
        <v>4.0000000000000001E-3</v>
      </c>
      <c r="J191" s="548"/>
      <c r="K191" s="295">
        <f t="shared" si="7"/>
        <v>667123.30000000005</v>
      </c>
    </row>
    <row r="192" spans="1:21" s="228" customFormat="1" ht="11.25" x14ac:dyDescent="0.25">
      <c r="A192" s="255"/>
      <c r="B192" s="179">
        <v>3.1039999999999996</v>
      </c>
      <c r="C192" s="293" t="s">
        <v>611</v>
      </c>
      <c r="D192" s="294"/>
      <c r="E192" s="294"/>
      <c r="F192" s="294"/>
      <c r="G192" s="294"/>
      <c r="H192" s="294"/>
      <c r="I192" s="547">
        <v>1.0999999999999999E-2</v>
      </c>
      <c r="J192" s="548"/>
      <c r="K192" s="295">
        <f t="shared" si="7"/>
        <v>1834589.075</v>
      </c>
    </row>
    <row r="193" spans="1:21" s="228" customFormat="1" ht="11.25" x14ac:dyDescent="0.25">
      <c r="A193" s="255"/>
      <c r="B193" s="179">
        <v>3.1049999999999995</v>
      </c>
      <c r="C193" s="293" t="s">
        <v>612</v>
      </c>
      <c r="D193" s="294"/>
      <c r="E193" s="294"/>
      <c r="F193" s="294"/>
      <c r="G193" s="294"/>
      <c r="H193" s="294"/>
      <c r="I193" s="547">
        <v>5.0000000000000001E-3</v>
      </c>
      <c r="J193" s="548"/>
      <c r="K193" s="295">
        <f t="shared" si="7"/>
        <v>833904.125</v>
      </c>
    </row>
    <row r="194" spans="1:21" s="228" customFormat="1" ht="11.25" x14ac:dyDescent="0.25">
      <c r="A194" s="255"/>
      <c r="B194" s="179">
        <v>3.1059999999999994</v>
      </c>
      <c r="C194" s="293" t="s">
        <v>613</v>
      </c>
      <c r="D194" s="294"/>
      <c r="E194" s="294"/>
      <c r="F194" s="294"/>
      <c r="G194" s="294"/>
      <c r="H194" s="294"/>
      <c r="I194" s="547">
        <v>0.02</v>
      </c>
      <c r="J194" s="548"/>
      <c r="K194" s="295">
        <f t="shared" si="7"/>
        <v>3335616.5</v>
      </c>
    </row>
    <row r="195" spans="1:21" s="228" customFormat="1" ht="11.25" customHeight="1" x14ac:dyDescent="0.25">
      <c r="A195" s="255"/>
      <c r="B195" s="179">
        <v>3.1069999999999993</v>
      </c>
      <c r="C195" s="293" t="s">
        <v>614</v>
      </c>
      <c r="D195" s="294"/>
      <c r="E195" s="294"/>
      <c r="F195" s="294"/>
      <c r="G195" s="294"/>
      <c r="H195" s="294"/>
      <c r="I195" s="547">
        <v>5.0000000000000001E-3</v>
      </c>
      <c r="J195" s="548"/>
      <c r="K195" s="295">
        <f t="shared" si="7"/>
        <v>833904.125</v>
      </c>
    </row>
    <row r="196" spans="1:21" s="228" customFormat="1" ht="11.25" x14ac:dyDescent="0.25">
      <c r="A196" s="255"/>
      <c r="B196" s="256"/>
      <c r="C196" s="532" t="s">
        <v>615</v>
      </c>
      <c r="D196" s="533"/>
      <c r="E196" s="533"/>
      <c r="F196" s="533"/>
      <c r="G196" s="533"/>
      <c r="H196" s="533"/>
      <c r="I196" s="533"/>
      <c r="J196" s="533"/>
      <c r="K196" s="257">
        <f>+SUM(K189:K195)</f>
        <v>16994966.067500003</v>
      </c>
    </row>
    <row r="197" spans="1:21" s="228" customFormat="1" ht="11.25" x14ac:dyDescent="0.25">
      <c r="A197" s="255"/>
      <c r="B197" s="256"/>
      <c r="C197" s="296"/>
      <c r="D197" s="296"/>
      <c r="E197" s="296"/>
      <c r="F197" s="296"/>
      <c r="G197" s="296"/>
      <c r="H197" s="296"/>
      <c r="I197" s="296"/>
      <c r="J197" s="297"/>
      <c r="K197" s="298"/>
    </row>
    <row r="198" spans="1:21" s="228" customFormat="1" ht="11.25" x14ac:dyDescent="0.25">
      <c r="A198" s="255"/>
      <c r="B198" s="261">
        <v>3.2</v>
      </c>
      <c r="C198" s="541" t="s">
        <v>616</v>
      </c>
      <c r="D198" s="541"/>
      <c r="E198" s="541"/>
      <c r="F198" s="541"/>
      <c r="G198" s="541"/>
      <c r="H198" s="541"/>
      <c r="I198" s="541"/>
      <c r="J198" s="541"/>
      <c r="K198" s="542"/>
    </row>
    <row r="199" spans="1:21" s="228" customFormat="1" ht="33.75" x14ac:dyDescent="0.25">
      <c r="A199" s="255"/>
      <c r="B199" s="142" t="s">
        <v>449</v>
      </c>
      <c r="C199" s="543" t="s">
        <v>43</v>
      </c>
      <c r="D199" s="543"/>
      <c r="E199" s="543"/>
      <c r="F199" s="543" t="s">
        <v>617</v>
      </c>
      <c r="G199" s="543"/>
      <c r="H199" s="142" t="s">
        <v>618</v>
      </c>
      <c r="I199" s="142" t="s">
        <v>619</v>
      </c>
      <c r="J199" s="142" t="s">
        <v>620</v>
      </c>
      <c r="K199" s="292" t="s">
        <v>594</v>
      </c>
      <c r="M199" s="227"/>
      <c r="N199" s="227"/>
      <c r="O199" s="227"/>
      <c r="P199" s="227"/>
      <c r="Q199" s="227"/>
      <c r="R199" s="227"/>
      <c r="S199" s="227"/>
      <c r="T199" s="227"/>
      <c r="U199" s="227"/>
    </row>
    <row r="200" spans="1:21" s="227" customFormat="1" ht="11.25" x14ac:dyDescent="0.25">
      <c r="A200" s="255"/>
      <c r="B200" s="179">
        <v>3.2010000000000001</v>
      </c>
      <c r="C200" s="536" t="s">
        <v>621</v>
      </c>
      <c r="D200" s="536"/>
      <c r="E200" s="544" t="s">
        <v>622</v>
      </c>
      <c r="F200" s="527">
        <f>$P$11</f>
        <v>166780825</v>
      </c>
      <c r="G200" s="527"/>
      <c r="H200" s="299">
        <v>0.3</v>
      </c>
      <c r="I200" s="300">
        <f>SUM($E$7:$E$9)+6</f>
        <v>13</v>
      </c>
      <c r="J200" s="301">
        <v>2E-3</v>
      </c>
      <c r="K200" s="302">
        <f>ROUND(F200*H200*I200/12*J200*(1.19),2)</f>
        <v>129004.97</v>
      </c>
      <c r="M200" s="228"/>
      <c r="N200" s="228"/>
      <c r="O200" s="228"/>
      <c r="P200" s="228"/>
      <c r="Q200" s="228"/>
      <c r="R200" s="228"/>
      <c r="S200" s="228"/>
      <c r="T200" s="228"/>
      <c r="U200" s="228"/>
    </row>
    <row r="201" spans="1:21" s="228" customFormat="1" ht="12.75" customHeight="1" x14ac:dyDescent="0.25">
      <c r="A201" s="255"/>
      <c r="B201" s="534">
        <v>3.202</v>
      </c>
      <c r="C201" s="536" t="s">
        <v>623</v>
      </c>
      <c r="D201" s="264" t="s">
        <v>624</v>
      </c>
      <c r="E201" s="544"/>
      <c r="F201" s="531">
        <f>ROUND(D202*$P$11,0)</f>
        <v>0</v>
      </c>
      <c r="G201" s="531"/>
      <c r="H201" s="537">
        <v>1</v>
      </c>
      <c r="I201" s="538">
        <f>SUM($E$7:$E$9)+6</f>
        <v>13</v>
      </c>
      <c r="J201" s="540">
        <v>2E-3</v>
      </c>
      <c r="K201" s="545">
        <f>ROUND(F201*H201*I201/12*J201*(1.19),2)</f>
        <v>0</v>
      </c>
    </row>
    <row r="202" spans="1:21" s="228" customFormat="1" ht="12.75" customHeight="1" x14ac:dyDescent="0.25">
      <c r="A202" s="255"/>
      <c r="B202" s="535"/>
      <c r="C202" s="536"/>
      <c r="D202" s="303">
        <f>$D$77</f>
        <v>0</v>
      </c>
      <c r="E202" s="544"/>
      <c r="F202" s="531"/>
      <c r="G202" s="531"/>
      <c r="H202" s="537"/>
      <c r="I202" s="539"/>
      <c r="J202" s="540"/>
      <c r="K202" s="546"/>
    </row>
    <row r="203" spans="1:21" s="228" customFormat="1" ht="12.75" customHeight="1" x14ac:dyDescent="0.25">
      <c r="A203" s="255"/>
      <c r="B203" s="179">
        <v>3.2029999999999998</v>
      </c>
      <c r="C203" s="536" t="s">
        <v>625</v>
      </c>
      <c r="D203" s="536"/>
      <c r="E203" s="544"/>
      <c r="F203" s="527">
        <f>$P$11</f>
        <v>166780825</v>
      </c>
      <c r="G203" s="527"/>
      <c r="H203" s="299">
        <v>0.1</v>
      </c>
      <c r="I203" s="300">
        <f>SUM($E$7:$E$9)+3*12</f>
        <v>43</v>
      </c>
      <c r="J203" s="301">
        <v>2E-3</v>
      </c>
      <c r="K203" s="302">
        <f>ROUND(F203*H203*I203/12*J203*(1.19),2)</f>
        <v>142236.25</v>
      </c>
    </row>
    <row r="204" spans="1:21" s="228" customFormat="1" ht="12.75" customHeight="1" x14ac:dyDescent="0.25">
      <c r="A204" s="255"/>
      <c r="B204" s="179">
        <v>3.2039999999999997</v>
      </c>
      <c r="C204" s="536" t="s">
        <v>626</v>
      </c>
      <c r="D204" s="536"/>
      <c r="E204" s="544"/>
      <c r="F204" s="527">
        <f>$P$11</f>
        <v>166780825</v>
      </c>
      <c r="G204" s="527"/>
      <c r="H204" s="299">
        <v>0.3</v>
      </c>
      <c r="I204" s="300">
        <f>5*12</f>
        <v>60</v>
      </c>
      <c r="J204" s="301">
        <v>2E-3</v>
      </c>
      <c r="K204" s="302">
        <f>ROUND(F204*H204*I204/12*J204*(1.19),2)</f>
        <v>595407.55000000005</v>
      </c>
    </row>
    <row r="205" spans="1:21" s="228" customFormat="1" ht="11.25" x14ac:dyDescent="0.25">
      <c r="A205" s="255"/>
      <c r="B205" s="179">
        <v>3.2059999999999995</v>
      </c>
      <c r="C205" s="528" t="s">
        <v>627</v>
      </c>
      <c r="D205" s="528"/>
      <c r="E205" s="529" t="s">
        <v>628</v>
      </c>
      <c r="F205" s="527">
        <f>$P$11</f>
        <v>166780825</v>
      </c>
      <c r="G205" s="527"/>
      <c r="H205" s="299">
        <v>0.05</v>
      </c>
      <c r="I205" s="300">
        <f>SUM($E$7:$E$9)</f>
        <v>7</v>
      </c>
      <c r="J205" s="301">
        <v>3.0000000000000001E-3</v>
      </c>
      <c r="K205" s="302">
        <f>ROUND(F205*H205*I205/12*J205*(1.19),2)</f>
        <v>17366.05</v>
      </c>
    </row>
    <row r="206" spans="1:21" s="228" customFormat="1" ht="22.5" x14ac:dyDescent="0.25">
      <c r="A206" s="255"/>
      <c r="B206" s="179">
        <v>3.2069999999999994</v>
      </c>
      <c r="C206" s="304" t="s">
        <v>629</v>
      </c>
      <c r="D206" s="304">
        <v>0</v>
      </c>
      <c r="E206" s="530"/>
      <c r="F206" s="531">
        <f>D206*Base!$G$9</f>
        <v>0</v>
      </c>
      <c r="G206" s="531"/>
      <c r="H206" s="299" t="str">
        <f>D206&amp;" SMMLV"</f>
        <v>0 SMMLV</v>
      </c>
      <c r="I206" s="300">
        <f>SUM($E$7:$E$9)</f>
        <v>7</v>
      </c>
      <c r="J206" s="301">
        <v>3.0000000000000001E-3</v>
      </c>
      <c r="K206" s="302">
        <f>ROUND(F206*I206/12*J206*(1.19),2)</f>
        <v>0</v>
      </c>
    </row>
    <row r="207" spans="1:21" s="228" customFormat="1" ht="31.15" customHeight="1" x14ac:dyDescent="0.25">
      <c r="A207" s="212"/>
      <c r="B207" s="31"/>
      <c r="C207" s="208"/>
      <c r="D207" s="208"/>
      <c r="E207" s="208"/>
      <c r="F207" s="208"/>
      <c r="G207" s="208"/>
      <c r="H207" s="208"/>
      <c r="I207" s="208"/>
      <c r="J207" s="31"/>
      <c r="K207" s="222"/>
      <c r="M207" s="208"/>
      <c r="N207" s="208"/>
      <c r="O207" s="208"/>
      <c r="P207" s="208"/>
      <c r="Q207" s="208"/>
      <c r="R207" s="208"/>
      <c r="S207" s="208"/>
      <c r="T207" s="208"/>
      <c r="U207" s="208"/>
    </row>
    <row r="208" spans="1:21" x14ac:dyDescent="0.25">
      <c r="A208" s="255"/>
      <c r="B208" s="256"/>
      <c r="C208" s="532" t="s">
        <v>630</v>
      </c>
      <c r="D208" s="533"/>
      <c r="E208" s="533"/>
      <c r="F208" s="533"/>
      <c r="G208" s="533"/>
      <c r="H208" s="533"/>
      <c r="I208" s="533"/>
      <c r="J208" s="533"/>
      <c r="K208" s="257">
        <f>+SUM(K200:K206)*1.19</f>
        <v>1051977.6358</v>
      </c>
      <c r="M208" s="228"/>
      <c r="N208" s="228"/>
      <c r="O208" s="228"/>
      <c r="P208" s="228"/>
      <c r="Q208" s="228"/>
      <c r="R208" s="228"/>
      <c r="S208" s="228"/>
      <c r="T208" s="228"/>
      <c r="U208" s="228"/>
    </row>
    <row r="209" spans="1:21" s="228" customFormat="1" ht="11.25" x14ac:dyDescent="0.25">
      <c r="A209" s="255"/>
      <c r="B209" s="256"/>
      <c r="C209" s="525"/>
      <c r="D209" s="525"/>
      <c r="E209" s="525"/>
      <c r="F209" s="525"/>
      <c r="G209" s="525"/>
      <c r="H209" s="525"/>
      <c r="I209" s="525"/>
      <c r="J209" s="525"/>
      <c r="K209" s="526"/>
    </row>
    <row r="210" spans="1:21" s="228" customFormat="1" ht="11.25" x14ac:dyDescent="0.25">
      <c r="A210" s="255"/>
      <c r="B210" s="256"/>
      <c r="C210" s="305" t="s">
        <v>631</v>
      </c>
      <c r="D210" s="306"/>
      <c r="E210" s="306"/>
      <c r="F210" s="306"/>
      <c r="G210" s="306"/>
      <c r="H210" s="306"/>
      <c r="I210" s="260"/>
      <c r="J210" s="307"/>
      <c r="K210" s="257">
        <f>+K208+K196</f>
        <v>18046943.703300003</v>
      </c>
    </row>
    <row r="211" spans="1:21" s="228" customFormat="1" ht="13.7" customHeight="1" x14ac:dyDescent="0.25">
      <c r="A211" s="255"/>
      <c r="B211" s="256"/>
      <c r="C211" s="305" t="s">
        <v>632</v>
      </c>
      <c r="D211" s="306"/>
      <c r="E211" s="306"/>
      <c r="F211" s="306"/>
      <c r="G211" s="306"/>
      <c r="H211" s="306"/>
      <c r="I211" s="260"/>
      <c r="J211" s="307"/>
      <c r="K211" s="308">
        <f>+K210/E181</f>
        <v>0.12800952653812028</v>
      </c>
    </row>
    <row r="212" spans="1:21" s="228" customFormat="1" ht="13.7" customHeight="1" x14ac:dyDescent="0.25">
      <c r="A212" s="255"/>
      <c r="B212" s="256"/>
      <c r="C212" s="525"/>
      <c r="D212" s="525"/>
      <c r="E212" s="525"/>
      <c r="F212" s="525"/>
      <c r="G212" s="525"/>
      <c r="H212" s="525"/>
      <c r="I212" s="525"/>
      <c r="J212" s="525"/>
      <c r="K212" s="526"/>
    </row>
    <row r="213" spans="1:21" s="228" customFormat="1" ht="11.25" x14ac:dyDescent="0.25">
      <c r="A213" s="255"/>
      <c r="B213" s="256"/>
      <c r="C213" s="305" t="s">
        <v>633</v>
      </c>
      <c r="D213" s="306"/>
      <c r="E213" s="306"/>
      <c r="F213" s="306"/>
      <c r="G213" s="306"/>
      <c r="H213" s="306"/>
      <c r="I213" s="260"/>
      <c r="J213" s="307"/>
      <c r="K213" s="309">
        <f>ROUND(K211,4)</f>
        <v>0.128</v>
      </c>
    </row>
    <row r="214" spans="1:21" s="228" customFormat="1" ht="12.75" customHeight="1" x14ac:dyDescent="0.25">
      <c r="A214" s="310"/>
      <c r="B214" s="289"/>
      <c r="C214" s="305" t="s">
        <v>634</v>
      </c>
      <c r="D214" s="306"/>
      <c r="E214" s="306"/>
      <c r="F214" s="306"/>
      <c r="G214" s="306"/>
      <c r="H214" s="306"/>
      <c r="I214" s="260"/>
      <c r="J214" s="307"/>
      <c r="K214" s="311">
        <v>0.01</v>
      </c>
      <c r="M214" s="227"/>
      <c r="N214" s="227"/>
      <c r="O214" s="227"/>
      <c r="P214" s="227"/>
      <c r="Q214" s="227"/>
      <c r="R214" s="227"/>
      <c r="S214" s="227"/>
      <c r="T214" s="227"/>
      <c r="U214" s="227"/>
    </row>
    <row r="215" spans="1:21" s="227" customFormat="1" ht="12.75" customHeight="1" x14ac:dyDescent="0.25">
      <c r="A215" s="310"/>
      <c r="B215" s="289"/>
      <c r="C215" s="305" t="s">
        <v>635</v>
      </c>
      <c r="D215" s="306"/>
      <c r="E215" s="306"/>
      <c r="F215" s="306"/>
      <c r="G215" s="306"/>
      <c r="H215" s="306"/>
      <c r="I215" s="260"/>
      <c r="J215" s="307"/>
      <c r="K215" s="311">
        <v>4.4999999999999998E-2</v>
      </c>
    </row>
    <row r="216" spans="1:21" s="227" customFormat="1" ht="12.75" customHeight="1" x14ac:dyDescent="0.25">
      <c r="A216" s="255"/>
      <c r="B216" s="256"/>
      <c r="C216" s="525"/>
      <c r="D216" s="525"/>
      <c r="E216" s="525"/>
      <c r="F216" s="525"/>
      <c r="G216" s="525"/>
      <c r="H216" s="525"/>
      <c r="I216" s="525"/>
      <c r="J216" s="525"/>
      <c r="K216" s="526"/>
      <c r="M216" s="228"/>
      <c r="N216" s="228"/>
      <c r="O216" s="228"/>
      <c r="P216" s="228"/>
      <c r="Q216" s="228"/>
      <c r="R216" s="228"/>
      <c r="S216" s="228"/>
      <c r="T216" s="228"/>
      <c r="U216" s="228"/>
    </row>
    <row r="217" spans="1:21" s="228" customFormat="1" ht="13.5" thickBot="1" x14ac:dyDescent="0.3">
      <c r="A217" s="312"/>
      <c r="B217" s="313"/>
      <c r="C217" s="314" t="s">
        <v>636</v>
      </c>
      <c r="D217" s="315"/>
      <c r="E217" s="315"/>
      <c r="F217" s="315"/>
      <c r="G217" s="315"/>
      <c r="H217" s="315"/>
      <c r="I217" s="316"/>
      <c r="J217" s="317"/>
      <c r="K217" s="318">
        <f>+K213+K214+K215</f>
        <v>0.183</v>
      </c>
    </row>
    <row r="218" spans="1:21" s="228" customFormat="1" ht="17.45" customHeight="1" x14ac:dyDescent="0.25">
      <c r="A218" s="31"/>
      <c r="B218" s="31"/>
      <c r="C218" s="208"/>
      <c r="D218" s="208"/>
      <c r="E218" s="208"/>
      <c r="F218" s="208"/>
      <c r="G218" s="208"/>
      <c r="H218" s="208"/>
      <c r="I218" s="208"/>
      <c r="J218" s="31"/>
      <c r="K218" s="208"/>
      <c r="M218" s="208"/>
      <c r="N218" s="208"/>
      <c r="O218" s="208"/>
      <c r="P218" s="208"/>
      <c r="Q218" s="208"/>
      <c r="R218" s="208"/>
      <c r="S218" s="208"/>
      <c r="T218" s="208"/>
      <c r="U218" s="208"/>
    </row>
  </sheetData>
  <mergeCells count="251">
    <mergeCell ref="B7:D7"/>
    <mergeCell ref="F7:G7"/>
    <mergeCell ref="J7:K7"/>
    <mergeCell ref="B8:D8"/>
    <mergeCell ref="F8:G8"/>
    <mergeCell ref="B9:D9"/>
    <mergeCell ref="F9:G9"/>
    <mergeCell ref="A2:K2"/>
    <mergeCell ref="A3:K3"/>
    <mergeCell ref="A4:K4"/>
    <mergeCell ref="B6:D6"/>
    <mergeCell ref="E6:G6"/>
    <mergeCell ref="J6:K6"/>
    <mergeCell ref="K13:K15"/>
    <mergeCell ref="I16:J16"/>
    <mergeCell ref="C18:D18"/>
    <mergeCell ref="C19:D19"/>
    <mergeCell ref="C20:D20"/>
    <mergeCell ref="C21:D21"/>
    <mergeCell ref="A11:A16"/>
    <mergeCell ref="B11:B16"/>
    <mergeCell ref="C11:K11"/>
    <mergeCell ref="C12:K12"/>
    <mergeCell ref="C13:D16"/>
    <mergeCell ref="E13:E15"/>
    <mergeCell ref="F13:F16"/>
    <mergeCell ref="G13:G15"/>
    <mergeCell ref="H13:H15"/>
    <mergeCell ref="I13:J14"/>
    <mergeCell ref="C28:D28"/>
    <mergeCell ref="C29:D29"/>
    <mergeCell ref="C31:D31"/>
    <mergeCell ref="C32:D32"/>
    <mergeCell ref="C33:D33"/>
    <mergeCell ref="C34:D34"/>
    <mergeCell ref="C22:D22"/>
    <mergeCell ref="C23:D23"/>
    <mergeCell ref="C24:D24"/>
    <mergeCell ref="C25:D25"/>
    <mergeCell ref="C26:D26"/>
    <mergeCell ref="C27:D27"/>
    <mergeCell ref="C42:D42"/>
    <mergeCell ref="C43:D43"/>
    <mergeCell ref="C44:D44"/>
    <mergeCell ref="C45:J45"/>
    <mergeCell ref="C46:K46"/>
    <mergeCell ref="C47:D47"/>
    <mergeCell ref="C35:D35"/>
    <mergeCell ref="C36:D36"/>
    <mergeCell ref="C37:D37"/>
    <mergeCell ref="C38:D38"/>
    <mergeCell ref="C40:D40"/>
    <mergeCell ref="C41:D41"/>
    <mergeCell ref="C54:J54"/>
    <mergeCell ref="C55:K55"/>
    <mergeCell ref="C56:J56"/>
    <mergeCell ref="C58:J58"/>
    <mergeCell ref="C59:J59"/>
    <mergeCell ref="B61:K61"/>
    <mergeCell ref="C48:D48"/>
    <mergeCell ref="C49:D49"/>
    <mergeCell ref="C50:D50"/>
    <mergeCell ref="C51:D51"/>
    <mergeCell ref="C52:D52"/>
    <mergeCell ref="C53:D53"/>
    <mergeCell ref="I67:J67"/>
    <mergeCell ref="I68:J68"/>
    <mergeCell ref="I69:J69"/>
    <mergeCell ref="I70:J70"/>
    <mergeCell ref="C71:J71"/>
    <mergeCell ref="C73:K73"/>
    <mergeCell ref="C62:K62"/>
    <mergeCell ref="C63:D63"/>
    <mergeCell ref="I63:J63"/>
    <mergeCell ref="I64:J64"/>
    <mergeCell ref="I65:J65"/>
    <mergeCell ref="I66:J66"/>
    <mergeCell ref="C74:E74"/>
    <mergeCell ref="F74:G74"/>
    <mergeCell ref="C75:D75"/>
    <mergeCell ref="E75:E79"/>
    <mergeCell ref="F75:G75"/>
    <mergeCell ref="B76:B77"/>
    <mergeCell ref="C76:C77"/>
    <mergeCell ref="F76:G77"/>
    <mergeCell ref="C79:D79"/>
    <mergeCell ref="F79:G79"/>
    <mergeCell ref="C80:D80"/>
    <mergeCell ref="E80:E81"/>
    <mergeCell ref="F80:G80"/>
    <mergeCell ref="F81:G81"/>
    <mergeCell ref="C82:J82"/>
    <mergeCell ref="C83:K83"/>
    <mergeCell ref="H76:H77"/>
    <mergeCell ref="I76:I77"/>
    <mergeCell ref="J76:J77"/>
    <mergeCell ref="K76:K77"/>
    <mergeCell ref="C78:D78"/>
    <mergeCell ref="F78:G78"/>
    <mergeCell ref="B98:D98"/>
    <mergeCell ref="F98:G98"/>
    <mergeCell ref="J98:K98"/>
    <mergeCell ref="B99:D99"/>
    <mergeCell ref="F99:G99"/>
    <mergeCell ref="B100:D100"/>
    <mergeCell ref="F100:G100"/>
    <mergeCell ref="C86:K86"/>
    <mergeCell ref="C90:K90"/>
    <mergeCell ref="A93:K93"/>
    <mergeCell ref="A94:K94"/>
    <mergeCell ref="A95:K95"/>
    <mergeCell ref="B97:D97"/>
    <mergeCell ref="E97:G97"/>
    <mergeCell ref="J97:K97"/>
    <mergeCell ref="I107:J107"/>
    <mergeCell ref="I108:J108"/>
    <mergeCell ref="I109:J109"/>
    <mergeCell ref="I110:J110"/>
    <mergeCell ref="I111:J111"/>
    <mergeCell ref="C112:J112"/>
    <mergeCell ref="B102:K102"/>
    <mergeCell ref="C103:K103"/>
    <mergeCell ref="C104:D104"/>
    <mergeCell ref="I104:J104"/>
    <mergeCell ref="I105:J105"/>
    <mergeCell ref="I106:J106"/>
    <mergeCell ref="C114:K114"/>
    <mergeCell ref="C115:E115"/>
    <mergeCell ref="F115:G115"/>
    <mergeCell ref="C116:D116"/>
    <mergeCell ref="E116:E120"/>
    <mergeCell ref="F116:G116"/>
    <mergeCell ref="K117:K118"/>
    <mergeCell ref="C119:D119"/>
    <mergeCell ref="F119:G119"/>
    <mergeCell ref="C120:D120"/>
    <mergeCell ref="F120:G120"/>
    <mergeCell ref="C121:D121"/>
    <mergeCell ref="E121:E122"/>
    <mergeCell ref="F121:G121"/>
    <mergeCell ref="F122:G122"/>
    <mergeCell ref="C124:J124"/>
    <mergeCell ref="B117:B118"/>
    <mergeCell ref="C117:C118"/>
    <mergeCell ref="F117:G118"/>
    <mergeCell ref="H117:H118"/>
    <mergeCell ref="I117:I118"/>
    <mergeCell ref="J117:J118"/>
    <mergeCell ref="B139:D139"/>
    <mergeCell ref="E139:G139"/>
    <mergeCell ref="J139:K139"/>
    <mergeCell ref="B140:D140"/>
    <mergeCell ref="F140:G140"/>
    <mergeCell ref="J140:K140"/>
    <mergeCell ref="C125:K125"/>
    <mergeCell ref="C128:K128"/>
    <mergeCell ref="C132:K132"/>
    <mergeCell ref="A135:K135"/>
    <mergeCell ref="A136:K136"/>
    <mergeCell ref="A137:K137"/>
    <mergeCell ref="C146:D146"/>
    <mergeCell ref="I146:J146"/>
    <mergeCell ref="I147:J147"/>
    <mergeCell ref="I148:J148"/>
    <mergeCell ref="I149:J149"/>
    <mergeCell ref="I150:J150"/>
    <mergeCell ref="B141:D141"/>
    <mergeCell ref="F141:G141"/>
    <mergeCell ref="B142:D142"/>
    <mergeCell ref="F142:G142"/>
    <mergeCell ref="B144:K144"/>
    <mergeCell ref="C145:K145"/>
    <mergeCell ref="C158:D158"/>
    <mergeCell ref="E158:E162"/>
    <mergeCell ref="F158:G158"/>
    <mergeCell ref="B159:B160"/>
    <mergeCell ref="C159:C160"/>
    <mergeCell ref="F159:G160"/>
    <mergeCell ref="C162:D162"/>
    <mergeCell ref="F162:G162"/>
    <mergeCell ref="I151:J151"/>
    <mergeCell ref="I152:J152"/>
    <mergeCell ref="I153:J153"/>
    <mergeCell ref="C154:J154"/>
    <mergeCell ref="C156:K156"/>
    <mergeCell ref="C157:E157"/>
    <mergeCell ref="F157:G157"/>
    <mergeCell ref="C163:D163"/>
    <mergeCell ref="E163:E164"/>
    <mergeCell ref="F163:G163"/>
    <mergeCell ref="F164:G164"/>
    <mergeCell ref="C166:J166"/>
    <mergeCell ref="C167:K167"/>
    <mergeCell ref="H159:H160"/>
    <mergeCell ref="I159:I160"/>
    <mergeCell ref="J159:J160"/>
    <mergeCell ref="K159:K160"/>
    <mergeCell ref="C161:D161"/>
    <mergeCell ref="F161:G161"/>
    <mergeCell ref="B182:D182"/>
    <mergeCell ref="F182:G182"/>
    <mergeCell ref="J182:K182"/>
    <mergeCell ref="B183:D183"/>
    <mergeCell ref="F183:G183"/>
    <mergeCell ref="B184:D184"/>
    <mergeCell ref="F184:G184"/>
    <mergeCell ref="C170:K170"/>
    <mergeCell ref="C174:K174"/>
    <mergeCell ref="A177:K177"/>
    <mergeCell ref="A178:K178"/>
    <mergeCell ref="A179:K179"/>
    <mergeCell ref="B181:D181"/>
    <mergeCell ref="E181:G181"/>
    <mergeCell ref="J181:K181"/>
    <mergeCell ref="I191:J191"/>
    <mergeCell ref="I192:J192"/>
    <mergeCell ref="I193:J193"/>
    <mergeCell ref="I194:J194"/>
    <mergeCell ref="I195:J195"/>
    <mergeCell ref="C196:J196"/>
    <mergeCell ref="B186:K186"/>
    <mergeCell ref="C187:K187"/>
    <mergeCell ref="C188:D188"/>
    <mergeCell ref="I188:J188"/>
    <mergeCell ref="I189:J189"/>
    <mergeCell ref="I190:J190"/>
    <mergeCell ref="B201:B202"/>
    <mergeCell ref="C201:C202"/>
    <mergeCell ref="F201:G202"/>
    <mergeCell ref="H201:H202"/>
    <mergeCell ref="I201:I202"/>
    <mergeCell ref="J201:J202"/>
    <mergeCell ref="C198:K198"/>
    <mergeCell ref="C199:E199"/>
    <mergeCell ref="F199:G199"/>
    <mergeCell ref="C200:D200"/>
    <mergeCell ref="E200:E204"/>
    <mergeCell ref="F200:G200"/>
    <mergeCell ref="K201:K202"/>
    <mergeCell ref="C203:D203"/>
    <mergeCell ref="F203:G203"/>
    <mergeCell ref="C204:D204"/>
    <mergeCell ref="C209:K209"/>
    <mergeCell ref="C212:K212"/>
    <mergeCell ref="C216:K216"/>
    <mergeCell ref="F204:G204"/>
    <mergeCell ref="C205:D205"/>
    <mergeCell ref="E205:E206"/>
    <mergeCell ref="F205:G205"/>
    <mergeCell ref="F206:G206"/>
    <mergeCell ref="C208:J208"/>
  </mergeCells>
  <dataValidations count="1">
    <dataValidation allowBlank="1" showErrorMessage="1" sqref="O17"/>
  </dataValidations>
  <pageMargins left="0.7" right="0.7" top="0.75" bottom="0.75" header="0.3" footer="0.3"/>
  <pageSetup paperSize="119" scale="70" fitToHeight="0" orientation="landscape" r:id="rId1"/>
  <rowBreaks count="4" manualBreakCount="4">
    <brk id="60" max="10" man="1"/>
    <brk id="91" max="10" man="1"/>
    <brk id="133" max="10" man="1"/>
    <brk id="175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>
    <tabColor theme="5"/>
    <pageSetUpPr fitToPage="1"/>
  </sheetPr>
  <dimension ref="A1:M63"/>
  <sheetViews>
    <sheetView view="pageBreakPreview" zoomScaleNormal="100" zoomScaleSheetLayoutView="100" workbookViewId="0">
      <selection activeCell="B9" sqref="B9:N13"/>
    </sheetView>
  </sheetViews>
  <sheetFormatPr baseColWidth="10" defaultColWidth="11.28515625" defaultRowHeight="15" x14ac:dyDescent="0.25"/>
  <cols>
    <col min="1" max="1" width="7.140625" style="31" bestFit="1" customWidth="1"/>
    <col min="2" max="2" width="5.28515625" style="31" bestFit="1" customWidth="1"/>
    <col min="3" max="3" width="47.140625" style="208" customWidth="1"/>
    <col min="4" max="4" width="14.7109375" style="208" customWidth="1"/>
    <col min="5" max="7" width="13.85546875" style="208" customWidth="1"/>
    <col min="8" max="8" width="14.85546875" style="208" bestFit="1" customWidth="1"/>
    <col min="9" max="9" width="13.28515625" style="208" customWidth="1"/>
    <col min="10" max="10" width="13.28515625" style="31" customWidth="1"/>
    <col min="11" max="11" width="27.85546875" style="208" bestFit="1" customWidth="1"/>
    <col min="12" max="16384" width="11.28515625" style="208"/>
  </cols>
  <sheetData>
    <row r="1" spans="1:13" ht="7.5" customHeight="1" thickBot="1" x14ac:dyDescent="0.3"/>
    <row r="2" spans="1:13" x14ac:dyDescent="0.25">
      <c r="A2" s="564" t="s">
        <v>554</v>
      </c>
      <c r="B2" s="565"/>
      <c r="C2" s="565"/>
      <c r="D2" s="565"/>
      <c r="E2" s="565"/>
      <c r="F2" s="565"/>
      <c r="G2" s="565"/>
      <c r="H2" s="565"/>
      <c r="I2" s="565"/>
      <c r="J2" s="565"/>
      <c r="K2" s="566"/>
    </row>
    <row r="3" spans="1:13" x14ac:dyDescent="0.25">
      <c r="A3" s="567" t="s">
        <v>32</v>
      </c>
      <c r="B3" s="568"/>
      <c r="C3" s="568"/>
      <c r="D3" s="568"/>
      <c r="E3" s="568"/>
      <c r="F3" s="568"/>
      <c r="G3" s="568"/>
      <c r="H3" s="568"/>
      <c r="I3" s="568"/>
      <c r="J3" s="568"/>
      <c r="K3" s="569"/>
    </row>
    <row r="4" spans="1:13" ht="14.25" customHeight="1" x14ac:dyDescent="0.25">
      <c r="A4" s="570" t="s">
        <v>641</v>
      </c>
      <c r="B4" s="571"/>
      <c r="C4" s="571"/>
      <c r="D4" s="571"/>
      <c r="E4" s="571"/>
      <c r="F4" s="571"/>
      <c r="G4" s="571"/>
      <c r="H4" s="571"/>
      <c r="I4" s="571"/>
      <c r="J4" s="571"/>
      <c r="K4" s="572"/>
    </row>
    <row r="5" spans="1:13" ht="15.75" thickBot="1" x14ac:dyDescent="0.3">
      <c r="A5" s="209"/>
      <c r="B5" s="210"/>
      <c r="C5" s="210"/>
      <c r="D5" s="210"/>
      <c r="E5" s="210"/>
      <c r="F5" s="210"/>
      <c r="G5" s="210"/>
      <c r="H5" s="210"/>
      <c r="I5" s="319"/>
      <c r="J5" s="319"/>
      <c r="K5" s="320"/>
      <c r="L5" s="210"/>
    </row>
    <row r="6" spans="1:13" x14ac:dyDescent="0.25">
      <c r="A6" s="212"/>
      <c r="B6" s="573" t="s">
        <v>565</v>
      </c>
      <c r="C6" s="574"/>
      <c r="D6" s="574"/>
      <c r="E6" s="321">
        <f>DedicProfObr!$U$6</f>
        <v>1</v>
      </c>
      <c r="F6" s="574" t="s">
        <v>566</v>
      </c>
      <c r="G6" s="613"/>
      <c r="I6" s="210"/>
      <c r="J6" s="210"/>
      <c r="K6" s="211"/>
    </row>
    <row r="7" spans="1:13" x14ac:dyDescent="0.25">
      <c r="A7" s="212"/>
      <c r="B7" s="553" t="s">
        <v>568</v>
      </c>
      <c r="C7" s="554"/>
      <c r="D7" s="554"/>
      <c r="E7" s="216">
        <f>DedicProfObr!$V$6</f>
        <v>6</v>
      </c>
      <c r="F7" s="555" t="s">
        <v>566</v>
      </c>
      <c r="G7" s="556"/>
      <c r="I7" s="210"/>
      <c r="J7" s="210"/>
      <c r="K7" s="211"/>
    </row>
    <row r="8" spans="1:13" ht="15.75" thickBot="1" x14ac:dyDescent="0.3">
      <c r="A8" s="212"/>
      <c r="B8" s="560" t="s">
        <v>569</v>
      </c>
      <c r="C8" s="561"/>
      <c r="D8" s="561"/>
      <c r="E8" s="225">
        <f>DedicProfObr!$W$6</f>
        <v>0</v>
      </c>
      <c r="F8" s="562" t="s">
        <v>566</v>
      </c>
      <c r="G8" s="563"/>
      <c r="K8" s="222"/>
    </row>
    <row r="9" spans="1:13" x14ac:dyDescent="0.25">
      <c r="A9" s="212"/>
      <c r="K9" s="222"/>
    </row>
    <row r="10" spans="1:13" s="227" customFormat="1" ht="11.25" x14ac:dyDescent="0.25">
      <c r="A10" s="322" t="s">
        <v>574</v>
      </c>
      <c r="B10" s="149"/>
      <c r="C10" s="149"/>
      <c r="D10" s="149"/>
      <c r="E10" s="149"/>
      <c r="F10" s="149"/>
      <c r="G10" s="149"/>
      <c r="H10" s="149"/>
      <c r="I10" s="149"/>
      <c r="J10" s="149"/>
      <c r="K10" s="235"/>
      <c r="M10" s="228"/>
    </row>
    <row r="11" spans="1:13" s="228" customFormat="1" ht="11.25" x14ac:dyDescent="0.25">
      <c r="A11" s="610" t="s">
        <v>450</v>
      </c>
      <c r="B11" s="518" t="s">
        <v>449</v>
      </c>
      <c r="C11" s="524" t="s">
        <v>451</v>
      </c>
      <c r="D11" s="524"/>
      <c r="E11" s="518" t="s">
        <v>452</v>
      </c>
      <c r="F11" s="524" t="s">
        <v>453</v>
      </c>
      <c r="G11" s="518" t="s">
        <v>576</v>
      </c>
      <c r="H11" s="518" t="s">
        <v>577</v>
      </c>
      <c r="I11" s="601" t="s">
        <v>578</v>
      </c>
      <c r="J11" s="602"/>
      <c r="K11" s="592" t="s">
        <v>579</v>
      </c>
      <c r="M11" s="229"/>
    </row>
    <row r="12" spans="1:13" s="229" customFormat="1" ht="14.45" customHeight="1" x14ac:dyDescent="0.25">
      <c r="A12" s="611"/>
      <c r="B12" s="520"/>
      <c r="C12" s="524"/>
      <c r="D12" s="524"/>
      <c r="E12" s="520"/>
      <c r="F12" s="524"/>
      <c r="G12" s="520"/>
      <c r="H12" s="520"/>
      <c r="I12" s="603"/>
      <c r="J12" s="604"/>
      <c r="K12" s="593"/>
    </row>
    <row r="13" spans="1:13" s="229" customFormat="1" ht="11.25" x14ac:dyDescent="0.25">
      <c r="A13" s="611"/>
      <c r="B13" s="520"/>
      <c r="C13" s="524"/>
      <c r="D13" s="524"/>
      <c r="E13" s="519"/>
      <c r="F13" s="524"/>
      <c r="G13" s="519"/>
      <c r="H13" s="519"/>
      <c r="I13" s="142" t="s">
        <v>642</v>
      </c>
      <c r="J13" s="142" t="s">
        <v>456</v>
      </c>
      <c r="K13" s="594"/>
    </row>
    <row r="14" spans="1:13" s="229" customFormat="1" ht="11.25" customHeight="1" x14ac:dyDescent="0.25">
      <c r="A14" s="612"/>
      <c r="B14" s="519"/>
      <c r="C14" s="524"/>
      <c r="D14" s="524"/>
      <c r="E14" s="146" t="s">
        <v>443</v>
      </c>
      <c r="F14" s="524"/>
      <c r="G14" s="146" t="s">
        <v>580</v>
      </c>
      <c r="H14" s="146" t="s">
        <v>447</v>
      </c>
      <c r="I14" s="595"/>
      <c r="J14" s="596"/>
      <c r="K14" s="232" t="s">
        <v>581</v>
      </c>
    </row>
    <row r="15" spans="1:13" s="229" customFormat="1" ht="10.5" customHeight="1" x14ac:dyDescent="0.25">
      <c r="A15" s="226"/>
      <c r="B15" s="142">
        <v>1.1000000000000001</v>
      </c>
      <c r="C15" s="148" t="s">
        <v>474</v>
      </c>
      <c r="D15" s="233"/>
      <c r="E15" s="149"/>
      <c r="F15" s="149"/>
      <c r="G15" s="149"/>
      <c r="H15" s="149"/>
      <c r="I15" s="149"/>
      <c r="J15" s="234"/>
      <c r="K15" s="235"/>
      <c r="M15" s="239"/>
    </row>
    <row r="16" spans="1:13" s="239" customFormat="1" ht="11.25" x14ac:dyDescent="0.25">
      <c r="A16" s="240">
        <f>INDEX(DedicProfObr!$A$4:$X$51,MATCH($B16,DedicProfObr!$A$4:$A$51,0),MATCH(DedicProfObr!$B$4,DedicProfObr!$A$4:$W$4,0))</f>
        <v>9110</v>
      </c>
      <c r="B16" s="179">
        <f>DedicProfObr!A8</f>
        <v>1.101</v>
      </c>
      <c r="C16" s="586" t="str">
        <f>INDEX(DedicProfObr!$A$4:$X$51,MATCH($B16,DedicProfObr!$A$4:$A$51,0),MATCH(DedicProfObr!$D$4,DedicProfObr!$A$4:$W$4,0))</f>
        <v>DIRECTOR DE OBRA</v>
      </c>
      <c r="D16" s="587"/>
      <c r="E16" s="241">
        <f>INDEX(DedicProfObr!$A$4:$X$51,MATCH($B16,DedicProfObr!$A$4:$A$51,0),MATCH(DedicProfObr!$E$4,DedicProfObr!$A$4:$W$4,0))</f>
        <v>1</v>
      </c>
      <c r="F16" s="201">
        <f>INDEX(DedicProfObr!$A$4:$X$51,MATCH($B16,DedicProfObr!$A$4:$A$51,0),MATCH(DedicProfObr!$F$4,DedicProfObr!$A$4:$W$4,0))</f>
        <v>4</v>
      </c>
      <c r="G16" s="242">
        <f>INDEX(DedicProfObr!$A$4:$X$51,MATCH($B16,DedicProfObr!$A$4:$A$51,0),MATCH(DedicProfObr!$G$4,DedicProfObr!$A$4:$W$4,0))</f>
        <v>7881000</v>
      </c>
      <c r="H16" s="243">
        <f>INDEX(DedicProfObr!$A$4:$X$51,MATCH($B16,DedicProfObr!$A$4:$A$51,0),MATCH(DedicProfObr!$H$4,DedicProfObr!$A$4:$W$4,0))</f>
        <v>1.4516</v>
      </c>
      <c r="I16" s="201">
        <f>INDEX(DedicProfObr!$A$4:$W$51,MATCH($B16,DedicProfObr!$A$4:$A$51,0),MATCH(DedicProfObr!$U$4,DedicProfObr!$A$4:$W$4,0))</f>
        <v>0.3</v>
      </c>
      <c r="J16" s="201">
        <f>INDEX(DedicProfObr!$A$4:$W$51,MATCH($B16,DedicProfObr!$A$4:$A$51,0),MATCH(DedicProfObr!$W$4,DedicProfObr!$A$4:$W$4,0))</f>
        <v>0</v>
      </c>
      <c r="K16" s="244">
        <f>ROUND(E16*G16*H16*(I16+J16),0)</f>
        <v>3432018</v>
      </c>
      <c r="M16" s="228"/>
    </row>
    <row r="17" spans="1:11" s="228" customFormat="1" ht="11.25" x14ac:dyDescent="0.25">
      <c r="A17" s="240">
        <f>INDEX(DedicProfObr!$A$4:$X$51,MATCH($B17,DedicProfObr!$A$4:$A$51,0),MATCH(DedicProfObr!$B$4,DedicProfObr!$A$4:$W$4,0))</f>
        <v>9112</v>
      </c>
      <c r="B17" s="179">
        <f>DedicProfObr!A9</f>
        <v>1.1019999999999999</v>
      </c>
      <c r="C17" s="586" t="str">
        <f>INDEX(DedicProfObr!$A$4:$X$49,MATCH($B17,DedicProfObr!$A$4:$A$49,0),MATCH(DedicProfObr!$D$4,DedicProfObr!$A$4:$W$4,0))</f>
        <v>RESIDENTE DE OBRA</v>
      </c>
      <c r="D17" s="587"/>
      <c r="E17" s="241">
        <f>INDEX(DedicProfObr!$A$4:$X$51,MATCH($B17,DedicProfObr!$A$4:$A$51,0),MATCH(DedicProfObr!$E$4,DedicProfObr!$A$4:$W$4,0))</f>
        <v>2</v>
      </c>
      <c r="F17" s="201">
        <f>INDEX(DedicProfObr!$A$4:$X$51,MATCH($B17,DedicProfObr!$A$4:$A$51,0),MATCH(DedicProfObr!$F$4,DedicProfObr!$A$4:$W$4,0))</f>
        <v>6</v>
      </c>
      <c r="G17" s="242">
        <f>INDEX(DedicProfObr!$A$4:$X$51,MATCH($B17,DedicProfObr!$A$4:$A$51,0),MATCH(DedicProfObr!$G$4,DedicProfObr!$A$4:$W$4,0))</f>
        <v>6339000</v>
      </c>
      <c r="H17" s="243">
        <f>INDEX(DedicProfObr!$A$4:$X$51,MATCH($B17,DedicProfObr!$A$4:$A$51,0),MATCH(DedicProfObr!$H$4,DedicProfObr!$A$4:$W$4,0))</f>
        <v>1.4524999999999999</v>
      </c>
      <c r="I17" s="201">
        <f>INDEX(DedicProfObr!$A$4:$W$51,MATCH($B17,DedicProfObr!$A$4:$A$51,0),MATCH(DedicProfObr!$U$4,DedicProfObr!$A$4:$W$4,0))</f>
        <v>1</v>
      </c>
      <c r="J17" s="201">
        <f>INDEX(DedicProfObr!$A$4:$W$51,MATCH($B17,DedicProfObr!$A$4:$A$51,0),MATCH(DedicProfObr!$W$4,DedicProfObr!$A$4:$W$4,0))</f>
        <v>0</v>
      </c>
      <c r="K17" s="244">
        <f>ROUND(E17*G17*H17*(I17+J17),0)</f>
        <v>18414795</v>
      </c>
    </row>
    <row r="18" spans="1:11" s="228" customFormat="1" ht="11.25" x14ac:dyDescent="0.25">
      <c r="A18" s="240">
        <f>INDEX(DedicProfObr!$A$4:$X$51,MATCH($B18,DedicProfObr!$A$4:$A$51,0),MATCH(DedicProfObr!$B$4,DedicProfObr!$A$4:$W$4,0))</f>
        <v>9110</v>
      </c>
      <c r="B18" s="179">
        <f>DedicProfObr!A10</f>
        <v>1.103</v>
      </c>
      <c r="C18" s="586" t="str">
        <f>INDEX(DedicProfObr!$A$4:$X$49,MATCH($B18,DedicProfObr!$A$4:$A$49,0),MATCH(DedicProfObr!$D$4,DedicProfObr!$A$4:$W$4,0))</f>
        <v>ESPECIALISTA EN DISEÑO GEOMETRICO</v>
      </c>
      <c r="D18" s="587"/>
      <c r="E18" s="241">
        <f>INDEX(DedicProfObr!$A$4:$X$51,MATCH($B18,DedicProfObr!$A$4:$A$51,0),MATCH(DedicProfObr!$E$4,DedicProfObr!$A$4:$W$4,0))</f>
        <v>1</v>
      </c>
      <c r="F18" s="201">
        <f>INDEX(DedicProfObr!$A$4:$X$51,MATCH($B18,DedicProfObr!$A$4:$A$51,0),MATCH(DedicProfObr!$F$4,DedicProfObr!$A$4:$W$4,0))</f>
        <v>4</v>
      </c>
      <c r="G18" s="242">
        <f>INDEX(DedicProfObr!$A$4:$X$51,MATCH($B18,DedicProfObr!$A$4:$A$51,0),MATCH(DedicProfObr!$G$4,DedicProfObr!$A$4:$W$4,0))</f>
        <v>7881000</v>
      </c>
      <c r="H18" s="243">
        <f>INDEX(DedicProfObr!$A$4:$X$51,MATCH($B18,DedicProfObr!$A$4:$A$51,0),MATCH(DedicProfObr!$H$4,DedicProfObr!$A$4:$W$4,0))</f>
        <v>1.4516</v>
      </c>
      <c r="I18" s="201">
        <f>INDEX(DedicProfObr!$A$4:$W$51,MATCH($B18,DedicProfObr!$A$4:$A$51,0),MATCH(DedicProfObr!$U$4,DedicProfObr!$A$4:$W$4,0))</f>
        <v>0.15</v>
      </c>
      <c r="J18" s="201">
        <f>INDEX(DedicProfObr!$A$4:$W$51,MATCH($B18,DedicProfObr!$A$4:$A$51,0),MATCH(DedicProfObr!$W$4,DedicProfObr!$A$4:$W$4,0))</f>
        <v>0</v>
      </c>
      <c r="K18" s="244">
        <f t="shared" ref="K18:K50" si="0">ROUND(E18*G18*H18*(I18+J18),0)</f>
        <v>1716009</v>
      </c>
    </row>
    <row r="19" spans="1:11" s="228" customFormat="1" ht="11.25" x14ac:dyDescent="0.25">
      <c r="A19" s="240">
        <f>INDEX(DedicProfObr!$A$4:$X$51,MATCH($B19,DedicProfObr!$A$4:$A$51,0),MATCH(DedicProfObr!$B$4,DedicProfObr!$A$4:$W$4,0))</f>
        <v>9110</v>
      </c>
      <c r="B19" s="179">
        <f>DedicProfObr!A11</f>
        <v>1.1040000000000001</v>
      </c>
      <c r="C19" s="586" t="str">
        <f>INDEX(DedicProfObr!$A$4:$X$49,MATCH($B19,DedicProfObr!$A$4:$A$49,0),MATCH(DedicProfObr!$D$4,DedicProfObr!$A$4:$W$4,0))</f>
        <v>ESPECIALISTA EN URBANISMO Y ESPACIO PÚBLICO</v>
      </c>
      <c r="D19" s="587"/>
      <c r="E19" s="241">
        <f>INDEX(DedicProfObr!$A$4:$X$51,MATCH($B19,DedicProfObr!$A$4:$A$51,0),MATCH(DedicProfObr!$E$4,DedicProfObr!$A$4:$W$4,0))</f>
        <v>1</v>
      </c>
      <c r="F19" s="201">
        <f>INDEX(DedicProfObr!$A$4:$X$51,MATCH($B19,DedicProfObr!$A$4:$A$51,0),MATCH(DedicProfObr!$F$4,DedicProfObr!$A$4:$W$4,0))</f>
        <v>4</v>
      </c>
      <c r="G19" s="242">
        <f>INDEX(DedicProfObr!$A$4:$X$51,MATCH($B19,DedicProfObr!$A$4:$A$51,0),MATCH(DedicProfObr!$G$4,DedicProfObr!$A$4:$W$4,0))</f>
        <v>7881000</v>
      </c>
      <c r="H19" s="243">
        <f>INDEX(DedicProfObr!$A$4:$X$51,MATCH($B19,DedicProfObr!$A$4:$A$51,0),MATCH(DedicProfObr!$H$4,DedicProfObr!$A$4:$W$4,0))</f>
        <v>1.4516</v>
      </c>
      <c r="I19" s="201">
        <f>INDEX(DedicProfObr!$A$4:$W$51,MATCH($B19,DedicProfObr!$A$4:$A$51,0),MATCH(DedicProfObr!$U$4,DedicProfObr!$A$4:$W$4,0))</f>
        <v>0.15</v>
      </c>
      <c r="J19" s="201">
        <f>INDEX(DedicProfObr!$A$4:$W$51,MATCH($B19,DedicProfObr!$A$4:$A$51,0),MATCH(DedicProfObr!$W$4,DedicProfObr!$A$4:$W$4,0))</f>
        <v>0</v>
      </c>
      <c r="K19" s="244">
        <f t="shared" si="0"/>
        <v>1716009</v>
      </c>
    </row>
    <row r="20" spans="1:11" s="228" customFormat="1" ht="11.25" x14ac:dyDescent="0.25">
      <c r="A20" s="240">
        <f>INDEX(DedicProfObr!$A$4:$X$51,MATCH($B20,DedicProfObr!$A$4:$A$51,0),MATCH(DedicProfObr!$B$4,DedicProfObr!$A$4:$W$4,0))</f>
        <v>9112</v>
      </c>
      <c r="B20" s="179">
        <f>DedicProfObr!A12</f>
        <v>1.105</v>
      </c>
      <c r="C20" s="586" t="str">
        <f>INDEX(DedicProfObr!$A$4:$X$49,MATCH($B20,DedicProfObr!$A$4:$A$49,0),MATCH(DedicProfObr!$D$4,DedicProfObr!$A$4:$W$4,0))</f>
        <v>ARQUITECTO APOYO EN DISEÑO URBANO</v>
      </c>
      <c r="D20" s="587"/>
      <c r="E20" s="241">
        <f>INDEX(DedicProfObr!$A$4:$X$51,MATCH($B20,DedicProfObr!$A$4:$A$51,0),MATCH(DedicProfObr!$E$4,DedicProfObr!$A$4:$W$4,0))</f>
        <v>0</v>
      </c>
      <c r="F20" s="201">
        <f>INDEX(DedicProfObr!$A$4:$X$51,MATCH($B20,DedicProfObr!$A$4:$A$51,0),MATCH(DedicProfObr!$F$4,DedicProfObr!$A$4:$W$4,0))</f>
        <v>6</v>
      </c>
      <c r="G20" s="242">
        <f>INDEX(DedicProfObr!$A$4:$X$51,MATCH($B20,DedicProfObr!$A$4:$A$51,0),MATCH(DedicProfObr!$G$4,DedicProfObr!$A$4:$W$4,0))</f>
        <v>6339000</v>
      </c>
      <c r="H20" s="243">
        <f>INDEX(DedicProfObr!$A$4:$X$51,MATCH($B20,DedicProfObr!$A$4:$A$51,0),MATCH(DedicProfObr!$H$4,DedicProfObr!$A$4:$W$4,0))</f>
        <v>1.4524999999999999</v>
      </c>
      <c r="I20" s="201">
        <f>INDEX(DedicProfObr!$A$4:$W$51,MATCH($B20,DedicProfObr!$A$4:$A$51,0),MATCH(DedicProfObr!$U$4,DedicProfObr!$A$4:$W$4,0))</f>
        <v>0</v>
      </c>
      <c r="J20" s="201">
        <f>INDEX(DedicProfObr!$A$4:$W$51,MATCH($B20,DedicProfObr!$A$4:$A$51,0),MATCH(DedicProfObr!$W$4,DedicProfObr!$A$4:$W$4,0))</f>
        <v>0</v>
      </c>
      <c r="K20" s="244">
        <f t="shared" si="0"/>
        <v>0</v>
      </c>
    </row>
    <row r="21" spans="1:11" s="228" customFormat="1" ht="11.25" x14ac:dyDescent="0.25">
      <c r="A21" s="240">
        <f>INDEX(DedicProfObr!$A$4:$X$51,MATCH($B21,DedicProfObr!$A$4:$A$51,0),MATCH(DedicProfObr!$B$4,DedicProfObr!$A$4:$W$4,0))</f>
        <v>9110</v>
      </c>
      <c r="B21" s="179">
        <f>DedicProfObr!A13</f>
        <v>1.1060000000000001</v>
      </c>
      <c r="C21" s="586" t="str">
        <f>INDEX(DedicProfObr!$A$4:$X$49,MATCH($B21,DedicProfObr!$A$4:$A$49,0),MATCH(DedicProfObr!$D$4,DedicProfObr!$A$4:$W$4,0))</f>
        <v>ESPECIALISTA EN GEOTECNIA</v>
      </c>
      <c r="D21" s="587"/>
      <c r="E21" s="241">
        <f>INDEX(DedicProfObr!$A$4:$X$51,MATCH($B21,DedicProfObr!$A$4:$A$51,0),MATCH(DedicProfObr!$E$4,DedicProfObr!$A$4:$W$4,0))</f>
        <v>1</v>
      </c>
      <c r="F21" s="201">
        <f>INDEX(DedicProfObr!$A$4:$X$51,MATCH($B21,DedicProfObr!$A$4:$A$51,0),MATCH(DedicProfObr!$F$4,DedicProfObr!$A$4:$W$4,0))</f>
        <v>4</v>
      </c>
      <c r="G21" s="242">
        <f>INDEX(DedicProfObr!$A$4:$X$51,MATCH($B21,DedicProfObr!$A$4:$A$51,0),MATCH(DedicProfObr!$G$4,DedicProfObr!$A$4:$W$4,0))</f>
        <v>7881000</v>
      </c>
      <c r="H21" s="243">
        <f>INDEX(DedicProfObr!$A$4:$X$51,MATCH($B21,DedicProfObr!$A$4:$A$51,0),MATCH(DedicProfObr!$H$4,DedicProfObr!$A$4:$W$4,0))</f>
        <v>1.4516</v>
      </c>
      <c r="I21" s="201">
        <f>INDEX(DedicProfObr!$A$4:$W$51,MATCH($B21,DedicProfObr!$A$4:$A$51,0),MATCH(DedicProfObr!$U$4,DedicProfObr!$A$4:$W$4,0))</f>
        <v>0.15</v>
      </c>
      <c r="J21" s="201">
        <f>INDEX(DedicProfObr!$A$4:$W$51,MATCH($B21,DedicProfObr!$A$4:$A$51,0),MATCH(DedicProfObr!$W$4,DedicProfObr!$A$4:$W$4,0))</f>
        <v>0</v>
      </c>
      <c r="K21" s="244">
        <f t="shared" si="0"/>
        <v>1716009</v>
      </c>
    </row>
    <row r="22" spans="1:11" s="228" customFormat="1" ht="11.25" x14ac:dyDescent="0.25">
      <c r="A22" s="240">
        <f>INDEX(DedicProfObr!$A$4:$X$51,MATCH($B22,DedicProfObr!$A$4:$A$51,0),MATCH(DedicProfObr!$B$4,DedicProfObr!$A$4:$W$4,0))</f>
        <v>9110</v>
      </c>
      <c r="B22" s="179">
        <f>DedicProfObr!A14</f>
        <v>1.107</v>
      </c>
      <c r="C22" s="586" t="str">
        <f>INDEX(DedicProfObr!$A$4:$X$49,MATCH($B22,DedicProfObr!$A$4:$A$49,0),MATCH(DedicProfObr!$D$4,DedicProfObr!$A$4:$W$4,0))</f>
        <v>ESPECIALISTA EN PAVIMENTOS</v>
      </c>
      <c r="D22" s="587"/>
      <c r="E22" s="241">
        <f>INDEX(DedicProfObr!$A$4:$X$51,MATCH($B22,DedicProfObr!$A$4:$A$51,0),MATCH(DedicProfObr!$E$4,DedicProfObr!$A$4:$W$4,0))</f>
        <v>1</v>
      </c>
      <c r="F22" s="201">
        <f>INDEX(DedicProfObr!$A$4:$X$51,MATCH($B22,DedicProfObr!$A$4:$A$51,0),MATCH(DedicProfObr!$F$4,DedicProfObr!$A$4:$W$4,0))</f>
        <v>4</v>
      </c>
      <c r="G22" s="242">
        <f>INDEX(DedicProfObr!$A$4:$X$51,MATCH($B22,DedicProfObr!$A$4:$A$51,0),MATCH(DedicProfObr!$G$4,DedicProfObr!$A$4:$W$4,0))</f>
        <v>7881000</v>
      </c>
      <c r="H22" s="243">
        <f>INDEX(DedicProfObr!$A$4:$X$51,MATCH($B22,DedicProfObr!$A$4:$A$51,0),MATCH(DedicProfObr!$H$4,DedicProfObr!$A$4:$W$4,0))</f>
        <v>1.4516</v>
      </c>
      <c r="I22" s="201">
        <f>INDEX(DedicProfObr!$A$4:$W$51,MATCH($B22,DedicProfObr!$A$4:$A$51,0),MATCH(DedicProfObr!$U$4,DedicProfObr!$A$4:$W$4,0))</f>
        <v>0.15</v>
      </c>
      <c r="J22" s="201">
        <f>INDEX(DedicProfObr!$A$4:$W$51,MATCH($B22,DedicProfObr!$A$4:$A$51,0),MATCH(DedicProfObr!$W$4,DedicProfObr!$A$4:$W$4,0))</f>
        <v>0</v>
      </c>
      <c r="K22" s="244">
        <f t="shared" si="0"/>
        <v>1716009</v>
      </c>
    </row>
    <row r="23" spans="1:11" s="228" customFormat="1" ht="11.25" x14ac:dyDescent="0.25">
      <c r="A23" s="240">
        <f>INDEX(DedicProfObr!$A$4:$X$51,MATCH($B23,DedicProfObr!$A$4:$A$51,0),MATCH(DedicProfObr!$B$4,DedicProfObr!$A$4:$W$4,0))</f>
        <v>9112</v>
      </c>
      <c r="B23" s="179">
        <f>DedicProfObr!A15</f>
        <v>1.1080000000000001</v>
      </c>
      <c r="C23" s="586" t="str">
        <f>INDEX(DedicProfObr!$A$4:$X$49,MATCH($B23,DedicProfObr!$A$4:$A$49,0),MATCH(DedicProfObr!$D$4,DedicProfObr!$A$4:$W$4,0))</f>
        <v>ESPECIALISTA REDES HIDROSANITARIAS</v>
      </c>
      <c r="D23" s="587"/>
      <c r="E23" s="241">
        <f>INDEX(DedicProfObr!$A$4:$X$51,MATCH($B23,DedicProfObr!$A$4:$A$51,0),MATCH(DedicProfObr!$E$4,DedicProfObr!$A$4:$W$4,0))</f>
        <v>1</v>
      </c>
      <c r="F23" s="201">
        <f>INDEX(DedicProfObr!$A$4:$X$51,MATCH($B23,DedicProfObr!$A$4:$A$51,0),MATCH(DedicProfObr!$F$4,DedicProfObr!$A$4:$W$4,0))</f>
        <v>6</v>
      </c>
      <c r="G23" s="242">
        <f>INDEX(DedicProfObr!$A$4:$X$51,MATCH($B23,DedicProfObr!$A$4:$A$51,0),MATCH(DedicProfObr!$G$4,DedicProfObr!$A$4:$W$4,0))</f>
        <v>6339000</v>
      </c>
      <c r="H23" s="243">
        <f>INDEX(DedicProfObr!$A$4:$X$51,MATCH($B23,DedicProfObr!$A$4:$A$51,0),MATCH(DedicProfObr!$H$4,DedicProfObr!$A$4:$W$4,0))</f>
        <v>1.4524999999999999</v>
      </c>
      <c r="I23" s="201">
        <f>INDEX(DedicProfObr!$A$4:$W$51,MATCH($B23,DedicProfObr!$A$4:$A$51,0),MATCH(DedicProfObr!$U$4,DedicProfObr!$A$4:$W$4,0))</f>
        <v>0.15</v>
      </c>
      <c r="J23" s="201">
        <f>INDEX(DedicProfObr!$A$4:$W$51,MATCH($B23,DedicProfObr!$A$4:$A$51,0),MATCH(DedicProfObr!$W$4,DedicProfObr!$A$4:$W$4,0))</f>
        <v>0</v>
      </c>
      <c r="K23" s="244">
        <f t="shared" si="0"/>
        <v>1381110</v>
      </c>
    </row>
    <row r="24" spans="1:11" s="228" customFormat="1" ht="11.25" x14ac:dyDescent="0.25">
      <c r="A24" s="240">
        <f>INDEX(DedicProfObr!$A$4:$X$51,MATCH($B24,DedicProfObr!$A$4:$A$51,0),MATCH(DedicProfObr!$B$4,DedicProfObr!$A$4:$W$4,0))</f>
        <v>9112</v>
      </c>
      <c r="B24" s="179">
        <f>DedicProfObr!A16</f>
        <v>1.109</v>
      </c>
      <c r="C24" s="586" t="str">
        <f>INDEX(DedicProfObr!$A$4:$X$49,MATCH($B24,DedicProfObr!$A$4:$A$49,0),MATCH(DedicProfObr!$D$4,DedicProfObr!$A$4:$W$4,0))</f>
        <v>ESPECIALISTA EN ESTRUCTURAS</v>
      </c>
      <c r="D24" s="587"/>
      <c r="E24" s="241">
        <f>INDEX(DedicProfObr!$A$4:$X$51,MATCH($B24,DedicProfObr!$A$4:$A$51,0),MATCH(DedicProfObr!$E$4,DedicProfObr!$A$4:$W$4,0))</f>
        <v>1</v>
      </c>
      <c r="F24" s="201">
        <f>INDEX(DedicProfObr!$A$4:$X$51,MATCH($B24,DedicProfObr!$A$4:$A$51,0),MATCH(DedicProfObr!$F$4,DedicProfObr!$A$4:$W$4,0))</f>
        <v>6</v>
      </c>
      <c r="G24" s="242">
        <f>INDEX(DedicProfObr!$A$4:$X$51,MATCH($B24,DedicProfObr!$A$4:$A$51,0),MATCH(DedicProfObr!$G$4,DedicProfObr!$A$4:$W$4,0))</f>
        <v>6339000</v>
      </c>
      <c r="H24" s="243">
        <f>INDEX(DedicProfObr!$A$4:$X$51,MATCH($B24,DedicProfObr!$A$4:$A$51,0),MATCH(DedicProfObr!$H$4,DedicProfObr!$A$4:$W$4,0))</f>
        <v>1.4524999999999999</v>
      </c>
      <c r="I24" s="201">
        <f>INDEX(DedicProfObr!$A$4:$W$51,MATCH($B24,DedicProfObr!$A$4:$A$51,0),MATCH(DedicProfObr!$U$4,DedicProfObr!$A$4:$W$4,0))</f>
        <v>0.1</v>
      </c>
      <c r="J24" s="201">
        <f>INDEX(DedicProfObr!$A$4:$W$51,MATCH($B24,DedicProfObr!$A$4:$A$51,0),MATCH(DedicProfObr!$W$4,DedicProfObr!$A$4:$W$4,0))</f>
        <v>0</v>
      </c>
      <c r="K24" s="244">
        <f t="shared" si="0"/>
        <v>920740</v>
      </c>
    </row>
    <row r="25" spans="1:11" s="228" customFormat="1" ht="11.25" x14ac:dyDescent="0.25">
      <c r="A25" s="240">
        <f>INDEX(DedicProfObr!$A$4:$X$51,MATCH($B25,DedicProfObr!$A$4:$A$51,0),MATCH(DedicProfObr!$B$4,DedicProfObr!$A$4:$W$4,0))</f>
        <v>9112</v>
      </c>
      <c r="B25" s="179">
        <f>DedicProfObr!A17</f>
        <v>1.1100000000000001</v>
      </c>
      <c r="C25" s="586" t="str">
        <f>INDEX(DedicProfObr!$A$4:$X$49,MATCH($B25,DedicProfObr!$A$4:$A$49,0),MATCH(DedicProfObr!$D$4,DedicProfObr!$A$4:$W$4,0))</f>
        <v>PROFESIONAL EN PRESUPUESTO Y PROGRAMACIÓN</v>
      </c>
      <c r="D25" s="587"/>
      <c r="E25" s="241">
        <f>INDEX(DedicProfObr!$A$4:$X$51,MATCH($B25,DedicProfObr!$A$4:$A$51,0),MATCH(DedicProfObr!$E$4,DedicProfObr!$A$4:$W$4,0))</f>
        <v>1</v>
      </c>
      <c r="F25" s="201">
        <f>INDEX(DedicProfObr!$A$4:$X$51,MATCH($B25,DedicProfObr!$A$4:$A$51,0),MATCH(DedicProfObr!$F$4,DedicProfObr!$A$4:$W$4,0))</f>
        <v>6</v>
      </c>
      <c r="G25" s="242">
        <f>INDEX(DedicProfObr!$A$4:$X$51,MATCH($B25,DedicProfObr!$A$4:$A$51,0),MATCH(DedicProfObr!$G$4,DedicProfObr!$A$4:$W$4,0))</f>
        <v>6339000</v>
      </c>
      <c r="H25" s="243">
        <f>INDEX(DedicProfObr!$A$4:$X$51,MATCH($B25,DedicProfObr!$A$4:$A$51,0),MATCH(DedicProfObr!$H$4,DedicProfObr!$A$4:$W$4,0))</f>
        <v>1.4524999999999999</v>
      </c>
      <c r="I25" s="201">
        <f>INDEX(DedicProfObr!$A$4:$W$51,MATCH($B25,DedicProfObr!$A$4:$A$51,0),MATCH(DedicProfObr!$U$4,DedicProfObr!$A$4:$W$4,0))</f>
        <v>0.5</v>
      </c>
      <c r="J25" s="201">
        <f>INDEX(DedicProfObr!$A$4:$W$51,MATCH($B25,DedicProfObr!$A$4:$A$51,0),MATCH(DedicProfObr!$W$4,DedicProfObr!$A$4:$W$4,0))</f>
        <v>0</v>
      </c>
      <c r="K25" s="244">
        <f t="shared" si="0"/>
        <v>4603699</v>
      </c>
    </row>
    <row r="26" spans="1:11" s="228" customFormat="1" ht="11.25" x14ac:dyDescent="0.25">
      <c r="A26" s="240">
        <f>INDEX(DedicProfObr!$A$4:$X$51,MATCH($B26,DedicProfObr!$A$4:$A$51,0),MATCH(DedicProfObr!$B$4,DedicProfObr!$A$4:$W$4,0))</f>
        <v>9112</v>
      </c>
      <c r="B26" s="179">
        <f>DedicProfObr!A18</f>
        <v>1.111</v>
      </c>
      <c r="C26" s="586" t="str">
        <f>INDEX(DedicProfObr!$A$4:$X$49,MATCH($B26,DedicProfObr!$A$4:$A$49,0),MATCH(DedicProfObr!$D$4,DedicProfObr!$A$4:$W$4,0))</f>
        <v>PROFESIONAL EN REDES SECAS</v>
      </c>
      <c r="D26" s="587"/>
      <c r="E26" s="241">
        <f>INDEX(DedicProfObr!$A$4:$X$51,MATCH($B26,DedicProfObr!$A$4:$A$51,0),MATCH(DedicProfObr!$E$4,DedicProfObr!$A$4:$W$4,0))</f>
        <v>1</v>
      </c>
      <c r="F26" s="201">
        <f>INDEX(DedicProfObr!$A$4:$X$51,MATCH($B26,DedicProfObr!$A$4:$A$51,0),MATCH(DedicProfObr!$F$4,DedicProfObr!$A$4:$W$4,0))</f>
        <v>6</v>
      </c>
      <c r="G26" s="242">
        <f>INDEX(DedicProfObr!$A$4:$X$51,MATCH($B26,DedicProfObr!$A$4:$A$51,0),MATCH(DedicProfObr!$G$4,DedicProfObr!$A$4:$W$4,0))</f>
        <v>6339000</v>
      </c>
      <c r="H26" s="243">
        <f>INDEX(DedicProfObr!$A$4:$X$51,MATCH($B26,DedicProfObr!$A$4:$A$51,0),MATCH(DedicProfObr!$H$4,DedicProfObr!$A$4:$W$4,0))</f>
        <v>1.4524999999999999</v>
      </c>
      <c r="I26" s="201">
        <f>INDEX(DedicProfObr!$A$4:$W$51,MATCH($B26,DedicProfObr!$A$4:$A$51,0),MATCH(DedicProfObr!$U$4,DedicProfObr!$A$4:$W$4,0))</f>
        <v>0.1</v>
      </c>
      <c r="J26" s="201">
        <f>INDEX(DedicProfObr!$A$4:$W$51,MATCH($B26,DedicProfObr!$A$4:$A$51,0),MATCH(DedicProfObr!$W$4,DedicProfObr!$A$4:$W$4,0))</f>
        <v>0</v>
      </c>
      <c r="K26" s="244">
        <f t="shared" si="0"/>
        <v>920740</v>
      </c>
    </row>
    <row r="27" spans="1:11" s="228" customFormat="1" ht="11.25" x14ac:dyDescent="0.25">
      <c r="A27" s="240">
        <f>INDEX(DedicProfObr!$A$4:$X$51,MATCH($B27,DedicProfObr!$A$4:$A$51,0),MATCH(DedicProfObr!$B$4,DedicProfObr!$A$4:$W$4,0))</f>
        <v>9112</v>
      </c>
      <c r="B27" s="179">
        <f>DedicProfObr!A19</f>
        <v>1.1120000000000001</v>
      </c>
      <c r="C27" s="586" t="str">
        <f>INDEX(DedicProfObr!$A$4:$X$49,MATCH($B27,DedicProfObr!$A$4:$A$49,0),MATCH(DedicProfObr!$D$4,DedicProfObr!$A$4:$W$4,0))</f>
        <v>INGENIERO ESPECIALISTA EN SIG-CAD</v>
      </c>
      <c r="D27" s="587"/>
      <c r="E27" s="241">
        <f>INDEX(DedicProfObr!$A$4:$X$51,MATCH($B27,DedicProfObr!$A$4:$A$51,0),MATCH(DedicProfObr!$E$4,DedicProfObr!$A$4:$W$4,0))</f>
        <v>0</v>
      </c>
      <c r="F27" s="201">
        <f>INDEX(DedicProfObr!$A$4:$X$51,MATCH($B27,DedicProfObr!$A$4:$A$51,0),MATCH(DedicProfObr!$F$4,DedicProfObr!$A$4:$W$4,0))</f>
        <v>6</v>
      </c>
      <c r="G27" s="242">
        <f>INDEX(DedicProfObr!$A$4:$X$51,MATCH($B27,DedicProfObr!$A$4:$A$51,0),MATCH(DedicProfObr!$G$4,DedicProfObr!$A$4:$W$4,0))</f>
        <v>6339000</v>
      </c>
      <c r="H27" s="243">
        <f>INDEX(DedicProfObr!$A$4:$X$51,MATCH($B27,DedicProfObr!$A$4:$A$51,0),MATCH(DedicProfObr!$H$4,DedicProfObr!$A$4:$W$4,0))</f>
        <v>1.4524999999999999</v>
      </c>
      <c r="I27" s="201">
        <f>INDEX(DedicProfObr!$A$4:$W$51,MATCH($B27,DedicProfObr!$A$4:$A$51,0),MATCH(DedicProfObr!$U$4,DedicProfObr!$A$4:$W$4,0))</f>
        <v>0</v>
      </c>
      <c r="J27" s="201">
        <f>INDEX(DedicProfObr!$A$4:$W$51,MATCH($B27,DedicProfObr!$A$4:$A$51,0),MATCH(DedicProfObr!$W$4,DedicProfObr!$A$4:$W$4,0))</f>
        <v>0</v>
      </c>
      <c r="K27" s="244">
        <f t="shared" si="0"/>
        <v>0</v>
      </c>
    </row>
    <row r="28" spans="1:11" s="228" customFormat="1" ht="11.25" x14ac:dyDescent="0.25">
      <c r="A28" s="240">
        <f>INDEX(DedicProfObr!$A$4:$X$51,MATCH($B28,DedicProfObr!$A$4:$A$51,0),MATCH(DedicProfObr!$B$4,DedicProfObr!$A$4:$W$4,0))</f>
        <v>9112</v>
      </c>
      <c r="B28" s="179" t="str">
        <f>DedicProfObr!A36</f>
        <v>A1.1.1</v>
      </c>
      <c r="C28" s="586" t="str">
        <f>INDEX(DedicProfObr!$A$4:$X$49,MATCH($B28,DedicProfObr!$A$4:$A$49,0),MATCH(DedicProfObr!$D$4,DedicProfObr!$A$4:$W$4,0))</f>
        <v>PROFESIONAL AMBIENTAL</v>
      </c>
      <c r="D28" s="587"/>
      <c r="E28" s="241">
        <f>INDEX(DedicProfObr!$A$4:$X$51,MATCH($B28,DedicProfObr!$A$4:$A$51,0),MATCH(DedicProfObr!$E$4,DedicProfObr!$A$4:$W$4,0))</f>
        <v>1</v>
      </c>
      <c r="F28" s="201">
        <f>INDEX(DedicProfObr!$A$4:$X$51,MATCH($B28,DedicProfObr!$A$4:$A$51,0),MATCH(DedicProfObr!$F$4,DedicProfObr!$A$4:$W$4,0))</f>
        <v>6</v>
      </c>
      <c r="G28" s="242">
        <f>INDEX(DedicProfObr!$A$4:$X$51,MATCH($B28,DedicProfObr!$A$4:$A$51,0),MATCH(DedicProfObr!$G$4,DedicProfObr!$A$4:$W$4,0))</f>
        <v>6339000</v>
      </c>
      <c r="H28" s="243">
        <f>INDEX(DedicProfObr!$A$4:$X$51,MATCH($B28,DedicProfObr!$A$4:$A$51,0),MATCH(DedicProfObr!$H$4,DedicProfObr!$A$4:$W$4,0))</f>
        <v>1.4524999999999999</v>
      </c>
      <c r="I28" s="201">
        <f>INDEX(DedicProfObr!$A$4:$W$51,MATCH($B28,DedicProfObr!$A$4:$A$51,0),MATCH(DedicProfObr!$U$4,DedicProfObr!$A$4:$W$4,0))</f>
        <v>0.2</v>
      </c>
      <c r="J28" s="201">
        <f>INDEX(DedicProfObr!$A$4:$W$51,MATCH($B28,DedicProfObr!$A$4:$A$51,0),MATCH(DedicProfObr!$W$4,DedicProfObr!$A$4:$W$4,0))</f>
        <v>0</v>
      </c>
      <c r="K28" s="244">
        <f t="shared" si="0"/>
        <v>1841480</v>
      </c>
    </row>
    <row r="29" spans="1:11" s="228" customFormat="1" ht="11.25" x14ac:dyDescent="0.25">
      <c r="A29" s="240">
        <f>INDEX(DedicProfObr!$A$4:$X$51,MATCH($B29,DedicProfObr!$A$4:$A$51,0),MATCH(DedicProfObr!$B$4,DedicProfObr!$A$4:$W$4,0))</f>
        <v>9112</v>
      </c>
      <c r="B29" s="179" t="str">
        <f>DedicProfObr!A37</f>
        <v>A1.1.2</v>
      </c>
      <c r="C29" s="586" t="str">
        <f>INDEX(DedicProfObr!$A$4:$X$49,MATCH($B29,DedicProfObr!$A$4:$A$49,0),MATCH(DedicProfObr!$D$4,DedicProfObr!$A$4:$W$4,0))</f>
        <v xml:space="preserve">RESIDENTE FORESTAL </v>
      </c>
      <c r="D29" s="587"/>
      <c r="E29" s="241">
        <f>INDEX(DedicProfObr!$A$4:$X$51,MATCH($B29,DedicProfObr!$A$4:$A$51,0),MATCH(DedicProfObr!$E$4,DedicProfObr!$A$4:$W$4,0))</f>
        <v>1</v>
      </c>
      <c r="F29" s="201">
        <f>INDEX(DedicProfObr!$A$4:$X$51,MATCH($B29,DedicProfObr!$A$4:$A$51,0),MATCH(DedicProfObr!$F$4,DedicProfObr!$A$4:$W$4,0))</f>
        <v>6</v>
      </c>
      <c r="G29" s="242">
        <f>INDEX(DedicProfObr!$A$4:$X$51,MATCH($B29,DedicProfObr!$A$4:$A$51,0),MATCH(DedicProfObr!$G$4,DedicProfObr!$A$4:$W$4,0))</f>
        <v>6339000</v>
      </c>
      <c r="H29" s="243">
        <f>INDEX(DedicProfObr!$A$4:$X$51,MATCH($B29,DedicProfObr!$A$4:$A$51,0),MATCH(DedicProfObr!$H$4,DedicProfObr!$A$4:$W$4,0))</f>
        <v>1.4524999999999999</v>
      </c>
      <c r="I29" s="201">
        <f>INDEX(DedicProfObr!$A$4:$W$51,MATCH($B29,DedicProfObr!$A$4:$A$51,0),MATCH(DedicProfObr!$U$4,DedicProfObr!$A$4:$W$4,0))</f>
        <v>0.1</v>
      </c>
      <c r="J29" s="201">
        <f>INDEX(DedicProfObr!$A$4:$W$51,MATCH($B29,DedicProfObr!$A$4:$A$51,0),MATCH(DedicProfObr!$W$4,DedicProfObr!$A$4:$W$4,0))</f>
        <v>0</v>
      </c>
      <c r="K29" s="244">
        <f t="shared" si="0"/>
        <v>920740</v>
      </c>
    </row>
    <row r="30" spans="1:11" s="228" customFormat="1" ht="11.25" x14ac:dyDescent="0.25">
      <c r="A30" s="240">
        <f>INDEX(DedicProfObr!$A$4:$X$51,MATCH($B30,DedicProfObr!$A$4:$A$51,0),MATCH(DedicProfObr!$B$4,DedicProfObr!$A$4:$W$4,0))</f>
        <v>9112</v>
      </c>
      <c r="B30" s="179" t="str">
        <f>DedicProfObr!A38</f>
        <v>A1.1.3</v>
      </c>
      <c r="C30" s="586" t="str">
        <f>INDEX(DedicProfObr!$A$4:$X$49,MATCH($B30,DedicProfObr!$A$4:$A$49,0),MATCH(DedicProfObr!$D$4,DedicProfObr!$A$4:$W$4,0))</f>
        <v>BIÓLOGO O ECÓLOGO</v>
      </c>
      <c r="D30" s="587"/>
      <c r="E30" s="241">
        <f>INDEX(DedicProfObr!$A$4:$X$51,MATCH($B30,DedicProfObr!$A$4:$A$51,0),MATCH(DedicProfObr!$E$4,DedicProfObr!$A$4:$W$4,0))</f>
        <v>0</v>
      </c>
      <c r="F30" s="201">
        <f>INDEX(DedicProfObr!$A$4:$X$51,MATCH($B30,DedicProfObr!$A$4:$A$51,0),MATCH(DedicProfObr!$F$4,DedicProfObr!$A$4:$W$4,0))</f>
        <v>6</v>
      </c>
      <c r="G30" s="242">
        <f>INDEX(DedicProfObr!$A$4:$X$51,MATCH($B30,DedicProfObr!$A$4:$A$51,0),MATCH(DedicProfObr!$G$4,DedicProfObr!$A$4:$W$4,0))</f>
        <v>6339000</v>
      </c>
      <c r="H30" s="243">
        <f>INDEX(DedicProfObr!$A$4:$X$51,MATCH($B30,DedicProfObr!$A$4:$A$51,0),MATCH(DedicProfObr!$H$4,DedicProfObr!$A$4:$W$4,0))</f>
        <v>1.4524999999999999</v>
      </c>
      <c r="I30" s="201">
        <f>INDEX(DedicProfObr!$A$4:$W$51,MATCH($B30,DedicProfObr!$A$4:$A$51,0),MATCH(DedicProfObr!$U$4,DedicProfObr!$A$4:$W$4,0))</f>
        <v>0</v>
      </c>
      <c r="J30" s="201">
        <f>INDEX(DedicProfObr!$A$4:$W$51,MATCH($B30,DedicProfObr!$A$4:$A$51,0),MATCH(DedicProfObr!$W$4,DedicProfObr!$A$4:$W$4,0))</f>
        <v>0</v>
      </c>
      <c r="K30" s="244">
        <f t="shared" si="0"/>
        <v>0</v>
      </c>
    </row>
    <row r="31" spans="1:11" s="228" customFormat="1" ht="11.25" x14ac:dyDescent="0.25">
      <c r="A31" s="240">
        <f>INDEX(DedicProfObr!$A$4:$X$51,MATCH($B31,DedicProfObr!$A$4:$A$51,0),MATCH(DedicProfObr!$B$4,DedicProfObr!$A$4:$W$4,0))</f>
        <v>9113</v>
      </c>
      <c r="B31" s="179" t="str">
        <f>DedicProfObr!A39</f>
        <v>A1.1.4</v>
      </c>
      <c r="C31" s="586" t="str">
        <f>INDEX(DedicProfObr!$A$4:$X$49,MATCH($B31,DedicProfObr!$A$4:$A$49,0),MATCH(DedicProfObr!$D$4,DedicProfObr!$A$4:$W$4,0))</f>
        <v>RESIDENTE SST</v>
      </c>
      <c r="D31" s="587"/>
      <c r="E31" s="241">
        <f>INDEX(DedicProfObr!$A$4:$X$51,MATCH($B31,DedicProfObr!$A$4:$A$51,0),MATCH(DedicProfObr!$E$4,DedicProfObr!$A$4:$W$4,0))</f>
        <v>1</v>
      </c>
      <c r="F31" s="201">
        <f>INDEX(DedicProfObr!$A$4:$X$51,MATCH($B31,DedicProfObr!$A$4:$A$51,0),MATCH(DedicProfObr!$F$4,DedicProfObr!$A$4:$W$4,0))</f>
        <v>7</v>
      </c>
      <c r="G31" s="242">
        <f>INDEX(DedicProfObr!$A$4:$X$51,MATCH($B31,DedicProfObr!$A$4:$A$51,0),MATCH(DedicProfObr!$G$4,DedicProfObr!$A$4:$W$4,0))</f>
        <v>4793000</v>
      </c>
      <c r="H31" s="243">
        <f>INDEX(DedicProfObr!$A$4:$X$51,MATCH($B31,DedicProfObr!$A$4:$A$51,0),MATCH(DedicProfObr!$H$4,DedicProfObr!$A$4:$W$4,0))</f>
        <v>1.454</v>
      </c>
      <c r="I31" s="201">
        <f>INDEX(DedicProfObr!$A$4:$W$51,MATCH($B31,DedicProfObr!$A$4:$A$51,0),MATCH(DedicProfObr!$U$4,DedicProfObr!$A$4:$W$4,0))</f>
        <v>0.15</v>
      </c>
      <c r="J31" s="201">
        <f>INDEX(DedicProfObr!$A$4:$W$51,MATCH($B31,DedicProfObr!$A$4:$A$51,0),MATCH(DedicProfObr!$W$4,DedicProfObr!$A$4:$W$4,0))</f>
        <v>0</v>
      </c>
      <c r="K31" s="244">
        <f t="shared" si="0"/>
        <v>1045353</v>
      </c>
    </row>
    <row r="32" spans="1:11" s="228" customFormat="1" ht="11.25" x14ac:dyDescent="0.25">
      <c r="A32" s="240">
        <f>INDEX(DedicProfObr!$A$4:$X$51,MATCH($B32,DedicProfObr!$A$4:$A$51,0),MATCH(DedicProfObr!$B$4,DedicProfObr!$A$4:$W$4,0))</f>
        <v>9113</v>
      </c>
      <c r="B32" s="179" t="str">
        <f>DedicProfObr!A40</f>
        <v>A1.1.5</v>
      </c>
      <c r="C32" s="586" t="str">
        <f>INDEX(DedicProfObr!$A$4:$X$49,MATCH($B32,DedicProfObr!$A$4:$A$49,0),MATCH(DedicProfObr!$D$4,DedicProfObr!$A$4:$W$4,0))</f>
        <v>RESIDENTE MAQUINARIA Y EQUIPOS</v>
      </c>
      <c r="D32" s="587"/>
      <c r="E32" s="241">
        <f>INDEX(DedicProfObr!$A$4:$X$51,MATCH($B32,DedicProfObr!$A$4:$A$51,0),MATCH(DedicProfObr!$E$4,DedicProfObr!$A$4:$W$4,0))</f>
        <v>1</v>
      </c>
      <c r="F32" s="201">
        <f>INDEX(DedicProfObr!$A$4:$X$51,MATCH($B32,DedicProfObr!$A$4:$A$51,0),MATCH(DedicProfObr!$F$4,DedicProfObr!$A$4:$W$4,0))</f>
        <v>7</v>
      </c>
      <c r="G32" s="242">
        <f>INDEX(DedicProfObr!$A$4:$X$51,MATCH($B32,DedicProfObr!$A$4:$A$51,0),MATCH(DedicProfObr!$G$4,DedicProfObr!$A$4:$W$4,0))</f>
        <v>4793000</v>
      </c>
      <c r="H32" s="243">
        <f>INDEX(DedicProfObr!$A$4:$X$51,MATCH($B32,DedicProfObr!$A$4:$A$51,0),MATCH(DedicProfObr!$H$4,DedicProfObr!$A$4:$W$4,0))</f>
        <v>1.454</v>
      </c>
      <c r="I32" s="201">
        <f>INDEX(DedicProfObr!$A$4:$W$51,MATCH($B32,DedicProfObr!$A$4:$A$51,0),MATCH(DedicProfObr!$U$4,DedicProfObr!$A$4:$W$4,0))</f>
        <v>0</v>
      </c>
      <c r="J32" s="201">
        <f>INDEX(DedicProfObr!$A$4:$W$51,MATCH($B32,DedicProfObr!$A$4:$A$51,0),MATCH(DedicProfObr!$W$4,DedicProfObr!$A$4:$W$4,0))</f>
        <v>0</v>
      </c>
      <c r="K32" s="244">
        <f t="shared" si="0"/>
        <v>0</v>
      </c>
    </row>
    <row r="33" spans="1:13" s="228" customFormat="1" ht="11.25" x14ac:dyDescent="0.25">
      <c r="A33" s="240">
        <f>INDEX(DedicProfObr!$A$4:$X$51,MATCH($B33,DedicProfObr!$A$4:$A$51,0),MATCH(DedicProfObr!$B$4,DedicProfObr!$A$4:$W$4,0))</f>
        <v>9112</v>
      </c>
      <c r="B33" s="179" t="str">
        <f>DedicProfObr!A44</f>
        <v>A1.1-S</v>
      </c>
      <c r="C33" s="586" t="str">
        <f>INDEX(DedicProfObr!$A$4:$X$49,MATCH($B33,DedicProfObr!$A$4:$A$49,0),MATCH(DedicProfObr!$D$4,DedicProfObr!$A$4:$W$4,0))</f>
        <v>RESIDENTE SOCIAL</v>
      </c>
      <c r="D33" s="587"/>
      <c r="E33" s="241">
        <f>INDEX(DedicProfObr!$A$4:$X$51,MATCH($B33,DedicProfObr!$A$4:$A$51,0),MATCH(DedicProfObr!$E$4,DedicProfObr!$A$4:$W$4,0))</f>
        <v>1</v>
      </c>
      <c r="F33" s="201">
        <f>INDEX(DedicProfObr!$A$4:$X$51,MATCH($B33,DedicProfObr!$A$4:$A$51,0),MATCH(DedicProfObr!$F$4,DedicProfObr!$A$4:$W$4,0))</f>
        <v>6</v>
      </c>
      <c r="G33" s="242">
        <f>INDEX(DedicProfObr!$A$4:$X$51,MATCH($B33,DedicProfObr!$A$4:$A$51,0),MATCH(DedicProfObr!$G$4,DedicProfObr!$A$4:$W$4,0))</f>
        <v>6339000</v>
      </c>
      <c r="H33" s="243">
        <f>INDEX(DedicProfObr!$A$4:$X$51,MATCH($B33,DedicProfObr!$A$4:$A$51,0),MATCH(DedicProfObr!$H$4,DedicProfObr!$A$4:$W$4,0))</f>
        <v>1.4524999999999999</v>
      </c>
      <c r="I33" s="201">
        <f>INDEX(DedicProfObr!$A$4:$W$51,MATCH($B33,DedicProfObr!$A$4:$A$51,0),MATCH(DedicProfObr!$U$4,DedicProfObr!$A$4:$W$4,0))</f>
        <v>0.5</v>
      </c>
      <c r="J33" s="201">
        <f>INDEX(DedicProfObr!$A$4:$W$51,MATCH($B33,DedicProfObr!$A$4:$A$51,0),MATCH(DedicProfObr!$W$4,DedicProfObr!$A$4:$W$4,0))</f>
        <v>0</v>
      </c>
      <c r="K33" s="244">
        <f t="shared" si="0"/>
        <v>4603699</v>
      </c>
    </row>
    <row r="34" spans="1:13" s="228" customFormat="1" ht="11.25" x14ac:dyDescent="0.25">
      <c r="A34" s="240">
        <f>INDEX(DedicProfObr!$A$4:$X$51,MATCH($B34,DedicProfObr!$A$4:$A$51,0),MATCH(DedicProfObr!$B$4,DedicProfObr!$A$4:$W$4,0))</f>
        <v>9110</v>
      </c>
      <c r="B34" s="179" t="str">
        <f>DedicProfObr!A47</f>
        <v>A1.1T</v>
      </c>
      <c r="C34" s="586" t="str">
        <f>INDEX(DedicProfObr!$A$4:$X$49,MATCH($B34,DedicProfObr!$A$4:$A$49,0),MATCH(DedicProfObr!$D$4,DedicProfObr!$A$4:$W$4,0))</f>
        <v>ESPECIALISTA EN TRÁNSITO Y TRANSPORTE</v>
      </c>
      <c r="D34" s="587"/>
      <c r="E34" s="241">
        <f>INDEX(DedicProfObr!$A$4:$X$51,MATCH($B34,DedicProfObr!$A$4:$A$51,0),MATCH(DedicProfObr!$E$4,DedicProfObr!$A$4:$W$4,0))</f>
        <v>1</v>
      </c>
      <c r="F34" s="201">
        <f>INDEX(DedicProfObr!$A$4:$X$51,MATCH($B34,DedicProfObr!$A$4:$A$51,0),MATCH(DedicProfObr!$F$4,DedicProfObr!$A$4:$W$4,0))</f>
        <v>4</v>
      </c>
      <c r="G34" s="242">
        <f>INDEX(DedicProfObr!$A$4:$X$51,MATCH($B34,DedicProfObr!$A$4:$A$51,0),MATCH(DedicProfObr!$G$4,DedicProfObr!$A$4:$W$4,0))</f>
        <v>7881000</v>
      </c>
      <c r="H34" s="243">
        <f>INDEX(DedicProfObr!$A$4:$X$51,MATCH($B34,DedicProfObr!$A$4:$A$51,0),MATCH(DedicProfObr!$H$4,DedicProfObr!$A$4:$W$4,0))</f>
        <v>1.4516</v>
      </c>
      <c r="I34" s="201">
        <f>INDEX(DedicProfObr!$A$4:$W$51,MATCH($B34,DedicProfObr!$A$4:$A$51,0),MATCH(DedicProfObr!$U$4,DedicProfObr!$A$4:$W$4,0))</f>
        <v>0.15</v>
      </c>
      <c r="J34" s="201">
        <f>INDEX(DedicProfObr!$A$4:$W$51,MATCH($B34,DedicProfObr!$A$4:$A$51,0),MATCH(DedicProfObr!$W$4,DedicProfObr!$A$4:$W$4,0))</f>
        <v>0</v>
      </c>
      <c r="K34" s="244">
        <f t="shared" si="0"/>
        <v>1716009</v>
      </c>
    </row>
    <row r="35" spans="1:13" s="228" customFormat="1" ht="11.25" x14ac:dyDescent="0.25">
      <c r="A35" s="240">
        <f>INDEX(DedicProfObr!$A$4:$X$51,MATCH($B35,DedicProfObr!$A$4:$A$51,0),MATCH(DedicProfObr!$B$4,DedicProfObr!$A$4:$W$4,0))</f>
        <v>9112</v>
      </c>
      <c r="B35" s="179" t="str">
        <f>DedicProfObr!A48</f>
        <v>A1.2T</v>
      </c>
      <c r="C35" s="586" t="str">
        <f>INDEX(DedicProfObr!$A$4:$X$49,MATCH($B35,DedicProfObr!$A$4:$A$49,0),MATCH(DedicProfObr!$D$4,DedicProfObr!$A$4:$W$4,0))</f>
        <v>RESIDENTE EN TRÁNSITO Y TRANSPORTE</v>
      </c>
      <c r="D35" s="587"/>
      <c r="E35" s="241">
        <f>INDEX(DedicProfObr!$A$4:$X$51,MATCH($B35,DedicProfObr!$A$4:$A$51,0),MATCH(DedicProfObr!$E$4,DedicProfObr!$A$4:$W$4,0))</f>
        <v>1</v>
      </c>
      <c r="F35" s="201">
        <f>INDEX(DedicProfObr!$A$4:$X$51,MATCH($B35,DedicProfObr!$A$4:$A$51,0),MATCH(DedicProfObr!$F$4,DedicProfObr!$A$4:$W$4,0))</f>
        <v>6</v>
      </c>
      <c r="G35" s="242">
        <f>INDEX(DedicProfObr!$A$4:$X$51,MATCH($B35,DedicProfObr!$A$4:$A$51,0),MATCH(DedicProfObr!$G$4,DedicProfObr!$A$4:$W$4,0))</f>
        <v>6339000</v>
      </c>
      <c r="H35" s="243">
        <f>INDEX(DedicProfObr!$A$4:$X$51,MATCH($B35,DedicProfObr!$A$4:$A$51,0),MATCH(DedicProfObr!$H$4,DedicProfObr!$A$4:$W$4,0))</f>
        <v>1.4524999999999999</v>
      </c>
      <c r="I35" s="201">
        <f>INDEX(DedicProfObr!$A$4:$W$51,MATCH($B35,DedicProfObr!$A$4:$A$51,0),MATCH(DedicProfObr!$U$4,DedicProfObr!$A$4:$W$4,0))</f>
        <v>0</v>
      </c>
      <c r="J35" s="201">
        <f>INDEX(DedicProfObr!$A$4:$W$51,MATCH($B35,DedicProfObr!$A$4:$A$51,0),MATCH(DedicProfObr!$W$4,DedicProfObr!$A$4:$W$4,0))</f>
        <v>0</v>
      </c>
      <c r="K35" s="244">
        <f t="shared" si="0"/>
        <v>0</v>
      </c>
    </row>
    <row r="36" spans="1:13" s="228" customFormat="1" ht="11.25" x14ac:dyDescent="0.25">
      <c r="A36" s="246"/>
      <c r="B36" s="142">
        <f>DedicProfObr!A20</f>
        <v>1.2000000000000002</v>
      </c>
      <c r="C36" s="178" t="s">
        <v>489</v>
      </c>
      <c r="D36" s="233"/>
      <c r="E36" s="149"/>
      <c r="F36" s="149"/>
      <c r="G36" s="149"/>
      <c r="H36" s="247"/>
      <c r="I36" s="247"/>
      <c r="J36" s="248"/>
      <c r="K36" s="235"/>
      <c r="M36" s="239"/>
    </row>
    <row r="37" spans="1:13" s="239" customFormat="1" ht="11.25" x14ac:dyDescent="0.25">
      <c r="A37" s="240">
        <f>INDEX(DedicProfObr!$A$4:$X$51,MATCH($B37,DedicProfObr!$A$4:$A$51,0),MATCH(DedicProfObr!$B$4,DedicProfObr!$A$4:$W$4,0))</f>
        <v>9085</v>
      </c>
      <c r="B37" s="179">
        <f>DedicProfObr!A21</f>
        <v>1.2010000000000001</v>
      </c>
      <c r="C37" s="586" t="str">
        <f>INDEX(DedicProfObr!$A$4:$X$49,MATCH($B37,DedicProfObr!$A$4:$A$49,0),MATCH(DedicProfObr!$D$4,DedicProfObr!$A$4:$W$4,0))</f>
        <v>AUXILIAR DE INGENIERÍA</v>
      </c>
      <c r="D37" s="587"/>
      <c r="E37" s="241">
        <f>INDEX(DedicProfObr!$A$4:$X$51,MATCH($B37,DedicProfObr!$A$4:$A$51,0),MATCH(DedicProfObr!$E$4,DedicProfObr!$A$4:$W$4,0))</f>
        <v>1</v>
      </c>
      <c r="F37" s="201" t="str">
        <f>INDEX(DedicProfObr!$A$4:$X$51,MATCH($B37,DedicProfObr!$A$4:$A$51,0),MATCH(DedicProfObr!$F$4,DedicProfObr!$A$4:$W$4,0))</f>
        <v>N/A</v>
      </c>
      <c r="G37" s="242">
        <f>INDEX(DedicProfObr!$A$4:$X$51,MATCH($B37,DedicProfObr!$A$4:$A$51,0),MATCH(DedicProfObr!$G$4,DedicProfObr!$A$4:$W$4,0))</f>
        <v>2607000</v>
      </c>
      <c r="H37" s="243">
        <f>INDEX(DedicProfObr!$A$4:$X$51,MATCH($B37,DedicProfObr!$A$4:$A$51,0),MATCH(DedicProfObr!$H$4,DedicProfObr!$A$4:$W$4,0))</f>
        <v>1.4591000000000001</v>
      </c>
      <c r="I37" s="201">
        <f>INDEX(DedicProfObr!$A$4:$W$51,MATCH($B37,DedicProfObr!$A$4:$A$51,0),MATCH(DedicProfObr!$U$4,DedicProfObr!$A$4:$W$4,0))</f>
        <v>0</v>
      </c>
      <c r="J37" s="201">
        <f>INDEX(DedicProfObr!$A$4:$W$51,MATCH($B37,DedicProfObr!$A$4:$A$51,0),MATCH(DedicProfObr!$W$4,DedicProfObr!$A$4:$W$4,0))</f>
        <v>0</v>
      </c>
      <c r="K37" s="244">
        <f t="shared" si="0"/>
        <v>0</v>
      </c>
      <c r="M37" s="229"/>
    </row>
    <row r="38" spans="1:13" s="229" customFormat="1" ht="11.25" x14ac:dyDescent="0.25">
      <c r="A38" s="240">
        <f>INDEX(DedicProfObr!$A$4:$X$51,MATCH($B38,DedicProfObr!$A$4:$A$51,0),MATCH(DedicProfObr!$B$4,DedicProfObr!$A$4:$W$4,0))</f>
        <v>9093</v>
      </c>
      <c r="B38" s="179">
        <f>DedicProfObr!A22</f>
        <v>1.202</v>
      </c>
      <c r="C38" s="586" t="str">
        <f>INDEX(DedicProfObr!$A$4:$X$49,MATCH($B38,DedicProfObr!$A$4:$A$49,0),MATCH(DedicProfObr!$D$4,DedicProfObr!$A$4:$W$4,0))</f>
        <v>TÉCNICO INSPECTOR</v>
      </c>
      <c r="D38" s="587"/>
      <c r="E38" s="241">
        <f>INDEX(DedicProfObr!$A$4:$X$51,MATCH($B38,DedicProfObr!$A$4:$A$51,0),MATCH(DedicProfObr!$E$4,DedicProfObr!$A$4:$W$4,0))</f>
        <v>2</v>
      </c>
      <c r="F38" s="201" t="str">
        <f>INDEX(DedicProfObr!$A$4:$X$51,MATCH($B38,DedicProfObr!$A$4:$A$51,0),MATCH(DedicProfObr!$F$4,DedicProfObr!$A$4:$W$4,0))</f>
        <v>N/A</v>
      </c>
      <c r="G38" s="242">
        <f>INDEX(DedicProfObr!$A$4:$X$51,MATCH($B38,DedicProfObr!$A$4:$A$51,0),MATCH(DedicProfObr!$G$4,DedicProfObr!$A$4:$W$4,0))</f>
        <v>2249000</v>
      </c>
      <c r="H38" s="243">
        <f>INDEX(DedicProfObr!$A$4:$X$51,MATCH($B38,DedicProfObr!$A$4:$A$51,0),MATCH(DedicProfObr!$H$4,DedicProfObr!$A$4:$W$4,0))</f>
        <v>1.5510999999999999</v>
      </c>
      <c r="I38" s="201">
        <f>INDEX(DedicProfObr!$A$4:$W$51,MATCH($B38,DedicProfObr!$A$4:$A$51,0),MATCH(DedicProfObr!$U$4,DedicProfObr!$A$4:$W$4,0))</f>
        <v>0</v>
      </c>
      <c r="J38" s="201">
        <f>INDEX(DedicProfObr!$A$4:$W$51,MATCH($B38,DedicProfObr!$A$4:$A$51,0),MATCH(DedicProfObr!$W$4,DedicProfObr!$A$4:$W$4,0))</f>
        <v>0</v>
      </c>
      <c r="K38" s="244">
        <f t="shared" si="0"/>
        <v>0</v>
      </c>
    </row>
    <row r="39" spans="1:13" s="229" customFormat="1" ht="11.25" x14ac:dyDescent="0.25">
      <c r="A39" s="240">
        <f>INDEX(DedicProfObr!$A$4:$X$51,MATCH($B39,DedicProfObr!$A$4:$A$51,0),MATCH(DedicProfObr!$B$4,DedicProfObr!$A$4:$W$4,0))</f>
        <v>9088</v>
      </c>
      <c r="B39" s="179">
        <f>DedicProfObr!A23</f>
        <v>1.2030000000000001</v>
      </c>
      <c r="C39" s="586" t="str">
        <f>INDEX(DedicProfObr!$A$4:$X$49,MATCH($B39,DedicProfObr!$A$4:$A$49,0),MATCH(DedicProfObr!$D$4,DedicProfObr!$A$4:$W$4,0))</f>
        <v>TOPOGRAFO INSPECTOR</v>
      </c>
      <c r="D39" s="587"/>
      <c r="E39" s="241">
        <f>INDEX(DedicProfObr!$A$4:$X$51,MATCH($B39,DedicProfObr!$A$4:$A$51,0),MATCH(DedicProfObr!$E$4,DedicProfObr!$A$4:$W$4,0))</f>
        <v>2</v>
      </c>
      <c r="F39" s="201" t="str">
        <f>INDEX(DedicProfObr!$A$4:$X$51,MATCH($B39,DedicProfObr!$A$4:$A$51,0),MATCH(DedicProfObr!$F$4,DedicProfObr!$A$4:$W$4,0))</f>
        <v>N/A</v>
      </c>
      <c r="G39" s="242">
        <f>INDEX(DedicProfObr!$A$4:$X$51,MATCH($B39,DedicProfObr!$A$4:$A$51,0),MATCH(DedicProfObr!$G$4,DedicProfObr!$A$4:$W$4,0))</f>
        <v>3092000</v>
      </c>
      <c r="H39" s="243">
        <f>INDEX(DedicProfObr!$A$4:$X$51,MATCH($B39,DedicProfObr!$A$4:$A$51,0),MATCH(DedicProfObr!$H$4,DedicProfObr!$A$4:$W$4,0))</f>
        <v>1.4573</v>
      </c>
      <c r="I39" s="201">
        <f>INDEX(DedicProfObr!$A$4:$W$51,MATCH($B39,DedicProfObr!$A$4:$A$51,0),MATCH(DedicProfObr!$U$4,DedicProfObr!$A$4:$W$4,0))</f>
        <v>0</v>
      </c>
      <c r="J39" s="201">
        <f>INDEX(DedicProfObr!$A$4:$W$51,MATCH($B39,DedicProfObr!$A$4:$A$51,0),MATCH(DedicProfObr!$W$4,DedicProfObr!$A$4:$W$4,0))</f>
        <v>0</v>
      </c>
      <c r="K39" s="244">
        <f t="shared" si="0"/>
        <v>0</v>
      </c>
    </row>
    <row r="40" spans="1:13" s="229" customFormat="1" ht="11.25" x14ac:dyDescent="0.25">
      <c r="A40" s="240">
        <f>INDEX(DedicProfObr!$A$4:$X$51,MATCH($B40,DedicProfObr!$A$4:$A$51,0),MATCH(DedicProfObr!$B$4,DedicProfObr!$A$4:$W$4,0))</f>
        <v>9098</v>
      </c>
      <c r="B40" s="179">
        <f>DedicProfObr!A24</f>
        <v>1.204</v>
      </c>
      <c r="C40" s="586" t="str">
        <f>INDEX(DedicProfObr!$A$4:$X$49,MATCH($B40,DedicProfObr!$A$4:$A$49,0),MATCH(DedicProfObr!$D$4,DedicProfObr!$A$4:$W$4,0))</f>
        <v>CADENERO 1</v>
      </c>
      <c r="D40" s="587"/>
      <c r="E40" s="241">
        <f>INDEX(DedicProfObr!$A$4:$X$51,MATCH($B40,DedicProfObr!$A$4:$A$51,0),MATCH(DedicProfObr!$E$4,DedicProfObr!$A$4:$W$4,0))</f>
        <v>2</v>
      </c>
      <c r="F40" s="201" t="str">
        <f>INDEX(DedicProfObr!$A$4:$X$51,MATCH($B40,DedicProfObr!$A$4:$A$51,0),MATCH(DedicProfObr!$F$4,DedicProfObr!$A$4:$W$4,0))</f>
        <v>N/A</v>
      </c>
      <c r="G40" s="242">
        <f>INDEX(DedicProfObr!$A$4:$X$51,MATCH($B40,DedicProfObr!$A$4:$A$51,0),MATCH(DedicProfObr!$G$4,DedicProfObr!$A$4:$W$4,0))</f>
        <v>1917000</v>
      </c>
      <c r="H40" s="243">
        <f>INDEX(DedicProfObr!$A$4:$X$51,MATCH($B40,DedicProfObr!$A$4:$A$51,0),MATCH(DedicProfObr!$H$4,DedicProfObr!$A$4:$W$4,0))</f>
        <v>1.569</v>
      </c>
      <c r="I40" s="201">
        <f>INDEX(DedicProfObr!$A$4:$W$51,MATCH($B40,DedicProfObr!$A$4:$A$51,0),MATCH(DedicProfObr!$U$4,DedicProfObr!$A$4:$W$4,0))</f>
        <v>0</v>
      </c>
      <c r="J40" s="201">
        <f>INDEX(DedicProfObr!$A$4:$W$51,MATCH($B40,DedicProfObr!$A$4:$A$51,0),MATCH(DedicProfObr!$W$4,DedicProfObr!$A$4:$W$4,0))</f>
        <v>0</v>
      </c>
      <c r="K40" s="244">
        <f t="shared" si="0"/>
        <v>0</v>
      </c>
      <c r="M40" s="228"/>
    </row>
    <row r="41" spans="1:13" s="228" customFormat="1" ht="11.25" x14ac:dyDescent="0.25">
      <c r="A41" s="240">
        <f>INDEX(DedicProfObr!$A$4:$X$51,MATCH($B41,DedicProfObr!$A$4:$A$51,0),MATCH(DedicProfObr!$B$4,DedicProfObr!$A$4:$W$4,0))</f>
        <v>9099</v>
      </c>
      <c r="B41" s="179">
        <f>DedicProfObr!A25</f>
        <v>1.2050000000000001</v>
      </c>
      <c r="C41" s="586" t="str">
        <f>INDEX(DedicProfObr!$A$4:$X$49,MATCH($B41,DedicProfObr!$A$4:$A$49,0),MATCH(DedicProfObr!$D$4,DedicProfObr!$A$4:$W$4,0))</f>
        <v>CADENERO 2</v>
      </c>
      <c r="D41" s="587"/>
      <c r="E41" s="241">
        <f>INDEX(DedicProfObr!$A$4:$X$51,MATCH($B41,DedicProfObr!$A$4:$A$51,0),MATCH(DedicProfObr!$E$4,DedicProfObr!$A$4:$W$4,0))</f>
        <v>2</v>
      </c>
      <c r="F41" s="201" t="str">
        <f>INDEX(DedicProfObr!$A$4:$X$51,MATCH($B41,DedicProfObr!$A$4:$A$51,0),MATCH(DedicProfObr!$F$4,DedicProfObr!$A$4:$W$4,0))</f>
        <v>N/A</v>
      </c>
      <c r="G41" s="242">
        <f>INDEX(DedicProfObr!$A$4:$X$51,MATCH($B41,DedicProfObr!$A$4:$A$51,0),MATCH(DedicProfObr!$G$4,DedicProfObr!$A$4:$W$4,0))</f>
        <v>1670000</v>
      </c>
      <c r="H41" s="243">
        <f>INDEX(DedicProfObr!$A$4:$X$51,MATCH($B41,DedicProfObr!$A$4:$A$51,0),MATCH(DedicProfObr!$H$4,DedicProfObr!$A$4:$W$4,0))</f>
        <v>1.5869</v>
      </c>
      <c r="I41" s="201">
        <f>INDEX(DedicProfObr!$A$4:$W$51,MATCH($B41,DedicProfObr!$A$4:$A$51,0),MATCH(DedicProfObr!$U$4,DedicProfObr!$A$4:$W$4,0))</f>
        <v>0</v>
      </c>
      <c r="J41" s="201">
        <f>INDEX(DedicProfObr!$A$4:$W$51,MATCH($B41,DedicProfObr!$A$4:$A$51,0),MATCH(DedicProfObr!$W$4,DedicProfObr!$A$4:$W$4,0))</f>
        <v>0</v>
      </c>
      <c r="K41" s="244">
        <f t="shared" si="0"/>
        <v>0</v>
      </c>
    </row>
    <row r="42" spans="1:13" s="228" customFormat="1" ht="11.25" x14ac:dyDescent="0.25">
      <c r="A42" s="240">
        <f>INDEX(DedicProfObr!$A$4:$X$51,MATCH($B42,DedicProfObr!$A$4:$A$51,0),MATCH(DedicProfObr!$B$4,DedicProfObr!$A$4:$W$4,0))</f>
        <v>9089</v>
      </c>
      <c r="B42" s="179">
        <f>DedicProfObr!A26</f>
        <v>1.206</v>
      </c>
      <c r="C42" s="586" t="str">
        <f>INDEX(DedicProfObr!$A$4:$X$49,MATCH($B42,DedicProfObr!$A$4:$A$49,0),MATCH(DedicProfObr!$D$4,DedicProfObr!$A$4:$W$4,0))</f>
        <v>LABORATORISTA INSPECTOR</v>
      </c>
      <c r="D42" s="587"/>
      <c r="E42" s="241">
        <f>INDEX(DedicProfObr!$A$4:$X$51,MATCH($B42,DedicProfObr!$A$4:$A$51,0),MATCH(DedicProfObr!$E$4,DedicProfObr!$A$4:$W$4,0))</f>
        <v>0</v>
      </c>
      <c r="F42" s="201" t="str">
        <f>INDEX(DedicProfObr!$A$4:$X$51,MATCH($B42,DedicProfObr!$A$4:$A$51,0),MATCH(DedicProfObr!$F$4,DedicProfObr!$A$4:$W$4,0))</f>
        <v>N/A</v>
      </c>
      <c r="G42" s="242">
        <f>INDEX(DedicProfObr!$A$4:$X$51,MATCH($B42,DedicProfObr!$A$4:$A$51,0),MATCH(DedicProfObr!$G$4,DedicProfObr!$A$4:$W$4,0))</f>
        <v>2739000</v>
      </c>
      <c r="H42" s="243">
        <f>INDEX(DedicProfObr!$A$4:$X$51,MATCH($B42,DedicProfObr!$A$4:$A$51,0),MATCH(DedicProfObr!$H$4,DedicProfObr!$A$4:$W$4,0))</f>
        <v>1.4584999999999999</v>
      </c>
      <c r="I42" s="201">
        <f>INDEX(DedicProfObr!$A$4:$W$51,MATCH($B42,DedicProfObr!$A$4:$A$51,0),MATCH(DedicProfObr!$U$4,DedicProfObr!$A$4:$W$4,0))</f>
        <v>0</v>
      </c>
      <c r="J42" s="201">
        <f>INDEX(DedicProfObr!$A$4:$W$51,MATCH($B42,DedicProfObr!$A$4:$A$51,0),MATCH(DedicProfObr!$W$4,DedicProfObr!$A$4:$W$4,0))</f>
        <v>0</v>
      </c>
      <c r="K42" s="244">
        <f t="shared" si="0"/>
        <v>0</v>
      </c>
    </row>
    <row r="43" spans="1:13" s="228" customFormat="1" ht="11.25" x14ac:dyDescent="0.25">
      <c r="A43" s="240">
        <f>INDEX(DedicProfObr!$A$4:$X$51,MATCH($B43,DedicProfObr!$A$4:$A$51,0),MATCH(DedicProfObr!$B$4,DedicProfObr!$A$4:$W$4,0))</f>
        <v>9086</v>
      </c>
      <c r="B43" s="179">
        <f>DedicProfObr!A27</f>
        <v>1.2070000000000001</v>
      </c>
      <c r="C43" s="586" t="str">
        <f>INDEX(DedicProfObr!$A$4:$X$49,MATCH($B43,DedicProfObr!$A$4:$A$49,0),MATCH(DedicProfObr!$D$4,DedicProfObr!$A$4:$W$4,0))</f>
        <v>DIBUJANTE</v>
      </c>
      <c r="D43" s="587"/>
      <c r="E43" s="241">
        <f>INDEX(DedicProfObr!$A$4:$X$51,MATCH($B43,DedicProfObr!$A$4:$A$51,0),MATCH(DedicProfObr!$E$4,DedicProfObr!$A$4:$W$4,0))</f>
        <v>0</v>
      </c>
      <c r="F43" s="201" t="str">
        <f>INDEX(DedicProfObr!$A$4:$X$51,MATCH($B43,DedicProfObr!$A$4:$A$51,0),MATCH(DedicProfObr!$F$4,DedicProfObr!$A$4:$W$4,0))</f>
        <v>NA</v>
      </c>
      <c r="G43" s="242">
        <f>INDEX(DedicProfObr!$A$4:$X$51,MATCH($B43,DedicProfObr!$A$4:$A$51,0),MATCH(DedicProfObr!$G$4,DedicProfObr!$A$4:$W$4,0))</f>
        <v>2734000</v>
      </c>
      <c r="H43" s="243">
        <f>INDEX(DedicProfObr!$A$4:$X$51,MATCH($B43,DedicProfObr!$A$4:$A$51,0),MATCH(DedicProfObr!$H$4,DedicProfObr!$A$4:$W$4,0))</f>
        <v>1.4584999999999999</v>
      </c>
      <c r="I43" s="201">
        <f>INDEX(DedicProfObr!$A$4:$W$51,MATCH($B43,DedicProfObr!$A$4:$A$51,0),MATCH(DedicProfObr!$U$4,DedicProfObr!$A$4:$W$4,0))</f>
        <v>0</v>
      </c>
      <c r="J43" s="201">
        <f>INDEX(DedicProfObr!$A$4:$W$51,MATCH($B43,DedicProfObr!$A$4:$A$51,0),MATCH(DedicProfObr!$W$4,DedicProfObr!$A$4:$W$4,0))</f>
        <v>0</v>
      </c>
      <c r="K43" s="244">
        <f t="shared" si="0"/>
        <v>0</v>
      </c>
    </row>
    <row r="44" spans="1:13" s="228" customFormat="1" ht="11.25" x14ac:dyDescent="0.25">
      <c r="A44" s="240">
        <f>INDEX(DedicProfObr!$A$4:$X$51,MATCH($B44,DedicProfObr!$A$4:$A$51,0),MATCH(DedicProfObr!$B$4,DedicProfObr!$A$4:$W$4,0))</f>
        <v>9100</v>
      </c>
      <c r="B44" s="179">
        <f>DedicProfObr!A28</f>
        <v>1.208</v>
      </c>
      <c r="C44" s="586" t="str">
        <f>INDEX(DedicProfObr!$A$4:$X$49,MATCH($B44,DedicProfObr!$A$4:$A$49,0),MATCH(DedicProfObr!$D$4,DedicProfObr!$A$4:$W$4,0))</f>
        <v>CONDUCTOR</v>
      </c>
      <c r="D44" s="587"/>
      <c r="E44" s="241">
        <f>INDEX(DedicProfObr!$A$4:$X$51,MATCH($B44,DedicProfObr!$A$4:$A$51,0),MATCH(DedicProfObr!$E$4,DedicProfObr!$A$4:$W$4,0))</f>
        <v>2</v>
      </c>
      <c r="F44" s="201" t="str">
        <f>INDEX(DedicProfObr!$A$4:$X$51,MATCH($B44,DedicProfObr!$A$4:$A$51,0),MATCH(DedicProfObr!$F$4,DedicProfObr!$A$4:$W$4,0))</f>
        <v>N/A</v>
      </c>
      <c r="G44" s="242">
        <f>INDEX(DedicProfObr!$A$4:$X$51,MATCH($B44,DedicProfObr!$A$4:$A$51,0),MATCH(DedicProfObr!$G$4,DedicProfObr!$A$4:$W$4,0))</f>
        <v>1389000</v>
      </c>
      <c r="H44" s="243">
        <f>INDEX(DedicProfObr!$A$4:$X$51,MATCH($B44,DedicProfObr!$A$4:$A$51,0),MATCH(DedicProfObr!$H$4,DedicProfObr!$A$4:$W$4,0))</f>
        <v>1.615</v>
      </c>
      <c r="I44" s="201">
        <f>INDEX(DedicProfObr!$A$4:$W$51,MATCH($B44,DedicProfObr!$A$4:$A$51,0),MATCH(DedicProfObr!$U$4,DedicProfObr!$A$4:$W$4,0))</f>
        <v>0.5</v>
      </c>
      <c r="J44" s="201">
        <f>INDEX(DedicProfObr!$A$4:$W$51,MATCH($B44,DedicProfObr!$A$4:$A$51,0),MATCH(DedicProfObr!$W$4,DedicProfObr!$A$4:$W$4,0))</f>
        <v>0</v>
      </c>
      <c r="K44" s="244">
        <f t="shared" si="0"/>
        <v>2243235</v>
      </c>
    </row>
    <row r="45" spans="1:13" s="228" customFormat="1" ht="11.25" x14ac:dyDescent="0.25">
      <c r="A45" s="249"/>
      <c r="B45" s="144">
        <f>DedicProfObr!A29</f>
        <v>1.3</v>
      </c>
      <c r="C45" s="148" t="s">
        <v>508</v>
      </c>
      <c r="D45" s="250"/>
      <c r="E45" s="197"/>
      <c r="F45" s="197"/>
      <c r="G45" s="251"/>
      <c r="H45" s="252"/>
      <c r="I45" s="253"/>
      <c r="J45" s="253"/>
      <c r="K45" s="254"/>
    </row>
    <row r="46" spans="1:13" s="228" customFormat="1" ht="11.25" x14ac:dyDescent="0.25">
      <c r="A46" s="240">
        <f>INDEX(DedicProfObr!$A$4:$X$51,MATCH($B46,DedicProfObr!$A$4:$A$51,0),MATCH(DedicProfObr!$B$4,DedicProfObr!$A$4:$W$4,0))</f>
        <v>9102</v>
      </c>
      <c r="B46" s="179">
        <f>DedicProfObr!A30</f>
        <v>1.3009999999999999</v>
      </c>
      <c r="C46" s="586" t="str">
        <f>INDEX(DedicProfObr!$A$4:$X$49,MATCH($B46,DedicProfObr!$A$4:$A$49,0),MATCH(DedicProfObr!$D$4,DedicProfObr!$A$4:$W$4,0))</f>
        <v>ADMINISTRADOR</v>
      </c>
      <c r="D46" s="587"/>
      <c r="E46" s="241">
        <f>INDEX(DedicProfObr!$A$4:$X$51,MATCH($B46,DedicProfObr!$A$4:$A$51,0),MATCH(DedicProfObr!$E$4,DedicProfObr!$A$4:$W$4,0))</f>
        <v>0</v>
      </c>
      <c r="F46" s="201" t="str">
        <f>INDEX(DedicProfObr!$A$4:$X$51,MATCH($B46,DedicProfObr!$A$4:$A$51,0),MATCH(DedicProfObr!$F$4,DedicProfObr!$A$4:$W$4,0))</f>
        <v>N/A</v>
      </c>
      <c r="G46" s="242">
        <f>INDEX(DedicProfObr!$A$4:$X$51,MATCH($B46,DedicProfObr!$A$4:$A$51,0),MATCH(DedicProfObr!$G$4,DedicProfObr!$A$4:$W$4,0))</f>
        <v>2879000</v>
      </c>
      <c r="H46" s="243">
        <f>INDEX(DedicProfObr!$A$4:$X$51,MATCH($B46,DedicProfObr!$A$4:$A$51,0),MATCH(DedicProfObr!$H$4,DedicProfObr!$A$4:$W$4,0))</f>
        <v>1.458</v>
      </c>
      <c r="I46" s="201">
        <f>INDEX(DedicProfObr!$A$4:$W$51,MATCH($B46,DedicProfObr!$A$4:$A$51,0),MATCH(DedicProfObr!$U$4,DedicProfObr!$A$4:$W$4,0))</f>
        <v>0</v>
      </c>
      <c r="J46" s="201">
        <f>INDEX(DedicProfObr!$A$4:$W$51,MATCH($B46,DedicProfObr!$A$4:$A$51,0),MATCH(DedicProfObr!$W$4,DedicProfObr!$A$4:$W$4,0))</f>
        <v>0</v>
      </c>
      <c r="K46" s="244">
        <f t="shared" si="0"/>
        <v>0</v>
      </c>
    </row>
    <row r="47" spans="1:13" s="228" customFormat="1" ht="11.25" x14ac:dyDescent="0.25">
      <c r="A47" s="240">
        <f>INDEX(DedicProfObr!$A$4:$X$51,MATCH($B47,DedicProfObr!$A$4:$A$51,0),MATCH(DedicProfObr!$B$4,DedicProfObr!$A$4:$W$4,0))</f>
        <v>9103</v>
      </c>
      <c r="B47" s="179">
        <f>DedicProfObr!A31</f>
        <v>1.302</v>
      </c>
      <c r="C47" s="586" t="str">
        <f>INDEX(DedicProfObr!$A$4:$X$49,MATCH($B47,DedicProfObr!$A$4:$A$49,0),MATCH(DedicProfObr!$D$4,DedicProfObr!$A$4:$W$4,0))</f>
        <v>ALMACENISTA</v>
      </c>
      <c r="D47" s="587"/>
      <c r="E47" s="241">
        <f>INDEX(DedicProfObr!$A$4:$X$51,MATCH($B47,DedicProfObr!$A$4:$A$51,0),MATCH(DedicProfObr!$E$4,DedicProfObr!$A$4:$W$4,0))</f>
        <v>1</v>
      </c>
      <c r="F47" s="201" t="str">
        <f>INDEX(DedicProfObr!$A$4:$X$51,MATCH($B47,DedicProfObr!$A$4:$A$51,0),MATCH(DedicProfObr!$F$4,DedicProfObr!$A$4:$W$4,0))</f>
        <v>N/A</v>
      </c>
      <c r="G47" s="242">
        <f>INDEX(DedicProfObr!$A$4:$X$51,MATCH($B47,DedicProfObr!$A$4:$A$51,0),MATCH(DedicProfObr!$G$4,DedicProfObr!$A$4:$W$4,0))</f>
        <v>2053000</v>
      </c>
      <c r="H47" s="243">
        <f>INDEX(DedicProfObr!$A$4:$X$51,MATCH($B47,DedicProfObr!$A$4:$A$51,0),MATCH(DedicProfObr!$H$4,DedicProfObr!$A$4:$W$4,0))</f>
        <v>1.5609999999999999</v>
      </c>
      <c r="I47" s="201">
        <f>INDEX(DedicProfObr!$A$4:$W$51,MATCH($B47,DedicProfObr!$A$4:$A$51,0),MATCH(DedicProfObr!$U$4,DedicProfObr!$A$4:$W$4,0))</f>
        <v>0</v>
      </c>
      <c r="J47" s="201">
        <f>INDEX(DedicProfObr!$A$4:$W$51,MATCH($B47,DedicProfObr!$A$4:$A$51,0),MATCH(DedicProfObr!$W$4,DedicProfObr!$A$4:$W$4,0))</f>
        <v>0</v>
      </c>
      <c r="K47" s="244">
        <f t="shared" si="0"/>
        <v>0</v>
      </c>
    </row>
    <row r="48" spans="1:13" s="228" customFormat="1" ht="11.25" x14ac:dyDescent="0.25">
      <c r="A48" s="240">
        <f>INDEX(DedicProfObr!$A$4:$X$51,MATCH($B48,DedicProfObr!$A$4:$A$51,0),MATCH(DedicProfObr!$B$4,DedicProfObr!$A$4:$W$4,0))</f>
        <v>9104</v>
      </c>
      <c r="B48" s="179">
        <f>DedicProfObr!A32</f>
        <v>1.3029999999999999</v>
      </c>
      <c r="C48" s="586" t="str">
        <f>INDEX(DedicProfObr!$A$4:$X$49,MATCH($B48,DedicProfObr!$A$4:$A$49,0),MATCH(DedicProfObr!$D$4,DedicProfObr!$A$4:$W$4,0))</f>
        <v>SECRETARIA 1</v>
      </c>
      <c r="D48" s="587"/>
      <c r="E48" s="241">
        <f>INDEX(DedicProfObr!$A$4:$X$51,MATCH($B48,DedicProfObr!$A$4:$A$51,0),MATCH(DedicProfObr!$E$4,DedicProfObr!$A$4:$W$4,0))</f>
        <v>1</v>
      </c>
      <c r="F48" s="201" t="str">
        <f>INDEX(DedicProfObr!$A$4:$X$51,MATCH($B48,DedicProfObr!$A$4:$A$51,0),MATCH(DedicProfObr!$F$4,DedicProfObr!$A$4:$W$4,0))</f>
        <v>N/A</v>
      </c>
      <c r="G48" s="242">
        <f>INDEX(DedicProfObr!$A$4:$X$51,MATCH($B48,DedicProfObr!$A$4:$A$51,0),MATCH(DedicProfObr!$G$4,DedicProfObr!$A$4:$W$4,0))</f>
        <v>1670000</v>
      </c>
      <c r="H48" s="243">
        <f>INDEX(DedicProfObr!$A$4:$X$51,MATCH($B48,DedicProfObr!$A$4:$A$51,0),MATCH(DedicProfObr!$H$4,DedicProfObr!$A$4:$W$4,0))</f>
        <v>1.5869</v>
      </c>
      <c r="I48" s="201">
        <f>INDEX(DedicProfObr!$A$4:$W$51,MATCH($B48,DedicProfObr!$A$4:$A$51,0),MATCH(DedicProfObr!$U$4,DedicProfObr!$A$4:$W$4,0))</f>
        <v>0</v>
      </c>
      <c r="J48" s="201">
        <f>INDEX(DedicProfObr!$A$4:$W$51,MATCH($B48,DedicProfObr!$A$4:$A$51,0),MATCH(DedicProfObr!$W$4,DedicProfObr!$A$4:$W$4,0))</f>
        <v>0</v>
      </c>
      <c r="K48" s="244">
        <f t="shared" si="0"/>
        <v>0</v>
      </c>
    </row>
    <row r="49" spans="1:13" s="228" customFormat="1" ht="11.25" x14ac:dyDescent="0.25">
      <c r="A49" s="240">
        <f>INDEX(DedicProfObr!$A$4:$X$51,MATCH($B49,DedicProfObr!$A$4:$A$51,0),MATCH(DedicProfObr!$B$4,DedicProfObr!$A$4:$W$4,0))</f>
        <v>9105</v>
      </c>
      <c r="B49" s="179">
        <f>DedicProfObr!A33</f>
        <v>1.304</v>
      </c>
      <c r="C49" s="586" t="str">
        <f>INDEX(DedicProfObr!$A$4:$X$49,MATCH($B49,DedicProfObr!$A$4:$A$49,0),MATCH(DedicProfObr!$D$4,DedicProfObr!$A$4:$W$4,0))</f>
        <v>SECRETARIA 2</v>
      </c>
      <c r="D49" s="587"/>
      <c r="E49" s="241">
        <f>INDEX(DedicProfObr!$A$4:$X$51,MATCH($B49,DedicProfObr!$A$4:$A$51,0),MATCH(DedicProfObr!$E$4,DedicProfObr!$A$4:$W$4,0))</f>
        <v>0</v>
      </c>
      <c r="F49" s="201" t="str">
        <f>INDEX(DedicProfObr!$A$4:$X$51,MATCH($B49,DedicProfObr!$A$4:$A$51,0),MATCH(DedicProfObr!$F$4,DedicProfObr!$A$4:$W$4,0))</f>
        <v>N/A</v>
      </c>
      <c r="G49" s="242">
        <f>INDEX(DedicProfObr!$A$4:$X$51,MATCH($B49,DedicProfObr!$A$4:$A$51,0),MATCH(DedicProfObr!$G$4,DedicProfObr!$A$4:$W$4,0))</f>
        <v>1389000</v>
      </c>
      <c r="H49" s="243">
        <f>INDEX(DedicProfObr!$A$4:$X$51,MATCH($B49,DedicProfObr!$A$4:$A$51,0),MATCH(DedicProfObr!$H$4,DedicProfObr!$A$4:$W$4,0))</f>
        <v>1.615</v>
      </c>
      <c r="I49" s="201">
        <f>INDEX(DedicProfObr!$A$4:$W$51,MATCH($B49,DedicProfObr!$A$4:$A$51,0),MATCH(DedicProfObr!$U$4,DedicProfObr!$A$4:$W$4,0))</f>
        <v>0</v>
      </c>
      <c r="J49" s="201">
        <f>INDEX(DedicProfObr!$A$4:$W$51,MATCH($B49,DedicProfObr!$A$4:$A$51,0),MATCH(DedicProfObr!$W$4,DedicProfObr!$A$4:$W$4,0))</f>
        <v>0</v>
      </c>
      <c r="K49" s="244">
        <f t="shared" si="0"/>
        <v>0</v>
      </c>
    </row>
    <row r="50" spans="1:13" s="228" customFormat="1" ht="11.25" x14ac:dyDescent="0.25">
      <c r="A50" s="240">
        <f>INDEX(DedicProfObr!$A$4:$X$51,MATCH($B50,DedicProfObr!$A$4:$A$51,0),MATCH(DedicProfObr!$B$4,DedicProfObr!$A$4:$W$4,0))</f>
        <v>9575</v>
      </c>
      <c r="B50" s="179">
        <f>DedicProfObr!A34</f>
        <v>1.3049999999999999</v>
      </c>
      <c r="C50" s="586" t="str">
        <f>INDEX(DedicProfObr!$A$4:$X$49,MATCH($B50,DedicProfObr!$A$4:$A$49,0),MATCH(DedicProfObr!$D$4,DedicProfObr!$A$4:$W$4,0))</f>
        <v>CELADOR ARMADO 24 HORAS</v>
      </c>
      <c r="D50" s="587"/>
      <c r="E50" s="241">
        <f>INDEX(DedicProfObr!$A$4:$X$51,MATCH($B50,DedicProfObr!$A$4:$A$51,0),MATCH(DedicProfObr!$E$4,DedicProfObr!$A$4:$W$4,0))</f>
        <v>1</v>
      </c>
      <c r="F50" s="201" t="str">
        <f>INDEX(DedicProfObr!$A$4:$X$51,MATCH($B50,DedicProfObr!$A$4:$A$51,0),MATCH(DedicProfObr!$F$4,DedicProfObr!$A$4:$W$4,0))</f>
        <v>N/A</v>
      </c>
      <c r="G50" s="242">
        <f>INDEX(DedicProfObr!$A$4:$X$51,MATCH($B50,DedicProfObr!$A$4:$A$51,0),MATCH(DedicProfObr!$G$4,DedicProfObr!$A$4:$W$4,0))</f>
        <v>10981528</v>
      </c>
      <c r="H50" s="243">
        <f>INDEX(DedicProfObr!$A$4:$X$51,MATCH($B50,DedicProfObr!$A$4:$A$51,0),MATCH(DedicProfObr!$H$4,DedicProfObr!$A$4:$W$4,0))</f>
        <v>1</v>
      </c>
      <c r="I50" s="201">
        <f>INDEX(DedicProfObr!$A$4:$W$51,MATCH($B50,DedicProfObr!$A$4:$A$51,0),MATCH(DedicProfObr!$U$4,DedicProfObr!$A$4:$W$4,0))</f>
        <v>0</v>
      </c>
      <c r="J50" s="201">
        <f>INDEX(DedicProfObr!$A$4:$W$51,MATCH($B50,DedicProfObr!$A$4:$A$51,0),MATCH(DedicProfObr!$W$4,DedicProfObr!$A$4:$W$4,0))</f>
        <v>0</v>
      </c>
      <c r="K50" s="244">
        <f t="shared" si="0"/>
        <v>0</v>
      </c>
    </row>
    <row r="51" spans="1:13" s="228" customFormat="1" ht="11.25" x14ac:dyDescent="0.25">
      <c r="A51" s="255"/>
      <c r="B51" s="256"/>
      <c r="C51" s="588" t="s">
        <v>586</v>
      </c>
      <c r="D51" s="589"/>
      <c r="E51" s="589"/>
      <c r="F51" s="589"/>
      <c r="G51" s="589"/>
      <c r="H51" s="589"/>
      <c r="I51" s="589"/>
      <c r="J51" s="589"/>
      <c r="K51" s="257">
        <f>+SUM(K16:K50)</f>
        <v>48907654</v>
      </c>
    </row>
    <row r="52" spans="1:13" s="228" customFormat="1" ht="11.25" x14ac:dyDescent="0.25">
      <c r="A52" s="255"/>
      <c r="C52" s="590"/>
      <c r="D52" s="590"/>
      <c r="E52" s="590"/>
      <c r="F52" s="590"/>
      <c r="G52" s="590"/>
      <c r="H52" s="590"/>
      <c r="I52" s="590"/>
      <c r="J52" s="590"/>
      <c r="K52" s="591"/>
    </row>
    <row r="53" spans="1:13" s="228" customFormat="1" ht="11.25" x14ac:dyDescent="0.25">
      <c r="A53" s="322" t="s">
        <v>643</v>
      </c>
      <c r="B53" s="149"/>
      <c r="C53" s="149"/>
      <c r="D53" s="149"/>
      <c r="E53" s="149"/>
      <c r="F53" s="149"/>
      <c r="G53" s="149"/>
      <c r="H53" s="149"/>
      <c r="I53" s="149"/>
      <c r="J53" s="149"/>
      <c r="K53" s="235"/>
    </row>
    <row r="54" spans="1:13" s="228" customFormat="1" ht="25.15" customHeight="1" x14ac:dyDescent="0.25">
      <c r="A54" s="226" t="s">
        <v>450</v>
      </c>
      <c r="B54" s="142" t="str">
        <f>B11</f>
        <v>ÍTEM</v>
      </c>
      <c r="C54" s="521" t="s">
        <v>43</v>
      </c>
      <c r="D54" s="523"/>
      <c r="E54" s="261" t="s">
        <v>588</v>
      </c>
      <c r="F54" s="142" t="s">
        <v>589</v>
      </c>
      <c r="G54" s="142" t="s">
        <v>590</v>
      </c>
      <c r="H54" s="261" t="s">
        <v>591</v>
      </c>
      <c r="I54" s="142" t="s">
        <v>592</v>
      </c>
      <c r="J54" s="143" t="s">
        <v>593</v>
      </c>
      <c r="K54" s="262" t="s">
        <v>594</v>
      </c>
      <c r="M54" s="263"/>
    </row>
    <row r="55" spans="1:13" s="263" customFormat="1" ht="10.15" customHeight="1" x14ac:dyDescent="0.25">
      <c r="A55" s="240">
        <v>9576</v>
      </c>
      <c r="B55" s="264">
        <v>2.0099999999999998</v>
      </c>
      <c r="C55" s="608" t="s">
        <v>595</v>
      </c>
      <c r="D55" s="609"/>
      <c r="E55" s="265">
        <v>1</v>
      </c>
      <c r="F55" s="266">
        <v>70</v>
      </c>
      <c r="G55" s="267">
        <v>45108</v>
      </c>
      <c r="H55" s="268">
        <v>0.5</v>
      </c>
      <c r="I55" s="269">
        <f>F55*H55</f>
        <v>35</v>
      </c>
      <c r="J55" s="270">
        <f>+$E$6</f>
        <v>1</v>
      </c>
      <c r="K55" s="271">
        <f>+J55*G55*I55*E55*H55</f>
        <v>789390</v>
      </c>
      <c r="M55" s="228"/>
    </row>
    <row r="56" spans="1:13" s="228" customFormat="1" ht="21.75" customHeight="1" x14ac:dyDescent="0.25">
      <c r="A56" s="240">
        <v>9577</v>
      </c>
      <c r="B56" s="264">
        <v>2.0199999999999996</v>
      </c>
      <c r="C56" s="608" t="s">
        <v>596</v>
      </c>
      <c r="D56" s="609"/>
      <c r="E56" s="265">
        <v>1</v>
      </c>
      <c r="F56" s="266">
        <v>100</v>
      </c>
      <c r="G56" s="267">
        <v>30851</v>
      </c>
      <c r="H56" s="268">
        <v>0.25</v>
      </c>
      <c r="I56" s="269">
        <f>F56*H56</f>
        <v>25</v>
      </c>
      <c r="J56" s="270">
        <f t="shared" ref="J56:J60" si="1">+$E$6</f>
        <v>1</v>
      </c>
      <c r="K56" s="271">
        <f>+J56*G56*I56*E56*H56</f>
        <v>192818.75</v>
      </c>
    </row>
    <row r="57" spans="1:13" s="228" customFormat="1" ht="10.9" customHeight="1" x14ac:dyDescent="0.25">
      <c r="A57" s="240">
        <v>9578</v>
      </c>
      <c r="B57" s="264">
        <v>2.0299999999999998</v>
      </c>
      <c r="C57" s="608" t="s">
        <v>597</v>
      </c>
      <c r="D57" s="609"/>
      <c r="E57" s="265">
        <v>1</v>
      </c>
      <c r="F57" s="158" t="s">
        <v>492</v>
      </c>
      <c r="G57" s="267">
        <v>1043625</v>
      </c>
      <c r="H57" s="268">
        <v>1</v>
      </c>
      <c r="I57" s="269" t="s">
        <v>492</v>
      </c>
      <c r="J57" s="270">
        <f t="shared" si="1"/>
        <v>1</v>
      </c>
      <c r="K57" s="271">
        <f>+J57*G57*H57*E57</f>
        <v>1043625</v>
      </c>
    </row>
    <row r="58" spans="1:13" s="228" customFormat="1" ht="10.9" customHeight="1" x14ac:dyDescent="0.25">
      <c r="A58" s="272">
        <v>9117</v>
      </c>
      <c r="B58" s="264">
        <v>2.04</v>
      </c>
      <c r="C58" s="585" t="s">
        <v>598</v>
      </c>
      <c r="D58" s="585"/>
      <c r="E58" s="273">
        <f>IF(I42=0,0,E42)</f>
        <v>0</v>
      </c>
      <c r="F58" s="158" t="s">
        <v>492</v>
      </c>
      <c r="G58" s="267">
        <v>6399000</v>
      </c>
      <c r="H58" s="274">
        <f>ROUND(I42/E7,2)</f>
        <v>0</v>
      </c>
      <c r="I58" s="269" t="s">
        <v>492</v>
      </c>
      <c r="J58" s="270">
        <f t="shared" si="1"/>
        <v>1</v>
      </c>
      <c r="K58" s="271">
        <f>+J58*G58*H58*E58</f>
        <v>0</v>
      </c>
    </row>
    <row r="59" spans="1:13" s="228" customFormat="1" ht="11.25" x14ac:dyDescent="0.25">
      <c r="A59" s="272">
        <v>9115</v>
      </c>
      <c r="B59" s="264">
        <v>2.0499999999999998</v>
      </c>
      <c r="C59" s="585" t="s">
        <v>599</v>
      </c>
      <c r="D59" s="585"/>
      <c r="E59" s="275">
        <f>IF(I39=0,0,E39)</f>
        <v>0</v>
      </c>
      <c r="F59" s="158" t="s">
        <v>492</v>
      </c>
      <c r="G59" s="267">
        <v>4103000</v>
      </c>
      <c r="H59" s="274">
        <f>I39/J59</f>
        <v>0</v>
      </c>
      <c r="I59" s="269" t="s">
        <v>492</v>
      </c>
      <c r="J59" s="270">
        <f t="shared" si="1"/>
        <v>1</v>
      </c>
      <c r="K59" s="271">
        <f>+J59*G59*H59*E59</f>
        <v>0</v>
      </c>
    </row>
    <row r="60" spans="1:13" s="228" customFormat="1" ht="21.2" customHeight="1" x14ac:dyDescent="0.25">
      <c r="A60" s="240">
        <v>9165</v>
      </c>
      <c r="B60" s="264">
        <v>2.06</v>
      </c>
      <c r="C60" s="585" t="s">
        <v>600</v>
      </c>
      <c r="D60" s="585"/>
      <c r="E60" s="275">
        <f>E44</f>
        <v>2</v>
      </c>
      <c r="F60" s="277" t="s">
        <v>492</v>
      </c>
      <c r="G60" s="267">
        <v>7265000</v>
      </c>
      <c r="H60" s="278">
        <f>I44/J60</f>
        <v>0.5</v>
      </c>
      <c r="I60" s="269" t="s">
        <v>492</v>
      </c>
      <c r="J60" s="270">
        <f t="shared" si="1"/>
        <v>1</v>
      </c>
      <c r="K60" s="280">
        <f>+J60*G60*H60*E60</f>
        <v>7265000</v>
      </c>
    </row>
    <row r="61" spans="1:13" s="228" customFormat="1" ht="11.25" x14ac:dyDescent="0.25">
      <c r="A61" s="255"/>
      <c r="B61" s="256"/>
      <c r="C61" s="579" t="s">
        <v>601</v>
      </c>
      <c r="D61" s="580"/>
      <c r="E61" s="580"/>
      <c r="F61" s="580"/>
      <c r="G61" s="580"/>
      <c r="H61" s="580"/>
      <c r="I61" s="580"/>
      <c r="J61" s="580"/>
      <c r="K61" s="281">
        <f>+SUM(K55:K60)</f>
        <v>9290833.75</v>
      </c>
    </row>
    <row r="62" spans="1:13" s="228" customFormat="1" ht="12" customHeight="1" x14ac:dyDescent="0.25">
      <c r="A62" s="255"/>
      <c r="B62" s="256"/>
      <c r="C62" s="581"/>
      <c r="D62" s="581"/>
      <c r="E62" s="581"/>
      <c r="F62" s="581"/>
      <c r="G62" s="581"/>
      <c r="H62" s="581"/>
      <c r="I62" s="581"/>
      <c r="J62" s="581"/>
      <c r="K62" s="582"/>
    </row>
    <row r="63" spans="1:13" s="228" customFormat="1" ht="12" customHeight="1" thickBot="1" x14ac:dyDescent="0.3">
      <c r="A63" s="312"/>
      <c r="B63" s="313"/>
      <c r="C63" s="605" t="s">
        <v>603</v>
      </c>
      <c r="D63" s="606"/>
      <c r="E63" s="606"/>
      <c r="F63" s="606"/>
      <c r="G63" s="606"/>
      <c r="H63" s="606"/>
      <c r="I63" s="606"/>
      <c r="J63" s="607"/>
      <c r="K63" s="323">
        <f>+K51+K61</f>
        <v>58198487.75</v>
      </c>
    </row>
  </sheetData>
  <mergeCells count="64">
    <mergeCell ref="B7:D7"/>
    <mergeCell ref="F7:G7"/>
    <mergeCell ref="A2:K2"/>
    <mergeCell ref="A3:K3"/>
    <mergeCell ref="A4:K4"/>
    <mergeCell ref="B6:D6"/>
    <mergeCell ref="F6:G6"/>
    <mergeCell ref="C17:D17"/>
    <mergeCell ref="B8:D8"/>
    <mergeCell ref="F8:G8"/>
    <mergeCell ref="A11:A14"/>
    <mergeCell ref="B11:B14"/>
    <mergeCell ref="C11:D14"/>
    <mergeCell ref="E11:E13"/>
    <mergeCell ref="F11:F14"/>
    <mergeCell ref="G11:G13"/>
    <mergeCell ref="H11:H13"/>
    <mergeCell ref="I11:J12"/>
    <mergeCell ref="K11:K13"/>
    <mergeCell ref="I14:J14"/>
    <mergeCell ref="C16:D16"/>
    <mergeCell ref="C29:D29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42:D42"/>
    <mergeCell ref="C30:D30"/>
    <mergeCell ref="C31:D31"/>
    <mergeCell ref="C32:D32"/>
    <mergeCell ref="C33:D33"/>
    <mergeCell ref="C34:D34"/>
    <mergeCell ref="C35:D35"/>
    <mergeCell ref="C37:D37"/>
    <mergeCell ref="C38:D38"/>
    <mergeCell ref="C39:D39"/>
    <mergeCell ref="C40:D40"/>
    <mergeCell ref="C41:D41"/>
    <mergeCell ref="C56:D56"/>
    <mergeCell ref="C43:D43"/>
    <mergeCell ref="C44:D44"/>
    <mergeCell ref="C46:D46"/>
    <mergeCell ref="C47:D47"/>
    <mergeCell ref="C48:D48"/>
    <mergeCell ref="C49:D49"/>
    <mergeCell ref="C50:D50"/>
    <mergeCell ref="C51:J51"/>
    <mergeCell ref="C52:K52"/>
    <mergeCell ref="C54:D54"/>
    <mergeCell ref="C55:D55"/>
    <mergeCell ref="C63:J63"/>
    <mergeCell ref="C57:D57"/>
    <mergeCell ref="C58:D58"/>
    <mergeCell ref="C59:D59"/>
    <mergeCell ref="C60:D60"/>
    <mergeCell ref="C61:J61"/>
    <mergeCell ref="C62:K62"/>
  </mergeCells>
  <pageMargins left="0.7" right="0.7" top="0.75" bottom="0.75" header="0.3" footer="0.3"/>
  <pageSetup paperSize="119" scale="7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2">
    <tabColor theme="9"/>
    <pageSetUpPr fitToPage="1"/>
  </sheetPr>
  <dimension ref="A1:V258"/>
  <sheetViews>
    <sheetView view="pageBreakPreview" zoomScale="70" zoomScaleNormal="100" zoomScaleSheetLayoutView="70" workbookViewId="0">
      <selection activeCell="B9" sqref="B9:N13"/>
    </sheetView>
  </sheetViews>
  <sheetFormatPr baseColWidth="10" defaultColWidth="11" defaultRowHeight="12.75" x14ac:dyDescent="0.2"/>
  <cols>
    <col min="1" max="1" width="11" style="325"/>
    <col min="2" max="2" width="10" style="381" customWidth="1"/>
    <col min="3" max="3" width="11" style="325"/>
    <col min="4" max="4" width="44.140625" style="325" customWidth="1"/>
    <col min="5" max="5" width="11" style="325"/>
    <col min="6" max="7" width="13.7109375" style="325" customWidth="1"/>
    <col min="8" max="9" width="13.28515625" style="325" customWidth="1"/>
    <col min="10" max="10" width="15.85546875" style="325" bestFit="1" customWidth="1"/>
    <col min="11" max="11" width="13.85546875" style="325" bestFit="1" customWidth="1"/>
    <col min="12" max="13" width="12.5703125" style="325" customWidth="1"/>
    <col min="14" max="14" width="22" style="325" bestFit="1" customWidth="1"/>
    <col min="15" max="16" width="11" style="325"/>
    <col min="17" max="17" width="24.28515625" style="325" customWidth="1"/>
    <col min="18" max="18" width="39.7109375" style="325" customWidth="1"/>
    <col min="19" max="20" width="11" style="325"/>
    <col min="21" max="21" width="25.28515625" style="325" customWidth="1"/>
    <col min="22" max="16384" width="11" style="325"/>
  </cols>
  <sheetData>
    <row r="1" spans="1:22" x14ac:dyDescent="0.2">
      <c r="A1" s="324" t="s">
        <v>644</v>
      </c>
      <c r="B1" s="324" t="s">
        <v>645</v>
      </c>
      <c r="C1" s="324" t="s">
        <v>646</v>
      </c>
      <c r="D1" s="324" t="s">
        <v>647</v>
      </c>
      <c r="E1" s="324" t="s">
        <v>648</v>
      </c>
      <c r="F1" s="324" t="s">
        <v>649</v>
      </c>
      <c r="G1" s="324" t="s">
        <v>650</v>
      </c>
      <c r="H1" s="324" t="s">
        <v>651</v>
      </c>
      <c r="I1" s="324" t="s">
        <v>652</v>
      </c>
      <c r="J1" s="324" t="s">
        <v>653</v>
      </c>
      <c r="K1" s="324" t="s">
        <v>654</v>
      </c>
      <c r="L1" s="324" t="s">
        <v>655</v>
      </c>
      <c r="M1" s="324" t="s">
        <v>656</v>
      </c>
      <c r="N1" s="324" t="s">
        <v>657</v>
      </c>
      <c r="O1" s="324" t="s">
        <v>658</v>
      </c>
    </row>
    <row r="2" spans="1:22" ht="17.649999999999999" customHeight="1" x14ac:dyDescent="0.2">
      <c r="B2" s="696" t="str">
        <f>Base!$C$7</f>
        <v>FONDO DE DESARROLLO LOCAL DE SUBA</v>
      </c>
      <c r="C2" s="697"/>
      <c r="D2" s="697"/>
      <c r="E2" s="697"/>
      <c r="F2" s="697"/>
      <c r="G2" s="697"/>
      <c r="H2" s="697"/>
      <c r="I2" s="697"/>
      <c r="J2" s="697"/>
      <c r="K2" s="697"/>
      <c r="L2" s="697"/>
      <c r="M2" s="697"/>
      <c r="N2" s="698"/>
      <c r="O2" s="326">
        <v>1</v>
      </c>
    </row>
    <row r="3" spans="1:22" ht="17.649999999999999" customHeight="1" x14ac:dyDescent="0.2">
      <c r="B3" s="699"/>
      <c r="C3" s="700"/>
      <c r="D3" s="700"/>
      <c r="E3" s="700"/>
      <c r="F3" s="700"/>
      <c r="G3" s="700"/>
      <c r="H3" s="700"/>
      <c r="I3" s="700"/>
      <c r="J3" s="700"/>
      <c r="K3" s="700"/>
      <c r="L3" s="700"/>
      <c r="M3" s="700"/>
      <c r="N3" s="701"/>
      <c r="O3" s="326">
        <v>1</v>
      </c>
    </row>
    <row r="4" spans="1:22" ht="18.75" customHeight="1" x14ac:dyDescent="0.2">
      <c r="B4" s="702" t="s">
        <v>659</v>
      </c>
      <c r="C4" s="703"/>
      <c r="D4" s="703"/>
      <c r="E4" s="703"/>
      <c r="F4" s="703"/>
      <c r="G4" s="703"/>
      <c r="H4" s="703"/>
      <c r="I4" s="703"/>
      <c r="J4" s="703"/>
      <c r="K4" s="703"/>
      <c r="L4" s="703"/>
      <c r="M4" s="703"/>
      <c r="N4" s="704"/>
      <c r="O4" s="326">
        <v>1</v>
      </c>
    </row>
    <row r="5" spans="1:22" ht="15" x14ac:dyDescent="0.2">
      <c r="A5" s="327" t="s">
        <v>660</v>
      </c>
      <c r="B5" s="553" t="s">
        <v>565</v>
      </c>
      <c r="C5" s="554"/>
      <c r="D5" s="554"/>
      <c r="E5" s="216">
        <f>DedicProfObr!$U$6</f>
        <v>1</v>
      </c>
      <c r="F5" s="690" t="s">
        <v>566</v>
      </c>
      <c r="G5" s="690"/>
      <c r="H5" s="328"/>
      <c r="N5" s="329"/>
      <c r="O5" s="326">
        <v>1</v>
      </c>
    </row>
    <row r="6" spans="1:22" ht="15" x14ac:dyDescent="0.2">
      <c r="A6" s="327" t="s">
        <v>661</v>
      </c>
      <c r="B6" s="553" t="s">
        <v>568</v>
      </c>
      <c r="C6" s="554"/>
      <c r="D6" s="554"/>
      <c r="E6" s="216">
        <f>DedicProfObr!$V$6</f>
        <v>6</v>
      </c>
      <c r="F6" s="690" t="s">
        <v>566</v>
      </c>
      <c r="G6" s="690"/>
      <c r="H6" s="328"/>
      <c r="O6" s="326">
        <v>1</v>
      </c>
    </row>
    <row r="7" spans="1:22" ht="15.75" thickBot="1" x14ac:dyDescent="0.25">
      <c r="A7" s="327" t="s">
        <v>662</v>
      </c>
      <c r="B7" s="560" t="s">
        <v>569</v>
      </c>
      <c r="C7" s="561"/>
      <c r="D7" s="561"/>
      <c r="E7" s="225">
        <f>DedicProfObr!$W$6</f>
        <v>0</v>
      </c>
      <c r="F7" s="690" t="s">
        <v>566</v>
      </c>
      <c r="G7" s="690"/>
      <c r="H7" s="328"/>
      <c r="N7" s="329"/>
      <c r="O7" s="326">
        <v>1</v>
      </c>
    </row>
    <row r="8" spans="1:22" ht="15" x14ac:dyDescent="0.2">
      <c r="A8" s="78"/>
      <c r="B8" s="691" t="s">
        <v>663</v>
      </c>
      <c r="C8" s="691"/>
      <c r="D8" s="691"/>
      <c r="E8" s="330">
        <f>SUM(E5:E7)</f>
        <v>7</v>
      </c>
      <c r="F8" s="690" t="s">
        <v>566</v>
      </c>
      <c r="G8" s="690"/>
      <c r="H8" s="328"/>
      <c r="N8" s="329"/>
      <c r="O8" s="326">
        <v>1</v>
      </c>
    </row>
    <row r="9" spans="1:22" x14ac:dyDescent="0.2">
      <c r="B9" s="692"/>
      <c r="C9" s="693"/>
      <c r="D9" s="693"/>
      <c r="E9" s="693"/>
      <c r="F9" s="693"/>
      <c r="G9" s="693"/>
      <c r="H9" s="693"/>
      <c r="I9" s="693"/>
      <c r="J9" s="693"/>
      <c r="K9" s="693"/>
      <c r="L9" s="693"/>
      <c r="M9" s="693"/>
      <c r="N9" s="694"/>
      <c r="O9" s="326">
        <v>1</v>
      </c>
    </row>
    <row r="10" spans="1:22" ht="12.75" customHeight="1" x14ac:dyDescent="0.2">
      <c r="B10" s="653" t="s">
        <v>664</v>
      </c>
      <c r="C10" s="650" t="s">
        <v>665</v>
      </c>
      <c r="D10" s="651"/>
      <c r="E10" s="651"/>
      <c r="F10" s="651"/>
      <c r="G10" s="651"/>
      <c r="H10" s="651"/>
      <c r="I10" s="651"/>
      <c r="J10" s="651"/>
      <c r="K10" s="651"/>
      <c r="L10" s="651"/>
      <c r="M10" s="651"/>
      <c r="N10" s="652"/>
      <c r="O10" s="326">
        <v>1</v>
      </c>
    </row>
    <row r="11" spans="1:22" ht="12.75" customHeight="1" x14ac:dyDescent="0.2">
      <c r="B11" s="695"/>
      <c r="C11" s="331" t="s">
        <v>666</v>
      </c>
      <c r="D11" s="650" t="s">
        <v>667</v>
      </c>
      <c r="E11" s="651"/>
      <c r="F11" s="651"/>
      <c r="G11" s="651"/>
      <c r="H11" s="651"/>
      <c r="I11" s="651"/>
      <c r="J11" s="651"/>
      <c r="K11" s="651"/>
      <c r="L11" s="651"/>
      <c r="M11" s="651"/>
      <c r="N11" s="652"/>
      <c r="O11" s="326">
        <v>1</v>
      </c>
    </row>
    <row r="12" spans="1:22" ht="33.75" x14ac:dyDescent="0.2">
      <c r="B12" s="695"/>
      <c r="C12" s="653" t="s">
        <v>449</v>
      </c>
      <c r="D12" s="665" t="s">
        <v>451</v>
      </c>
      <c r="E12" s="665"/>
      <c r="F12" s="665"/>
      <c r="G12" s="665"/>
      <c r="H12" s="333" t="s">
        <v>45</v>
      </c>
      <c r="I12" s="334" t="s">
        <v>453</v>
      </c>
      <c r="J12" s="335" t="s">
        <v>668</v>
      </c>
      <c r="K12" s="335" t="s">
        <v>577</v>
      </c>
      <c r="L12" s="335" t="s">
        <v>669</v>
      </c>
      <c r="M12" s="335" t="s">
        <v>670</v>
      </c>
      <c r="N12" s="335" t="s">
        <v>579</v>
      </c>
      <c r="O12" s="326">
        <v>1</v>
      </c>
      <c r="Q12" s="327" t="s">
        <v>558</v>
      </c>
      <c r="R12" s="327" t="s">
        <v>671</v>
      </c>
      <c r="S12" s="327" t="s">
        <v>672</v>
      </c>
      <c r="U12" s="336" t="s">
        <v>673</v>
      </c>
      <c r="V12" s="336" t="e">
        <v>#REF!</v>
      </c>
    </row>
    <row r="13" spans="1:22" x14ac:dyDescent="0.2">
      <c r="B13" s="654"/>
      <c r="C13" s="654"/>
      <c r="D13" s="665"/>
      <c r="E13" s="665"/>
      <c r="F13" s="665"/>
      <c r="G13" s="665"/>
      <c r="H13" s="337" t="s">
        <v>443</v>
      </c>
      <c r="I13" s="338"/>
      <c r="J13" s="339" t="s">
        <v>447</v>
      </c>
      <c r="K13" s="339" t="s">
        <v>674</v>
      </c>
      <c r="L13" s="339" t="s">
        <v>675</v>
      </c>
      <c r="M13" s="339" t="s">
        <v>676</v>
      </c>
      <c r="N13" s="339" t="s">
        <v>677</v>
      </c>
      <c r="O13" s="326">
        <v>1</v>
      </c>
      <c r="Q13" s="340" t="s">
        <v>678</v>
      </c>
      <c r="R13" s="340" t="s">
        <v>679</v>
      </c>
      <c r="S13" s="340">
        <v>0</v>
      </c>
      <c r="U13" s="78" t="s">
        <v>680</v>
      </c>
      <c r="V13" s="78" t="e">
        <v>#REF!</v>
      </c>
    </row>
    <row r="14" spans="1:22" x14ac:dyDescent="0.2">
      <c r="B14" s="341"/>
      <c r="C14" s="342" t="s">
        <v>681</v>
      </c>
      <c r="D14" s="689" t="s">
        <v>474</v>
      </c>
      <c r="E14" s="689"/>
      <c r="F14" s="689"/>
      <c r="G14" s="689"/>
      <c r="H14" s="343"/>
      <c r="I14" s="343"/>
      <c r="J14" s="343"/>
      <c r="K14" s="343"/>
      <c r="L14" s="343"/>
      <c r="M14" s="343"/>
      <c r="N14" s="344"/>
      <c r="O14" s="326">
        <v>1</v>
      </c>
      <c r="Q14" s="340" t="s">
        <v>682</v>
      </c>
      <c r="R14" s="340" t="s">
        <v>683</v>
      </c>
      <c r="S14" s="340">
        <f>SUM(AIU!E18:E44)</f>
        <v>25</v>
      </c>
      <c r="U14" s="78" t="s">
        <v>684</v>
      </c>
      <c r="V14" s="78" t="e">
        <v>#REF!</v>
      </c>
    </row>
    <row r="15" spans="1:22" ht="15" x14ac:dyDescent="0.2">
      <c r="A15" s="78" t="e">
        <f>IF(#REF!=0,0,H15)</f>
        <v>#REF!</v>
      </c>
      <c r="B15" s="78">
        <f>INDEX(DedicProfObr!$A$4:$X$51,MATCH($C15,DedicProfObr!$A$4:$A$51,0),MATCH(DedicProfObr!$B$4,DedicProfObr!$A$4:$W$4,0))</f>
        <v>9112</v>
      </c>
      <c r="C15" s="345" t="s">
        <v>521</v>
      </c>
      <c r="D15" s="686" t="str">
        <f>INDEX(DedicProfObr!$A$4:$X$51,MATCH($C15,DedicProfObr!$A$4:$A$51,0),MATCH(DedicProfObr!$D$4,DedicProfObr!$A$4:$W$4,0))</f>
        <v>PROFESIONAL AMBIENTAL</v>
      </c>
      <c r="E15" s="687"/>
      <c r="F15" s="687"/>
      <c r="G15" s="688"/>
      <c r="H15" s="346">
        <f>INDEX(DedicProfObr!$A$4:$X$51,MATCH($C15,DedicProfObr!$A$4:$A$51,0),MATCH(DedicProfObr!$E$4,DedicProfObr!$A$4:$W$4,0))</f>
        <v>1</v>
      </c>
      <c r="I15" s="78">
        <f>INDEX(DedicProfObr!$A$4:$X$51,MATCH($C15,DedicProfObr!$A$4:$A$51,0),MATCH(DedicProfObr!$F$4,DedicProfObr!$A$4:$W$4,0))</f>
        <v>6</v>
      </c>
      <c r="J15" s="347">
        <f>INDEX(DedicProfObr!$A$4:$X$51,MATCH($C15,DedicProfObr!$A$4:$A$51,0),MATCH(DedicProfObr!$G$4,DedicProfObr!$A$4:$W$4,0))</f>
        <v>6339000</v>
      </c>
      <c r="K15" s="348">
        <f>INDEX(DedicProfObr!$A$4:$X$51,MATCH($C15,DedicProfObr!$A$4:$A$51,0),MATCH(DedicProfObr!$H$4,DedicProfObr!$A$4:$W$4,0))</f>
        <v>1.4524999999999999</v>
      </c>
      <c r="L15" s="349">
        <f>INDEX(DedicProfObr!$A$4:$W$51,MATCH($C15,DedicProfObr!$A$4:$A$51,0),MATCH(DedicProfObr!$V$4,DedicProfObr!$A$4:$W$4,0))</f>
        <v>1.5</v>
      </c>
      <c r="M15" s="349">
        <f>INDEX(DedicProfObr!$A$4:$W$51,MATCH($C15,DedicProfObr!$A$4:$A$51,0),MATCH(DedicProfObr!$W$4,DedicProfObr!$A$4:$W$4,0))</f>
        <v>0</v>
      </c>
      <c r="N15" s="350">
        <f>ROUND(IF(B15="",0,H15*J15*K15*(L15+M15)),0)</f>
        <v>13811096</v>
      </c>
      <c r="O15" s="326">
        <f t="shared" ref="O15:O19" si="0">IF(N15=0,0,1)</f>
        <v>1</v>
      </c>
      <c r="Q15" s="340" t="s">
        <v>685</v>
      </c>
      <c r="R15" s="340" t="s">
        <v>686</v>
      </c>
      <c r="S15" s="340">
        <v>0</v>
      </c>
      <c r="U15" s="78" t="s">
        <v>687</v>
      </c>
      <c r="V15" s="78" t="e">
        <v>#REF!</v>
      </c>
    </row>
    <row r="16" spans="1:22" ht="15" x14ac:dyDescent="0.2">
      <c r="A16" s="78" t="e">
        <f>IF(#REF!=0,0,H16)</f>
        <v>#REF!</v>
      </c>
      <c r="B16" s="78">
        <f>INDEX(DedicProfObr!$A$4:$X$51,MATCH($C16,DedicProfObr!$A$4:$A$51,0),MATCH(DedicProfObr!$B$4,DedicProfObr!$A$4:$W$4,0))</f>
        <v>9112</v>
      </c>
      <c r="C16" s="345" t="s">
        <v>523</v>
      </c>
      <c r="D16" s="686" t="str">
        <f>INDEX(DedicProfObr!$A$4:$X$51,MATCH($C16,DedicProfObr!$A$4:$A$51,0),MATCH(DedicProfObr!$D$4,DedicProfObr!$A$4:$W$4,0))</f>
        <v xml:space="preserve">RESIDENTE FORESTAL </v>
      </c>
      <c r="E16" s="687"/>
      <c r="F16" s="687"/>
      <c r="G16" s="688"/>
      <c r="H16" s="346">
        <f>INDEX(DedicProfObr!$A$4:$X$51,MATCH($C16,DedicProfObr!$A$4:$A$51,0),MATCH(DedicProfObr!$E$4,DedicProfObr!$A$4:$W$4,0))</f>
        <v>1</v>
      </c>
      <c r="I16" s="78">
        <f>INDEX(DedicProfObr!$A$4:$X$51,MATCH($C16,DedicProfObr!$A$4:$A$51,0),MATCH(DedicProfObr!$F$4,DedicProfObr!$A$4:$W$4,0))</f>
        <v>6</v>
      </c>
      <c r="J16" s="347">
        <f>INDEX(DedicProfObr!$A$4:$X$51,MATCH($C16,DedicProfObr!$A$4:$A$51,0),MATCH(DedicProfObr!$G$4,DedicProfObr!$A$4:$W$4,0))</f>
        <v>6339000</v>
      </c>
      <c r="K16" s="348">
        <f>INDEX(DedicProfObr!$A$4:$X$51,MATCH($C16,DedicProfObr!$A$4:$A$51,0),MATCH(DedicProfObr!$H$4,DedicProfObr!$A$4:$W$4,0))</f>
        <v>1.4524999999999999</v>
      </c>
      <c r="L16" s="349">
        <f>INDEX(DedicProfObr!$A$4:$W$51,MATCH($C16,DedicProfObr!$A$4:$A$51,0),MATCH(DedicProfObr!$V$4,DedicProfObr!$A$4:$W$4,0))</f>
        <v>0.15</v>
      </c>
      <c r="M16" s="349">
        <f>INDEX(DedicProfObr!$A$4:$W$51,MATCH($C16,DedicProfObr!$A$4:$A$51,0),MATCH(DedicProfObr!$W$4,DedicProfObr!$A$4:$W$4,0))</f>
        <v>0</v>
      </c>
      <c r="N16" s="350">
        <f>ROUND(IF(B16="",0,H16*J16*K16*(L16+M16)),0)</f>
        <v>1381110</v>
      </c>
      <c r="O16" s="326">
        <f t="shared" si="0"/>
        <v>1</v>
      </c>
      <c r="Q16" s="340" t="s">
        <v>688</v>
      </c>
      <c r="R16" s="340" t="s">
        <v>689</v>
      </c>
      <c r="S16" s="340">
        <f>SUM(H15:H23)</f>
        <v>10</v>
      </c>
      <c r="U16" s="78" t="s">
        <v>690</v>
      </c>
      <c r="V16" s="78">
        <v>0</v>
      </c>
    </row>
    <row r="17" spans="1:19" ht="15" x14ac:dyDescent="0.2">
      <c r="A17" s="78" t="e">
        <f>IF(#REF!=0,0,H17)</f>
        <v>#REF!</v>
      </c>
      <c r="B17" s="78">
        <f>INDEX(DedicProfObr!$A$4:$X$51,MATCH($C17,DedicProfObr!$A$4:$A$51,0),MATCH(DedicProfObr!$B$4,DedicProfObr!$A$4:$W$4,0))</f>
        <v>9112</v>
      </c>
      <c r="C17" s="345" t="s">
        <v>525</v>
      </c>
      <c r="D17" s="686" t="str">
        <f>INDEX(DedicProfObr!$A$4:$X$51,MATCH($C17,DedicProfObr!$A$4:$A$51,0),MATCH(DedicProfObr!$D$4,DedicProfObr!$A$4:$W$4,0))</f>
        <v>BIÓLOGO O ECÓLOGO</v>
      </c>
      <c r="E17" s="687"/>
      <c r="F17" s="687"/>
      <c r="G17" s="688"/>
      <c r="H17" s="346">
        <f>INDEX(DedicProfObr!$A$4:$X$51,MATCH($C17,DedicProfObr!$A$4:$A$51,0),MATCH(DedicProfObr!$E$4,DedicProfObr!$A$4:$W$4,0))</f>
        <v>0</v>
      </c>
      <c r="I17" s="78">
        <f>INDEX(DedicProfObr!$A$4:$X$51,MATCH($C17,DedicProfObr!$A$4:$A$51,0),MATCH(DedicProfObr!$F$4,DedicProfObr!$A$4:$W$4,0))</f>
        <v>6</v>
      </c>
      <c r="J17" s="347">
        <f>INDEX(DedicProfObr!$A$4:$X$51,MATCH($C17,DedicProfObr!$A$4:$A$51,0),MATCH(DedicProfObr!$G$4,DedicProfObr!$A$4:$W$4,0))</f>
        <v>6339000</v>
      </c>
      <c r="K17" s="348">
        <f>INDEX(DedicProfObr!$A$4:$X$51,MATCH($C17,DedicProfObr!$A$4:$A$51,0),MATCH(DedicProfObr!$H$4,DedicProfObr!$A$4:$W$4,0))</f>
        <v>1.4524999999999999</v>
      </c>
      <c r="L17" s="349">
        <f>INDEX(DedicProfObr!$A$4:$W$51,MATCH($C17,DedicProfObr!$A$4:$A$51,0),MATCH(DedicProfObr!$V$4,DedicProfObr!$A$4:$W$4,0))</f>
        <v>0</v>
      </c>
      <c r="M17" s="349">
        <f>INDEX(DedicProfObr!$A$4:$W$51,MATCH($C17,DedicProfObr!$A$4:$A$51,0),MATCH(DedicProfObr!$W$4,DedicProfObr!$A$4:$W$4,0))</f>
        <v>0</v>
      </c>
      <c r="N17" s="350">
        <f>ROUND(IF(B17="",0,H17*J17*K17*(L17+M17)),0)</f>
        <v>0</v>
      </c>
      <c r="O17" s="326">
        <f t="shared" si="0"/>
        <v>0</v>
      </c>
      <c r="Q17" s="340" t="s">
        <v>691</v>
      </c>
      <c r="R17" s="340" t="s">
        <v>692</v>
      </c>
      <c r="S17" s="340">
        <v>0</v>
      </c>
    </row>
    <row r="18" spans="1:19" ht="15" x14ac:dyDescent="0.2">
      <c r="A18" s="78" t="e">
        <f>IF(#REF!=0,0,H18)</f>
        <v>#REF!</v>
      </c>
      <c r="B18" s="78">
        <f>INDEX(DedicProfObr!$A$4:$X$51,MATCH($C18,DedicProfObr!$A$4:$A$51,0),MATCH(DedicProfObr!$B$4,DedicProfObr!$A$4:$W$4,0))</f>
        <v>9113</v>
      </c>
      <c r="C18" s="345" t="s">
        <v>527</v>
      </c>
      <c r="D18" s="686" t="str">
        <f>INDEX(DedicProfObr!$A$4:$X$51,MATCH($C18,DedicProfObr!$A$4:$A$51,0),MATCH(DedicProfObr!$D$4,DedicProfObr!$A$4:$W$4,0))</f>
        <v>RESIDENTE SST</v>
      </c>
      <c r="E18" s="687"/>
      <c r="F18" s="687"/>
      <c r="G18" s="688"/>
      <c r="H18" s="346">
        <f>INDEX(DedicProfObr!$A$4:$X$51,MATCH($C18,DedicProfObr!$A$4:$A$51,0),MATCH(DedicProfObr!$E$4,DedicProfObr!$A$4:$W$4,0))</f>
        <v>1</v>
      </c>
      <c r="I18" s="78">
        <f>INDEX(DedicProfObr!$A$4:$X$51,MATCH($C18,DedicProfObr!$A$4:$A$51,0),MATCH(DedicProfObr!$F$4,DedicProfObr!$A$4:$W$4,0))</f>
        <v>7</v>
      </c>
      <c r="J18" s="347">
        <f>INDEX(DedicProfObr!$A$4:$X$51,MATCH($C18,DedicProfObr!$A$4:$A$51,0),MATCH(DedicProfObr!$G$4,DedicProfObr!$A$4:$W$4,0))</f>
        <v>4793000</v>
      </c>
      <c r="K18" s="348">
        <f>INDEX(DedicProfObr!$A$4:$X$51,MATCH($C18,DedicProfObr!$A$4:$A$51,0),MATCH(DedicProfObr!$H$4,DedicProfObr!$A$4:$W$4,0))</f>
        <v>1.454</v>
      </c>
      <c r="L18" s="349">
        <f>INDEX(DedicProfObr!$A$4:$W$51,MATCH($C18,DedicProfObr!$A$4:$A$51,0),MATCH(DedicProfObr!$V$4,DedicProfObr!$A$4:$W$4,0))</f>
        <v>3</v>
      </c>
      <c r="M18" s="349">
        <f>INDEX(DedicProfObr!$A$4:$W$51,MATCH($C18,DedicProfObr!$A$4:$A$51,0),MATCH(DedicProfObr!$W$4,DedicProfObr!$A$4:$W$4,0))</f>
        <v>0</v>
      </c>
      <c r="N18" s="350">
        <f>ROUND(IF(B18="",0,H18*J18*K18*(L18+M18)),0)</f>
        <v>20907066</v>
      </c>
      <c r="O18" s="326">
        <f t="shared" si="0"/>
        <v>1</v>
      </c>
      <c r="Q18" s="340" t="s">
        <v>693</v>
      </c>
      <c r="R18" s="340" t="s">
        <v>694</v>
      </c>
      <c r="S18" s="340">
        <f>SUM(PPTO_SOCIAL!H14:H16)</f>
        <v>3</v>
      </c>
    </row>
    <row r="19" spans="1:19" ht="12.75" customHeight="1" x14ac:dyDescent="0.2">
      <c r="A19" s="78" t="e">
        <f>IF(#REF!=0,0,H19)</f>
        <v>#REF!</v>
      </c>
      <c r="B19" s="78">
        <f>INDEX(DedicProfObr!$A$4:$X$51,MATCH($C19,DedicProfObr!$A$4:$A$51,0),MATCH(DedicProfObr!$B$4,DedicProfObr!$A$4:$W$4,0))</f>
        <v>9113</v>
      </c>
      <c r="C19" s="345" t="s">
        <v>530</v>
      </c>
      <c r="D19" s="686" t="str">
        <f>INDEX(DedicProfObr!$A$4:$X$51,MATCH($C19,DedicProfObr!$A$4:$A$51,0),MATCH(DedicProfObr!$D$4,DedicProfObr!$A$4:$W$4,0))</f>
        <v>RESIDENTE MAQUINARIA Y EQUIPOS</v>
      </c>
      <c r="E19" s="687"/>
      <c r="F19" s="687"/>
      <c r="G19" s="688"/>
      <c r="H19" s="346">
        <f>INDEX(DedicProfObr!$A$4:$X$51,MATCH($C19,DedicProfObr!$A$4:$A$51,0),MATCH(DedicProfObr!$E$4,DedicProfObr!$A$4:$W$4,0))</f>
        <v>1</v>
      </c>
      <c r="I19" s="78">
        <f>INDEX(DedicProfObr!$A$4:$X$51,MATCH($C19,DedicProfObr!$A$4:$A$51,0),MATCH(DedicProfObr!$F$4,DedicProfObr!$A$4:$W$4,0))</f>
        <v>7</v>
      </c>
      <c r="J19" s="347">
        <f>INDEX(DedicProfObr!$A$4:$X$51,MATCH($C19,DedicProfObr!$A$4:$A$51,0),MATCH(DedicProfObr!$G$4,DedicProfObr!$A$4:$W$4,0))</f>
        <v>4793000</v>
      </c>
      <c r="K19" s="348">
        <f>INDEX(DedicProfObr!$A$4:$X$51,MATCH($C19,DedicProfObr!$A$4:$A$51,0),MATCH(DedicProfObr!$H$4,DedicProfObr!$A$4:$W$4,0))</f>
        <v>1.454</v>
      </c>
      <c r="L19" s="349">
        <f>INDEX(DedicProfObr!$A$4:$W$51,MATCH($C19,DedicProfObr!$A$4:$A$51,0),MATCH(DedicProfObr!$V$4,DedicProfObr!$A$4:$W$4,0))</f>
        <v>3</v>
      </c>
      <c r="M19" s="349">
        <f>INDEX(DedicProfObr!$A$4:$W$51,MATCH($C19,DedicProfObr!$A$4:$A$51,0),MATCH(DedicProfObr!$W$4,DedicProfObr!$A$4:$W$4,0))</f>
        <v>0</v>
      </c>
      <c r="N19" s="350">
        <f>ROUND(IF(B19="",0,H19*J19*K19*(L19+M19)),0)</f>
        <v>20907066</v>
      </c>
      <c r="O19" s="326">
        <f t="shared" si="0"/>
        <v>1</v>
      </c>
      <c r="Q19" s="340" t="s">
        <v>695</v>
      </c>
      <c r="R19" s="340" t="s">
        <v>696</v>
      </c>
      <c r="S19" s="340">
        <v>0</v>
      </c>
    </row>
    <row r="20" spans="1:19" x14ac:dyDescent="0.2">
      <c r="A20" s="78" t="e">
        <f>IF(#REF!=0,0,H20)</f>
        <v>#REF!</v>
      </c>
      <c r="B20" s="78"/>
      <c r="C20" s="342" t="s">
        <v>697</v>
      </c>
      <c r="D20" s="351" t="s">
        <v>534</v>
      </c>
      <c r="E20" s="352"/>
      <c r="F20" s="352"/>
      <c r="G20" s="353"/>
      <c r="H20" s="354"/>
      <c r="I20" s="343"/>
      <c r="J20" s="354"/>
      <c r="K20" s="355"/>
      <c r="L20" s="355"/>
      <c r="M20" s="343"/>
      <c r="N20" s="344"/>
      <c r="O20" s="326">
        <v>1</v>
      </c>
      <c r="Q20" s="340" t="s">
        <v>698</v>
      </c>
      <c r="R20" s="340" t="s">
        <v>699</v>
      </c>
      <c r="S20" s="340">
        <f>SUM(PPTO_PMT!H14:H19)</f>
        <v>10</v>
      </c>
    </row>
    <row r="21" spans="1:19" ht="25.5" customHeight="1" x14ac:dyDescent="0.2">
      <c r="A21" s="78" t="e">
        <f>IF(#REF!=0,0,H21)</f>
        <v>#REF!</v>
      </c>
      <c r="B21" s="78">
        <v>9094</v>
      </c>
      <c r="C21" s="345" t="s">
        <v>532</v>
      </c>
      <c r="D21" s="686" t="str">
        <f>INDEX(DedicProfObr!$A$4:$X$51,MATCH($C21,DedicProfObr!$A$4:$A$51,0),MATCH(DedicProfObr!$D$4,DedicProfObr!$A$4:$W$4,0))</f>
        <v>PERSONAL TÉCNICO Y PERSONAL AUXILIAR (PERSONAL DE APOYO, INPECTOR AMBIENTAL O SST)</v>
      </c>
      <c r="E21" s="687"/>
      <c r="F21" s="687"/>
      <c r="G21" s="688"/>
      <c r="H21" s="346">
        <v>2</v>
      </c>
      <c r="I21" s="78" t="str">
        <f>INDEX(DedicProfObr!$A$4:$X$51,MATCH($C21,DedicProfObr!$A$4:$A$51,0),MATCH(DedicProfObr!$F$4,DedicProfObr!$A$4:$W$4,0))</f>
        <v>N/A</v>
      </c>
      <c r="J21" s="347">
        <f>INDEX(DedicProfObr!$A$4:$X$51,MATCH($C21,DedicProfObr!$A$4:$A$51,0),MATCH(DedicProfObr!$G$4,DedicProfObr!$A$4:$W$4,0))</f>
        <v>2025000</v>
      </c>
      <c r="K21" s="348">
        <f>INDEX(DedicProfObr!$A$4:$X$51,MATCH($C21,DedicProfObr!$A$4:$A$51,0),MATCH(DedicProfObr!$H$4,DedicProfObr!$A$4:$W$4,0))</f>
        <v>1.5625</v>
      </c>
      <c r="L21" s="349">
        <f>INDEX(DedicProfObr!$A$4:$W$51,MATCH($C21,DedicProfObr!$A$4:$A$51,0),MATCH(DedicProfObr!$V$4,DedicProfObr!$A$4:$W$4,0))</f>
        <v>6</v>
      </c>
      <c r="M21" s="349">
        <f>INDEX(DedicProfObr!$A$4:$W$51,MATCH($C21,DedicProfObr!$A$4:$A$51,0),MATCH(DedicProfObr!$W$4,DedicProfObr!$A$4:$W$4,0))</f>
        <v>0</v>
      </c>
      <c r="N21" s="350">
        <f>ROUND(IF(B21="",0,H21*J21*K21*(L21+M21)),0)</f>
        <v>37968750</v>
      </c>
      <c r="O21" s="326">
        <f t="shared" ref="O21:O23" si="1">IF(N21=0,0,1)</f>
        <v>1</v>
      </c>
      <c r="Q21" s="340" t="s">
        <v>700</v>
      </c>
      <c r="R21" s="340" t="s">
        <v>701</v>
      </c>
      <c r="S21" s="340">
        <v>0</v>
      </c>
    </row>
    <row r="22" spans="1:19" x14ac:dyDescent="0.2">
      <c r="A22" s="78" t="e">
        <f>IF(#REF!=0,0,H22)</f>
        <v>#REF!</v>
      </c>
      <c r="B22" s="78"/>
      <c r="C22" s="342" t="s">
        <v>702</v>
      </c>
      <c r="D22" s="650" t="s">
        <v>537</v>
      </c>
      <c r="E22" s="651"/>
      <c r="F22" s="651"/>
      <c r="G22" s="651"/>
      <c r="H22" s="651"/>
      <c r="I22" s="343"/>
      <c r="J22" s="354"/>
      <c r="K22" s="355"/>
      <c r="L22" s="355"/>
      <c r="M22" s="343"/>
      <c r="N22" s="344"/>
      <c r="O22" s="326">
        <v>1</v>
      </c>
      <c r="Q22" s="340" t="s">
        <v>703</v>
      </c>
      <c r="R22" s="340" t="s">
        <v>704</v>
      </c>
      <c r="S22" s="340">
        <v>25</v>
      </c>
    </row>
    <row r="23" spans="1:19" s="356" customFormat="1" ht="30.4" customHeight="1" x14ac:dyDescent="0.2">
      <c r="A23" s="78" t="e">
        <f>IF(#REF!=0,0,H23)</f>
        <v>#REF!</v>
      </c>
      <c r="B23" s="78">
        <v>9455</v>
      </c>
      <c r="C23" s="345" t="s">
        <v>535</v>
      </c>
      <c r="D23" s="634" t="str">
        <f>INDEX(DedicProfObr!$A$4:$X$51,MATCH($C23,DedicProfObr!$A$4:$A$51,0),MATCH(DedicProfObr!$D$4,DedicProfObr!$A$4:$W$4,0))</f>
        <v>PERSONAL TÉCNICO Y PERSONAL AUXILIAR (CUADRILLA ORDEN Y ASEO)</v>
      </c>
      <c r="E23" s="635"/>
      <c r="F23" s="635"/>
      <c r="G23" s="636"/>
      <c r="H23" s="346">
        <v>4</v>
      </c>
      <c r="I23" s="78" t="str">
        <f>INDEX(DedicProfObr!$A$4:$X$51,MATCH($C23,DedicProfObr!$A$4:$A$51,0),MATCH(DedicProfObr!$F$4,DedicProfObr!$A$4:$W$4,0))</f>
        <v>N/A</v>
      </c>
      <c r="J23" s="347">
        <f>INDEX(DedicProfObr!$A$4:$X$51,MATCH($C23,DedicProfObr!$A$4:$A$51,0),MATCH(DedicProfObr!$G$4,DedicProfObr!$A$4:$W$4,0))</f>
        <v>1160000</v>
      </c>
      <c r="K23" s="348">
        <f>INDEX(DedicProfObr!$A$4:$X$51,MATCH($C23,DedicProfObr!$A$4:$A$51,0),MATCH(DedicProfObr!$H$4,DedicProfObr!$A$4:$W$4,0))</f>
        <v>1.6479999999999999</v>
      </c>
      <c r="L23" s="349">
        <f>INDEX(DedicProfObr!$A$4:$W$51,MATCH($C23,DedicProfObr!$A$4:$A$51,0),MATCH(DedicProfObr!$V$4,DedicProfObr!$A$4:$W$4,0))</f>
        <v>6</v>
      </c>
      <c r="M23" s="349">
        <f>INDEX(DedicProfObr!$A$4:$W$51,MATCH($C23,DedicProfObr!$A$4:$A$51,0),MATCH(DedicProfObr!$W$4,DedicProfObr!$A$4:$W$4,0))</f>
        <v>0</v>
      </c>
      <c r="N23" s="347">
        <f>ROUND(IF(B23="",0,H23*J23*K23*(L23+M23)),0)</f>
        <v>45880320</v>
      </c>
      <c r="O23" s="326">
        <f t="shared" si="1"/>
        <v>1</v>
      </c>
      <c r="Q23" s="336" t="s">
        <v>705</v>
      </c>
      <c r="R23" s="336" t="s">
        <v>706</v>
      </c>
      <c r="S23" s="336">
        <f>S14+S16+S18+S20+S22</f>
        <v>73</v>
      </c>
    </row>
    <row r="24" spans="1:19" x14ac:dyDescent="0.2">
      <c r="B24" s="623" t="str">
        <f>"SUBTOTAL "&amp;D11</f>
        <v>SUBTOTAL PERSONAL TÉCNICO Y PROFESIONAL</v>
      </c>
      <c r="C24" s="623"/>
      <c r="D24" s="623"/>
      <c r="E24" s="623"/>
      <c r="F24" s="623"/>
      <c r="G24" s="623"/>
      <c r="H24" s="623"/>
      <c r="I24" s="623"/>
      <c r="J24" s="623"/>
      <c r="K24" s="623"/>
      <c r="L24" s="623"/>
      <c r="M24" s="623"/>
      <c r="N24" s="357">
        <f>SUM(N15:N23)</f>
        <v>140855408</v>
      </c>
      <c r="O24" s="326">
        <v>1</v>
      </c>
      <c r="Q24" s="340" t="s">
        <v>707</v>
      </c>
      <c r="R24" s="340" t="s">
        <v>708</v>
      </c>
      <c r="S24" s="340">
        <v>0</v>
      </c>
    </row>
    <row r="25" spans="1:19" x14ac:dyDescent="0.2">
      <c r="B25" s="624"/>
      <c r="C25" s="624"/>
      <c r="D25" s="624"/>
      <c r="E25" s="624"/>
      <c r="F25" s="624"/>
      <c r="G25" s="624"/>
      <c r="H25" s="624"/>
      <c r="I25" s="624"/>
      <c r="J25" s="624"/>
      <c r="K25" s="624"/>
      <c r="L25" s="624"/>
      <c r="M25" s="624"/>
      <c r="N25" s="624"/>
      <c r="O25" s="326">
        <v>1</v>
      </c>
    </row>
    <row r="26" spans="1:19" x14ac:dyDescent="0.2">
      <c r="B26" s="665" t="s">
        <v>664</v>
      </c>
      <c r="C26" s="331" t="s">
        <v>709</v>
      </c>
      <c r="D26" s="689" t="s">
        <v>710</v>
      </c>
      <c r="E26" s="689"/>
      <c r="F26" s="689"/>
      <c r="G26" s="689"/>
      <c r="H26" s="689"/>
      <c r="I26" s="689"/>
      <c r="J26" s="689"/>
      <c r="K26" s="689"/>
      <c r="L26" s="689"/>
      <c r="M26" s="689"/>
      <c r="N26" s="689"/>
      <c r="O26" s="326">
        <v>1</v>
      </c>
    </row>
    <row r="27" spans="1:19" x14ac:dyDescent="0.2">
      <c r="B27" s="665"/>
      <c r="C27" s="332" t="s">
        <v>449</v>
      </c>
      <c r="D27" s="667" t="s">
        <v>43</v>
      </c>
      <c r="E27" s="667"/>
      <c r="F27" s="667" t="s">
        <v>711</v>
      </c>
      <c r="G27" s="667"/>
      <c r="H27" s="667"/>
      <c r="I27" s="667"/>
      <c r="J27" s="332" t="s">
        <v>712</v>
      </c>
      <c r="K27" s="665" t="s">
        <v>46</v>
      </c>
      <c r="L27" s="665"/>
      <c r="M27" s="358" t="s">
        <v>45</v>
      </c>
      <c r="N27" s="332" t="s">
        <v>594</v>
      </c>
      <c r="O27" s="326">
        <v>1</v>
      </c>
    </row>
    <row r="28" spans="1:19" ht="15" x14ac:dyDescent="0.2">
      <c r="B28" s="78">
        <v>7870</v>
      </c>
      <c r="C28" s="668" t="s">
        <v>713</v>
      </c>
      <c r="D28" s="671" t="s">
        <v>710</v>
      </c>
      <c r="E28" s="672"/>
      <c r="F28" s="634" t="s">
        <v>714</v>
      </c>
      <c r="G28" s="635"/>
      <c r="H28" s="635"/>
      <c r="I28" s="636"/>
      <c r="J28" s="349" t="s">
        <v>715</v>
      </c>
      <c r="K28" s="637">
        <v>107100</v>
      </c>
      <c r="L28" s="638"/>
      <c r="M28" s="349">
        <f>0.5*ROUNDUP($E$5,0)</f>
        <v>0.5</v>
      </c>
      <c r="N28" s="347">
        <f>ROUND(K28*M28,0)</f>
        <v>53550</v>
      </c>
      <c r="O28" s="326">
        <f t="shared" ref="O28:O30" si="2">IF(N28=0,0,1)</f>
        <v>1</v>
      </c>
    </row>
    <row r="29" spans="1:19" ht="27.75" customHeight="1" x14ac:dyDescent="0.2">
      <c r="B29" s="78">
        <v>7896</v>
      </c>
      <c r="C29" s="670"/>
      <c r="D29" s="675"/>
      <c r="E29" s="676"/>
      <c r="F29" s="634" t="s">
        <v>716</v>
      </c>
      <c r="G29" s="635"/>
      <c r="H29" s="635"/>
      <c r="I29" s="636"/>
      <c r="J29" s="349" t="s">
        <v>68</v>
      </c>
      <c r="K29" s="637">
        <v>95</v>
      </c>
      <c r="L29" s="638"/>
      <c r="M29" s="349">
        <f>1*INDEX($Q$12:$S$24,MATCH($Q$23,$Q$12:$Q$24,0),3)*2</f>
        <v>146</v>
      </c>
      <c r="N29" s="347">
        <f t="shared" ref="N29" si="3">ROUND(K29*M29,0)</f>
        <v>13870</v>
      </c>
      <c r="O29" s="326">
        <f t="shared" si="2"/>
        <v>1</v>
      </c>
    </row>
    <row r="30" spans="1:19" x14ac:dyDescent="0.2">
      <c r="B30" s="623" t="str">
        <f>"SUBTOTAL "&amp;D26</f>
        <v>SUBTOTAL CAPACITACIÓN AMBIENTAL AL PERSONAL DE OBRA</v>
      </c>
      <c r="C30" s="623"/>
      <c r="D30" s="623"/>
      <c r="E30" s="623"/>
      <c r="F30" s="623"/>
      <c r="G30" s="623"/>
      <c r="H30" s="623"/>
      <c r="I30" s="623"/>
      <c r="J30" s="623"/>
      <c r="K30" s="623"/>
      <c r="L30" s="623"/>
      <c r="M30" s="623"/>
      <c r="N30" s="357">
        <f>SUM(N28:N29)</f>
        <v>67420</v>
      </c>
      <c r="O30" s="326">
        <f t="shared" si="2"/>
        <v>1</v>
      </c>
    </row>
    <row r="31" spans="1:19" ht="15" x14ac:dyDescent="0.2">
      <c r="B31" s="628"/>
      <c r="C31" s="628"/>
      <c r="D31" s="628"/>
      <c r="E31" s="628"/>
      <c r="F31" s="628"/>
      <c r="G31" s="628"/>
      <c r="H31" s="628"/>
      <c r="I31" s="628"/>
      <c r="J31" s="628"/>
      <c r="K31" s="628"/>
      <c r="L31" s="628"/>
      <c r="M31" s="628"/>
      <c r="N31" s="628"/>
      <c r="O31" s="326">
        <v>1</v>
      </c>
    </row>
    <row r="32" spans="1:19" ht="15" x14ac:dyDescent="0.2">
      <c r="B32" s="625" t="str">
        <f>"SUBTOTAL "&amp;C10</f>
        <v>SUBTOTAL COMPONENTE A. CUMPLIMIENTO A OBLIGACIONES AMBIENTALES Y SST CONTRACTUALES</v>
      </c>
      <c r="C32" s="626"/>
      <c r="D32" s="626"/>
      <c r="E32" s="626"/>
      <c r="F32" s="626"/>
      <c r="G32" s="626"/>
      <c r="H32" s="626"/>
      <c r="I32" s="626"/>
      <c r="J32" s="626"/>
      <c r="K32" s="626"/>
      <c r="L32" s="626"/>
      <c r="M32" s="627"/>
      <c r="N32" s="359">
        <f>N24+N30</f>
        <v>140922828</v>
      </c>
      <c r="O32" s="326">
        <v>1</v>
      </c>
    </row>
    <row r="33" spans="1:15" ht="15" x14ac:dyDescent="0.2">
      <c r="B33" s="628"/>
      <c r="C33" s="628"/>
      <c r="D33" s="628"/>
      <c r="E33" s="628"/>
      <c r="F33" s="628"/>
      <c r="G33" s="628"/>
      <c r="H33" s="628"/>
      <c r="I33" s="628"/>
      <c r="J33" s="628"/>
      <c r="K33" s="628"/>
      <c r="L33" s="628"/>
      <c r="M33" s="628"/>
      <c r="N33" s="628"/>
      <c r="O33" s="326">
        <v>1</v>
      </c>
    </row>
    <row r="34" spans="1:15" x14ac:dyDescent="0.2">
      <c r="B34" s="679" t="s">
        <v>717</v>
      </c>
      <c r="C34" s="680"/>
      <c r="D34" s="680"/>
      <c r="E34" s="680"/>
      <c r="F34" s="680"/>
      <c r="G34" s="680"/>
      <c r="H34" s="680"/>
      <c r="I34" s="680"/>
      <c r="J34" s="680"/>
      <c r="K34" s="680"/>
      <c r="L34" s="680"/>
      <c r="M34" s="680"/>
      <c r="N34" s="680"/>
      <c r="O34" s="326">
        <v>1</v>
      </c>
    </row>
    <row r="35" spans="1:15" x14ac:dyDescent="0.2">
      <c r="B35" s="665" t="s">
        <v>664</v>
      </c>
      <c r="C35" s="331" t="s">
        <v>718</v>
      </c>
      <c r="D35" s="650" t="s">
        <v>719</v>
      </c>
      <c r="E35" s="651"/>
      <c r="F35" s="651"/>
      <c r="G35" s="651"/>
      <c r="H35" s="651"/>
      <c r="I35" s="651"/>
      <c r="J35" s="651"/>
      <c r="K35" s="651"/>
      <c r="L35" s="651"/>
      <c r="M35" s="651"/>
      <c r="N35" s="652"/>
      <c r="O35" s="326">
        <v>1</v>
      </c>
    </row>
    <row r="36" spans="1:15" x14ac:dyDescent="0.2">
      <c r="B36" s="665"/>
      <c r="C36" s="332" t="s">
        <v>449</v>
      </c>
      <c r="D36" s="667" t="s">
        <v>43</v>
      </c>
      <c r="E36" s="667"/>
      <c r="F36" s="667" t="s">
        <v>711</v>
      </c>
      <c r="G36" s="667"/>
      <c r="H36" s="667"/>
      <c r="I36" s="667"/>
      <c r="J36" s="332" t="s">
        <v>712</v>
      </c>
      <c r="K36" s="665" t="s">
        <v>46</v>
      </c>
      <c r="L36" s="665"/>
      <c r="M36" s="358" t="s">
        <v>45</v>
      </c>
      <c r="N36" s="332" t="s">
        <v>594</v>
      </c>
      <c r="O36" s="326">
        <v>1</v>
      </c>
    </row>
    <row r="37" spans="1:15" ht="15" x14ac:dyDescent="0.2">
      <c r="B37" s="78">
        <v>7558</v>
      </c>
      <c r="C37" s="349" t="s">
        <v>720</v>
      </c>
      <c r="D37" s="648" t="s">
        <v>721</v>
      </c>
      <c r="E37" s="649"/>
      <c r="F37" s="634" t="s">
        <v>722</v>
      </c>
      <c r="G37" s="635"/>
      <c r="H37" s="635"/>
      <c r="I37" s="636"/>
      <c r="J37" s="349" t="s">
        <v>723</v>
      </c>
      <c r="K37" s="637">
        <v>465433</v>
      </c>
      <c r="L37" s="638"/>
      <c r="M37" s="349">
        <f>2*ROUNDUP($E$6,0)</f>
        <v>12</v>
      </c>
      <c r="N37" s="347">
        <f>ROUND(K37*M37,0)</f>
        <v>5585196</v>
      </c>
      <c r="O37" s="326">
        <f t="shared" ref="O37" si="4">IF(N37=0,0,1)</f>
        <v>1</v>
      </c>
    </row>
    <row r="38" spans="1:15" ht="15" x14ac:dyDescent="0.2">
      <c r="A38" s="361"/>
      <c r="B38" s="78">
        <v>7559</v>
      </c>
      <c r="C38" s="349" t="s">
        <v>724</v>
      </c>
      <c r="D38" s="648" t="s">
        <v>725</v>
      </c>
      <c r="E38" s="649"/>
      <c r="F38" s="634" t="s">
        <v>726</v>
      </c>
      <c r="G38" s="635"/>
      <c r="H38" s="635"/>
      <c r="I38" s="636"/>
      <c r="J38" s="349" t="s">
        <v>53</v>
      </c>
      <c r="K38" s="637">
        <v>793</v>
      </c>
      <c r="L38" s="638"/>
      <c r="M38" s="349">
        <v>100</v>
      </c>
      <c r="N38" s="347">
        <f t="shared" ref="N38:N42" si="5">ROUND(K38*M38,0)</f>
        <v>79300</v>
      </c>
      <c r="O38" s="326">
        <v>1</v>
      </c>
    </row>
    <row r="39" spans="1:15" ht="29.25" customHeight="1" x14ac:dyDescent="0.2">
      <c r="B39" s="78">
        <v>7285</v>
      </c>
      <c r="C39" s="349" t="s">
        <v>727</v>
      </c>
      <c r="D39" s="682"/>
      <c r="E39" s="683"/>
      <c r="F39" s="634" t="s">
        <v>728</v>
      </c>
      <c r="G39" s="635"/>
      <c r="H39" s="635"/>
      <c r="I39" s="636"/>
      <c r="J39" s="349" t="s">
        <v>68</v>
      </c>
      <c r="K39" s="637">
        <v>12390</v>
      </c>
      <c r="L39" s="638"/>
      <c r="M39" s="349">
        <v>25</v>
      </c>
      <c r="N39" s="347">
        <f t="shared" si="5"/>
        <v>309750</v>
      </c>
      <c r="O39" s="326">
        <v>1</v>
      </c>
    </row>
    <row r="40" spans="1:15" s="362" customFormat="1" ht="29.25" customHeight="1" x14ac:dyDescent="0.2">
      <c r="B40" s="78">
        <v>7556</v>
      </c>
      <c r="C40" s="349" t="s">
        <v>729</v>
      </c>
      <c r="D40" s="682"/>
      <c r="E40" s="683"/>
      <c r="F40" s="634" t="s">
        <v>730</v>
      </c>
      <c r="G40" s="635"/>
      <c r="H40" s="635"/>
      <c r="I40" s="636"/>
      <c r="J40" s="349" t="s">
        <v>53</v>
      </c>
      <c r="K40" s="677">
        <v>1312</v>
      </c>
      <c r="L40" s="678"/>
      <c r="M40" s="349">
        <v>100</v>
      </c>
      <c r="N40" s="363">
        <f t="shared" si="5"/>
        <v>131200</v>
      </c>
      <c r="O40" s="364">
        <v>1</v>
      </c>
    </row>
    <row r="41" spans="1:15" ht="29.25" customHeight="1" x14ac:dyDescent="0.2">
      <c r="B41" s="78">
        <v>1794</v>
      </c>
      <c r="C41" s="349" t="s">
        <v>731</v>
      </c>
      <c r="D41" s="682"/>
      <c r="E41" s="683"/>
      <c r="F41" s="634" t="s">
        <v>732</v>
      </c>
      <c r="G41" s="635"/>
      <c r="H41" s="635"/>
      <c r="I41" s="636"/>
      <c r="J41" s="349" t="s">
        <v>118</v>
      </c>
      <c r="K41" s="677">
        <v>4284</v>
      </c>
      <c r="L41" s="678"/>
      <c r="M41" s="349">
        <v>5</v>
      </c>
      <c r="N41" s="363">
        <f t="shared" si="5"/>
        <v>21420</v>
      </c>
      <c r="O41" s="326">
        <v>1</v>
      </c>
    </row>
    <row r="42" spans="1:15" s="362" customFormat="1" ht="29.25" customHeight="1" x14ac:dyDescent="0.2">
      <c r="B42" s="78">
        <v>8478</v>
      </c>
      <c r="C42" s="349" t="s">
        <v>733</v>
      </c>
      <c r="D42" s="684"/>
      <c r="E42" s="685"/>
      <c r="F42" s="634" t="s">
        <v>734</v>
      </c>
      <c r="G42" s="635"/>
      <c r="H42" s="635"/>
      <c r="I42" s="636"/>
      <c r="J42" s="349" t="s">
        <v>68</v>
      </c>
      <c r="K42" s="677">
        <v>23900</v>
      </c>
      <c r="L42" s="678"/>
      <c r="M42" s="349">
        <f>ROUNDUP((M38/2.5/10)^2/(0.8*2.4),0)</f>
        <v>9</v>
      </c>
      <c r="N42" s="363">
        <f t="shared" si="5"/>
        <v>215100</v>
      </c>
      <c r="O42" s="364">
        <v>1</v>
      </c>
    </row>
    <row r="43" spans="1:15" x14ac:dyDescent="0.2">
      <c r="B43" s="623" t="str">
        <f>"SUBTOTAL "&amp;D35</f>
        <v>SUBTOTAL MANEJO INTEGRAL DE CAMPAMENTOS FIJOS O TEMPORALES</v>
      </c>
      <c r="C43" s="623"/>
      <c r="D43" s="623"/>
      <c r="E43" s="623"/>
      <c r="F43" s="623"/>
      <c r="G43" s="623"/>
      <c r="H43" s="623"/>
      <c r="I43" s="623"/>
      <c r="J43" s="623"/>
      <c r="K43" s="623"/>
      <c r="L43" s="623"/>
      <c r="M43" s="623"/>
      <c r="N43" s="357">
        <f>SUM(N37:N42)</f>
        <v>6341966</v>
      </c>
      <c r="O43" s="326">
        <v>1</v>
      </c>
    </row>
    <row r="44" spans="1:15" x14ac:dyDescent="0.2">
      <c r="B44" s="624"/>
      <c r="C44" s="624"/>
      <c r="D44" s="624"/>
      <c r="E44" s="624"/>
      <c r="F44" s="624"/>
      <c r="G44" s="624"/>
      <c r="H44" s="624"/>
      <c r="I44" s="624"/>
      <c r="J44" s="624"/>
      <c r="K44" s="624"/>
      <c r="L44" s="624"/>
      <c r="M44" s="624"/>
      <c r="N44" s="624"/>
      <c r="O44" s="326">
        <v>1</v>
      </c>
    </row>
    <row r="45" spans="1:15" x14ac:dyDescent="0.2">
      <c r="B45" s="665" t="s">
        <v>664</v>
      </c>
      <c r="C45" s="331" t="s">
        <v>735</v>
      </c>
      <c r="D45" s="650" t="s">
        <v>736</v>
      </c>
      <c r="E45" s="651"/>
      <c r="F45" s="651"/>
      <c r="G45" s="651"/>
      <c r="H45" s="651"/>
      <c r="I45" s="651"/>
      <c r="J45" s="651"/>
      <c r="K45" s="651"/>
      <c r="L45" s="651"/>
      <c r="M45" s="651"/>
      <c r="N45" s="652"/>
      <c r="O45" s="326">
        <v>1</v>
      </c>
    </row>
    <row r="46" spans="1:15" x14ac:dyDescent="0.2">
      <c r="B46" s="665"/>
      <c r="C46" s="332" t="s">
        <v>449</v>
      </c>
      <c r="D46" s="667" t="s">
        <v>43</v>
      </c>
      <c r="E46" s="667"/>
      <c r="F46" s="667" t="s">
        <v>711</v>
      </c>
      <c r="G46" s="667"/>
      <c r="H46" s="667"/>
      <c r="I46" s="667"/>
      <c r="J46" s="332" t="s">
        <v>712</v>
      </c>
      <c r="K46" s="665" t="s">
        <v>46</v>
      </c>
      <c r="L46" s="665"/>
      <c r="M46" s="358" t="s">
        <v>45</v>
      </c>
      <c r="N46" s="332" t="s">
        <v>594</v>
      </c>
      <c r="O46" s="326">
        <v>1</v>
      </c>
    </row>
    <row r="47" spans="1:15" ht="15" x14ac:dyDescent="0.2">
      <c r="B47" s="78">
        <v>7556</v>
      </c>
      <c r="C47" s="668" t="s">
        <v>737</v>
      </c>
      <c r="D47" s="648" t="s">
        <v>738</v>
      </c>
      <c r="E47" s="649"/>
      <c r="F47" s="634" t="s">
        <v>730</v>
      </c>
      <c r="G47" s="635"/>
      <c r="H47" s="635"/>
      <c r="I47" s="636"/>
      <c r="J47" s="349" t="s">
        <v>53</v>
      </c>
      <c r="K47" s="637">
        <v>1312</v>
      </c>
      <c r="L47" s="638"/>
      <c r="M47" s="349">
        <v>100</v>
      </c>
      <c r="N47" s="347">
        <f>ROUND(K47*M47,0)</f>
        <v>131200</v>
      </c>
      <c r="O47" s="326">
        <f t="shared" ref="O47:O51" si="6">IF(N47=0,0,1)</f>
        <v>1</v>
      </c>
    </row>
    <row r="48" spans="1:15" ht="15" x14ac:dyDescent="0.2">
      <c r="B48" s="78">
        <v>7554</v>
      </c>
      <c r="C48" s="669"/>
      <c r="D48" s="682"/>
      <c r="E48" s="683"/>
      <c r="F48" s="634" t="s">
        <v>739</v>
      </c>
      <c r="G48" s="635"/>
      <c r="H48" s="635"/>
      <c r="I48" s="636"/>
      <c r="J48" s="349" t="s">
        <v>68</v>
      </c>
      <c r="K48" s="637">
        <v>43962</v>
      </c>
      <c r="L48" s="638"/>
      <c r="M48" s="349">
        <v>50</v>
      </c>
      <c r="N48" s="347">
        <f t="shared" ref="N48:N50" si="7">ROUND(K48*M48,0)</f>
        <v>2198100</v>
      </c>
      <c r="O48" s="326">
        <f t="shared" si="6"/>
        <v>1</v>
      </c>
    </row>
    <row r="49" spans="1:15" ht="12.75" customHeight="1" x14ac:dyDescent="0.2">
      <c r="A49" s="361"/>
      <c r="B49" s="78" t="s">
        <v>740</v>
      </c>
      <c r="C49" s="669"/>
      <c r="D49" s="682"/>
      <c r="E49" s="683"/>
      <c r="F49" s="634" t="s">
        <v>741</v>
      </c>
      <c r="G49" s="635"/>
      <c r="H49" s="635"/>
      <c r="I49" s="636"/>
      <c r="J49" s="349" t="s">
        <v>68</v>
      </c>
      <c r="K49" s="637">
        <v>20230</v>
      </c>
      <c r="L49" s="638"/>
      <c r="M49" s="349">
        <v>50</v>
      </c>
      <c r="N49" s="347">
        <f t="shared" si="7"/>
        <v>1011500</v>
      </c>
      <c r="O49" s="326">
        <f t="shared" si="6"/>
        <v>1</v>
      </c>
    </row>
    <row r="50" spans="1:15" ht="12.75" customHeight="1" x14ac:dyDescent="0.2">
      <c r="B50" s="78">
        <v>7555</v>
      </c>
      <c r="C50" s="670"/>
      <c r="D50" s="684"/>
      <c r="E50" s="685"/>
      <c r="F50" s="634" t="s">
        <v>742</v>
      </c>
      <c r="G50" s="635"/>
      <c r="H50" s="635"/>
      <c r="I50" s="636"/>
      <c r="J50" s="349" t="s">
        <v>68</v>
      </c>
      <c r="K50" s="637">
        <v>37188</v>
      </c>
      <c r="L50" s="638"/>
      <c r="M50" s="349">
        <v>8</v>
      </c>
      <c r="N50" s="347">
        <f t="shared" si="7"/>
        <v>297504</v>
      </c>
      <c r="O50" s="326">
        <f t="shared" si="6"/>
        <v>1</v>
      </c>
    </row>
    <row r="51" spans="1:15" x14ac:dyDescent="0.2">
      <c r="B51" s="623" t="str">
        <f>"SUBTOTAL "&amp;D45</f>
        <v>SUBTOTAL MANEJO DE MATERIALES DE CONSTRUCCIÓN</v>
      </c>
      <c r="C51" s="623"/>
      <c r="D51" s="623"/>
      <c r="E51" s="623"/>
      <c r="F51" s="623"/>
      <c r="G51" s="623"/>
      <c r="H51" s="623"/>
      <c r="I51" s="623"/>
      <c r="J51" s="623"/>
      <c r="K51" s="623"/>
      <c r="L51" s="623"/>
      <c r="M51" s="623"/>
      <c r="N51" s="357">
        <f>SUM(N47:N50)</f>
        <v>3638304</v>
      </c>
      <c r="O51" s="326">
        <f t="shared" si="6"/>
        <v>1</v>
      </c>
    </row>
    <row r="52" spans="1:15" x14ac:dyDescent="0.2">
      <c r="B52" s="624"/>
      <c r="C52" s="624"/>
      <c r="D52" s="624"/>
      <c r="E52" s="624"/>
      <c r="F52" s="624"/>
      <c r="G52" s="624"/>
      <c r="H52" s="624"/>
      <c r="I52" s="624"/>
      <c r="J52" s="624"/>
      <c r="K52" s="624"/>
      <c r="L52" s="624"/>
      <c r="M52" s="624"/>
      <c r="N52" s="624"/>
      <c r="O52" s="326">
        <v>1</v>
      </c>
    </row>
    <row r="53" spans="1:15" x14ac:dyDescent="0.2">
      <c r="B53" s="665" t="s">
        <v>664</v>
      </c>
      <c r="C53" s="331" t="s">
        <v>743</v>
      </c>
      <c r="D53" s="650" t="s">
        <v>744</v>
      </c>
      <c r="E53" s="651"/>
      <c r="F53" s="651"/>
      <c r="G53" s="651"/>
      <c r="H53" s="651"/>
      <c r="I53" s="651"/>
      <c r="J53" s="651"/>
      <c r="K53" s="651"/>
      <c r="L53" s="651"/>
      <c r="M53" s="651"/>
      <c r="N53" s="652"/>
      <c r="O53" s="326">
        <v>1</v>
      </c>
    </row>
    <row r="54" spans="1:15" x14ac:dyDescent="0.2">
      <c r="B54" s="665"/>
      <c r="C54" s="332" t="s">
        <v>449</v>
      </c>
      <c r="D54" s="667" t="s">
        <v>43</v>
      </c>
      <c r="E54" s="667"/>
      <c r="F54" s="667" t="s">
        <v>711</v>
      </c>
      <c r="G54" s="667"/>
      <c r="H54" s="667"/>
      <c r="I54" s="667"/>
      <c r="J54" s="332" t="s">
        <v>712</v>
      </c>
      <c r="K54" s="665" t="s">
        <v>46</v>
      </c>
      <c r="L54" s="665"/>
      <c r="M54" s="358" t="s">
        <v>45</v>
      </c>
      <c r="N54" s="332" t="s">
        <v>594</v>
      </c>
      <c r="O54" s="326">
        <v>1</v>
      </c>
    </row>
    <row r="55" spans="1:15" ht="30.4" customHeight="1" x14ac:dyDescent="0.2">
      <c r="B55" s="78">
        <v>9290</v>
      </c>
      <c r="C55" s="349" t="s">
        <v>745</v>
      </c>
      <c r="D55" s="648" t="s">
        <v>746</v>
      </c>
      <c r="E55" s="649"/>
      <c r="F55" s="634" t="s">
        <v>747</v>
      </c>
      <c r="G55" s="635"/>
      <c r="H55" s="635"/>
      <c r="I55" s="636"/>
      <c r="J55" s="349" t="s">
        <v>68</v>
      </c>
      <c r="K55" s="637">
        <v>122000</v>
      </c>
      <c r="L55" s="638"/>
      <c r="M55" s="349">
        <v>5</v>
      </c>
      <c r="N55" s="347">
        <f>ROUND(K55*M55,0)</f>
        <v>610000</v>
      </c>
      <c r="O55" s="326">
        <f t="shared" ref="O55:O72" si="8">IF(N55=0,0,1)</f>
        <v>1</v>
      </c>
    </row>
    <row r="56" spans="1:15" ht="12.75" customHeight="1" x14ac:dyDescent="0.2">
      <c r="B56" s="78">
        <v>7559</v>
      </c>
      <c r="C56" s="349" t="s">
        <v>748</v>
      </c>
      <c r="D56" s="682"/>
      <c r="E56" s="683"/>
      <c r="F56" s="634" t="s">
        <v>726</v>
      </c>
      <c r="G56" s="635"/>
      <c r="H56" s="635"/>
      <c r="I56" s="636"/>
      <c r="J56" s="349" t="s">
        <v>53</v>
      </c>
      <c r="K56" s="637">
        <v>793</v>
      </c>
      <c r="L56" s="638"/>
      <c r="M56" s="349">
        <v>100</v>
      </c>
      <c r="N56" s="347">
        <f t="shared" ref="N56:N71" si="9">ROUND(K56*M56,0)</f>
        <v>79300</v>
      </c>
      <c r="O56" s="326">
        <f t="shared" si="8"/>
        <v>1</v>
      </c>
    </row>
    <row r="57" spans="1:15" ht="30.4" customHeight="1" x14ac:dyDescent="0.2">
      <c r="B57" s="78">
        <v>7285</v>
      </c>
      <c r="C57" s="349" t="s">
        <v>749</v>
      </c>
      <c r="D57" s="682"/>
      <c r="E57" s="683"/>
      <c r="F57" s="634" t="s">
        <v>728</v>
      </c>
      <c r="G57" s="635"/>
      <c r="H57" s="635"/>
      <c r="I57" s="636"/>
      <c r="J57" s="349" t="s">
        <v>68</v>
      </c>
      <c r="K57" s="637">
        <v>12390</v>
      </c>
      <c r="L57" s="638"/>
      <c r="M57" s="349">
        <v>10</v>
      </c>
      <c r="N57" s="347">
        <f t="shared" si="9"/>
        <v>123900</v>
      </c>
      <c r="O57" s="326">
        <f t="shared" si="8"/>
        <v>1</v>
      </c>
    </row>
    <row r="58" spans="1:15" ht="15" x14ac:dyDescent="0.2">
      <c r="B58" s="78">
        <v>8478</v>
      </c>
      <c r="C58" s="349" t="s">
        <v>750</v>
      </c>
      <c r="D58" s="684"/>
      <c r="E58" s="685"/>
      <c r="F58" s="634" t="s">
        <v>734</v>
      </c>
      <c r="G58" s="635"/>
      <c r="H58" s="635"/>
      <c r="I58" s="636"/>
      <c r="J58" s="349" t="s">
        <v>68</v>
      </c>
      <c r="K58" s="637">
        <v>23900</v>
      </c>
      <c r="L58" s="638"/>
      <c r="M58" s="349">
        <v>2</v>
      </c>
      <c r="N58" s="347">
        <f t="shared" si="9"/>
        <v>47800</v>
      </c>
      <c r="O58" s="326">
        <f t="shared" si="8"/>
        <v>1</v>
      </c>
    </row>
    <row r="59" spans="1:15" ht="15" x14ac:dyDescent="0.2">
      <c r="B59" s="78">
        <v>9287</v>
      </c>
      <c r="C59" s="349" t="s">
        <v>751</v>
      </c>
      <c r="D59" s="648" t="s">
        <v>752</v>
      </c>
      <c r="E59" s="649"/>
      <c r="F59" s="634" t="s">
        <v>753</v>
      </c>
      <c r="G59" s="635"/>
      <c r="H59" s="635"/>
      <c r="I59" s="636"/>
      <c r="J59" s="349" t="s">
        <v>68</v>
      </c>
      <c r="K59" s="637">
        <v>19517</v>
      </c>
      <c r="L59" s="638"/>
      <c r="M59" s="349">
        <f>3</f>
        <v>3</v>
      </c>
      <c r="N59" s="347">
        <f t="shared" si="9"/>
        <v>58551</v>
      </c>
      <c r="O59" s="326">
        <f t="shared" si="8"/>
        <v>1</v>
      </c>
    </row>
    <row r="60" spans="1:15" ht="12.75" customHeight="1" x14ac:dyDescent="0.2">
      <c r="B60" s="78">
        <v>7812</v>
      </c>
      <c r="C60" s="349" t="s">
        <v>754</v>
      </c>
      <c r="D60" s="682"/>
      <c r="E60" s="683"/>
      <c r="F60" s="634" t="s">
        <v>755</v>
      </c>
      <c r="G60" s="635"/>
      <c r="H60" s="635"/>
      <c r="I60" s="636"/>
      <c r="J60" s="349" t="s">
        <v>68</v>
      </c>
      <c r="K60" s="637">
        <v>201100</v>
      </c>
      <c r="L60" s="638"/>
      <c r="M60" s="349">
        <v>2</v>
      </c>
      <c r="N60" s="347">
        <f t="shared" si="9"/>
        <v>402200</v>
      </c>
      <c r="O60" s="326">
        <f t="shared" si="8"/>
        <v>1</v>
      </c>
    </row>
    <row r="61" spans="1:15" ht="12.75" customHeight="1" x14ac:dyDescent="0.2">
      <c r="B61" s="78">
        <v>7811</v>
      </c>
      <c r="C61" s="349" t="s">
        <v>756</v>
      </c>
      <c r="D61" s="682"/>
      <c r="E61" s="683"/>
      <c r="F61" s="634" t="s">
        <v>757</v>
      </c>
      <c r="G61" s="635"/>
      <c r="H61" s="635"/>
      <c r="I61" s="636"/>
      <c r="J61" s="349" t="s">
        <v>68</v>
      </c>
      <c r="K61" s="637">
        <v>13978</v>
      </c>
      <c r="L61" s="638"/>
      <c r="M61" s="349">
        <v>3</v>
      </c>
      <c r="N61" s="347">
        <f t="shared" si="9"/>
        <v>41934</v>
      </c>
      <c r="O61" s="326">
        <f t="shared" si="8"/>
        <v>1</v>
      </c>
    </row>
    <row r="62" spans="1:15" ht="30.4" customHeight="1" x14ac:dyDescent="0.2">
      <c r="B62" s="78">
        <v>7813</v>
      </c>
      <c r="C62" s="349" t="s">
        <v>758</v>
      </c>
      <c r="D62" s="682"/>
      <c r="E62" s="683"/>
      <c r="F62" s="634" t="s">
        <v>759</v>
      </c>
      <c r="G62" s="635"/>
      <c r="H62" s="635"/>
      <c r="I62" s="636"/>
      <c r="J62" s="349" t="s">
        <v>68</v>
      </c>
      <c r="K62" s="637">
        <v>64260</v>
      </c>
      <c r="L62" s="638"/>
      <c r="M62" s="349">
        <v>2</v>
      </c>
      <c r="N62" s="347">
        <f t="shared" si="9"/>
        <v>128520</v>
      </c>
      <c r="O62" s="326">
        <f t="shared" si="8"/>
        <v>1</v>
      </c>
    </row>
    <row r="63" spans="1:15" ht="15" x14ac:dyDescent="0.2">
      <c r="B63" s="78">
        <v>7814</v>
      </c>
      <c r="C63" s="349" t="s">
        <v>760</v>
      </c>
      <c r="D63" s="682"/>
      <c r="E63" s="683"/>
      <c r="F63" s="634" t="s">
        <v>761</v>
      </c>
      <c r="G63" s="635"/>
      <c r="H63" s="635"/>
      <c r="I63" s="636"/>
      <c r="J63" s="349" t="s">
        <v>68</v>
      </c>
      <c r="K63" s="637">
        <v>37900</v>
      </c>
      <c r="L63" s="638"/>
      <c r="M63" s="349">
        <v>1</v>
      </c>
      <c r="N63" s="347">
        <f t="shared" si="9"/>
        <v>37900</v>
      </c>
      <c r="O63" s="326">
        <f t="shared" si="8"/>
        <v>1</v>
      </c>
    </row>
    <row r="64" spans="1:15" ht="31.9" customHeight="1" x14ac:dyDescent="0.2">
      <c r="B64" s="78">
        <v>9280</v>
      </c>
      <c r="C64" s="349" t="s">
        <v>762</v>
      </c>
      <c r="D64" s="682"/>
      <c r="E64" s="683"/>
      <c r="F64" s="634" t="s">
        <v>763</v>
      </c>
      <c r="G64" s="635"/>
      <c r="H64" s="635"/>
      <c r="I64" s="636"/>
      <c r="J64" s="349" t="s">
        <v>68</v>
      </c>
      <c r="K64" s="637">
        <v>10042</v>
      </c>
      <c r="L64" s="638"/>
      <c r="M64" s="349">
        <f>1*ROUNDUP($E$6,0)</f>
        <v>6</v>
      </c>
      <c r="N64" s="347">
        <f t="shared" si="9"/>
        <v>60252</v>
      </c>
      <c r="O64" s="326">
        <f t="shared" si="8"/>
        <v>1</v>
      </c>
    </row>
    <row r="65" spans="2:16" ht="12.75" customHeight="1" x14ac:dyDescent="0.2">
      <c r="B65" s="78">
        <v>7306</v>
      </c>
      <c r="C65" s="349" t="s">
        <v>764</v>
      </c>
      <c r="D65" s="684"/>
      <c r="E65" s="685"/>
      <c r="F65" s="634" t="s">
        <v>765</v>
      </c>
      <c r="G65" s="635"/>
      <c r="H65" s="635"/>
      <c r="I65" s="636"/>
      <c r="J65" s="349" t="s">
        <v>68</v>
      </c>
      <c r="K65" s="637">
        <v>28649</v>
      </c>
      <c r="L65" s="638"/>
      <c r="M65" s="349">
        <f>1*ROUNDUP($E$6,0)</f>
        <v>6</v>
      </c>
      <c r="N65" s="347">
        <f t="shared" si="9"/>
        <v>171894</v>
      </c>
      <c r="O65" s="326">
        <f t="shared" si="8"/>
        <v>1</v>
      </c>
    </row>
    <row r="66" spans="2:16" ht="30.4" customHeight="1" x14ac:dyDescent="0.2">
      <c r="B66" s="78">
        <v>7559</v>
      </c>
      <c r="C66" s="349" t="s">
        <v>766</v>
      </c>
      <c r="D66" s="648" t="s">
        <v>767</v>
      </c>
      <c r="E66" s="649"/>
      <c r="F66" s="634" t="s">
        <v>726</v>
      </c>
      <c r="G66" s="635"/>
      <c r="H66" s="635"/>
      <c r="I66" s="636"/>
      <c r="J66" s="349" t="s">
        <v>53</v>
      </c>
      <c r="K66" s="637">
        <v>793</v>
      </c>
      <c r="L66" s="638"/>
      <c r="M66" s="349">
        <v>20</v>
      </c>
      <c r="N66" s="347">
        <f t="shared" si="9"/>
        <v>15860</v>
      </c>
      <c r="O66" s="326">
        <f t="shared" si="8"/>
        <v>1</v>
      </c>
    </row>
    <row r="67" spans="2:16" ht="15" x14ac:dyDescent="0.2">
      <c r="B67" s="78">
        <v>7285</v>
      </c>
      <c r="C67" s="349" t="s">
        <v>768</v>
      </c>
      <c r="D67" s="682"/>
      <c r="E67" s="683"/>
      <c r="F67" s="634" t="s">
        <v>728</v>
      </c>
      <c r="G67" s="635"/>
      <c r="H67" s="635"/>
      <c r="I67" s="636"/>
      <c r="J67" s="349" t="s">
        <v>68</v>
      </c>
      <c r="K67" s="637">
        <v>12390</v>
      </c>
      <c r="L67" s="638"/>
      <c r="M67" s="349">
        <v>10</v>
      </c>
      <c r="N67" s="347">
        <f t="shared" si="9"/>
        <v>123900</v>
      </c>
      <c r="O67" s="326">
        <f t="shared" si="8"/>
        <v>1</v>
      </c>
    </row>
    <row r="68" spans="2:16" ht="15" x14ac:dyDescent="0.2">
      <c r="B68" s="78">
        <v>8478</v>
      </c>
      <c r="C68" s="349" t="s">
        <v>769</v>
      </c>
      <c r="D68" s="682"/>
      <c r="E68" s="683"/>
      <c r="F68" s="634" t="s">
        <v>734</v>
      </c>
      <c r="G68" s="635"/>
      <c r="H68" s="635"/>
      <c r="I68" s="636"/>
      <c r="J68" s="349" t="s">
        <v>68</v>
      </c>
      <c r="K68" s="637">
        <v>23900</v>
      </c>
      <c r="L68" s="638"/>
      <c r="M68" s="349">
        <v>3</v>
      </c>
      <c r="N68" s="347">
        <f t="shared" si="9"/>
        <v>71700</v>
      </c>
      <c r="O68" s="326">
        <f t="shared" si="8"/>
        <v>1</v>
      </c>
    </row>
    <row r="69" spans="2:16" ht="12.75" customHeight="1" x14ac:dyDescent="0.2">
      <c r="B69" s="78">
        <v>7557</v>
      </c>
      <c r="C69" s="349" t="s">
        <v>770</v>
      </c>
      <c r="D69" s="682"/>
      <c r="E69" s="683"/>
      <c r="F69" s="634" t="s">
        <v>771</v>
      </c>
      <c r="G69" s="635"/>
      <c r="H69" s="635"/>
      <c r="I69" s="636"/>
      <c r="J69" s="349" t="s">
        <v>68</v>
      </c>
      <c r="K69" s="637">
        <v>1018</v>
      </c>
      <c r="L69" s="638"/>
      <c r="M69" s="349">
        <v>100</v>
      </c>
      <c r="N69" s="347">
        <f t="shared" si="9"/>
        <v>101800</v>
      </c>
      <c r="O69" s="326">
        <f t="shared" si="8"/>
        <v>1</v>
      </c>
    </row>
    <row r="70" spans="2:16" ht="12.75" customHeight="1" x14ac:dyDescent="0.2">
      <c r="B70" s="78">
        <v>7556</v>
      </c>
      <c r="C70" s="349" t="s">
        <v>772</v>
      </c>
      <c r="D70" s="682"/>
      <c r="E70" s="683"/>
      <c r="F70" s="634" t="s">
        <v>730</v>
      </c>
      <c r="G70" s="635"/>
      <c r="H70" s="635"/>
      <c r="I70" s="636"/>
      <c r="J70" s="349" t="s">
        <v>53</v>
      </c>
      <c r="K70" s="637">
        <v>1312</v>
      </c>
      <c r="L70" s="638"/>
      <c r="M70" s="349">
        <v>100</v>
      </c>
      <c r="N70" s="347">
        <f t="shared" si="9"/>
        <v>131200</v>
      </c>
      <c r="O70" s="326">
        <f t="shared" si="8"/>
        <v>1</v>
      </c>
    </row>
    <row r="71" spans="2:16" ht="30.4" customHeight="1" x14ac:dyDescent="0.2">
      <c r="B71" s="78">
        <v>6159</v>
      </c>
      <c r="C71" s="349" t="s">
        <v>773</v>
      </c>
      <c r="D71" s="684"/>
      <c r="E71" s="685"/>
      <c r="F71" s="634" t="s">
        <v>774</v>
      </c>
      <c r="G71" s="635"/>
      <c r="H71" s="635"/>
      <c r="I71" s="636"/>
      <c r="J71" s="349" t="s">
        <v>64</v>
      </c>
      <c r="K71" s="637">
        <v>111197</v>
      </c>
      <c r="L71" s="638"/>
      <c r="M71" s="349">
        <v>5</v>
      </c>
      <c r="N71" s="347">
        <f t="shared" si="9"/>
        <v>555985</v>
      </c>
      <c r="O71" s="326">
        <f t="shared" si="8"/>
        <v>1</v>
      </c>
    </row>
    <row r="72" spans="2:16" x14ac:dyDescent="0.2">
      <c r="B72" s="623" t="str">
        <f>"SUBTOTAL "&amp;D53</f>
        <v xml:space="preserve">SUBTOTAL MANEJO INTEGRAL DE RESIDUOS SÓLIDOS </v>
      </c>
      <c r="C72" s="623"/>
      <c r="D72" s="623"/>
      <c r="E72" s="623"/>
      <c r="F72" s="623"/>
      <c r="G72" s="623"/>
      <c r="H72" s="623"/>
      <c r="I72" s="623"/>
      <c r="J72" s="623"/>
      <c r="K72" s="623"/>
      <c r="L72" s="623"/>
      <c r="M72" s="623"/>
      <c r="N72" s="357">
        <f>SUM(N55:N71)</f>
        <v>2762696</v>
      </c>
      <c r="O72" s="326">
        <f t="shared" si="8"/>
        <v>1</v>
      </c>
    </row>
    <row r="73" spans="2:16" x14ac:dyDescent="0.2">
      <c r="B73" s="624"/>
      <c r="C73" s="624"/>
      <c r="D73" s="624"/>
      <c r="E73" s="624"/>
      <c r="F73" s="624"/>
      <c r="G73" s="624"/>
      <c r="H73" s="624"/>
      <c r="I73" s="624"/>
      <c r="J73" s="624"/>
      <c r="K73" s="624"/>
      <c r="L73" s="624"/>
      <c r="M73" s="624"/>
      <c r="N73" s="624"/>
      <c r="O73" s="326">
        <v>1</v>
      </c>
    </row>
    <row r="74" spans="2:16" x14ac:dyDescent="0.2">
      <c r="B74" s="665" t="s">
        <v>664</v>
      </c>
      <c r="C74" s="331" t="s">
        <v>775</v>
      </c>
      <c r="D74" s="650" t="s">
        <v>776</v>
      </c>
      <c r="E74" s="651"/>
      <c r="F74" s="651"/>
      <c r="G74" s="651"/>
      <c r="H74" s="651"/>
      <c r="I74" s="651"/>
      <c r="J74" s="651"/>
      <c r="K74" s="651"/>
      <c r="L74" s="651"/>
      <c r="M74" s="651"/>
      <c r="N74" s="652"/>
      <c r="O74" s="326">
        <v>1</v>
      </c>
    </row>
    <row r="75" spans="2:16" x14ac:dyDescent="0.2">
      <c r="B75" s="665"/>
      <c r="C75" s="332" t="s">
        <v>449</v>
      </c>
      <c r="D75" s="667" t="s">
        <v>43</v>
      </c>
      <c r="E75" s="667"/>
      <c r="F75" s="667" t="s">
        <v>711</v>
      </c>
      <c r="G75" s="667"/>
      <c r="H75" s="667"/>
      <c r="I75" s="667"/>
      <c r="J75" s="332" t="s">
        <v>712</v>
      </c>
      <c r="K75" s="665" t="s">
        <v>46</v>
      </c>
      <c r="L75" s="665"/>
      <c r="M75" s="358" t="s">
        <v>45</v>
      </c>
      <c r="N75" s="332" t="s">
        <v>594</v>
      </c>
      <c r="O75" s="326">
        <v>1</v>
      </c>
    </row>
    <row r="76" spans="2:16" ht="52.5" customHeight="1" x14ac:dyDescent="0.2">
      <c r="B76" s="78">
        <v>5366</v>
      </c>
      <c r="C76" s="349" t="s">
        <v>777</v>
      </c>
      <c r="D76" s="648" t="s">
        <v>778</v>
      </c>
      <c r="E76" s="649"/>
      <c r="F76" s="634" t="s">
        <v>779</v>
      </c>
      <c r="G76" s="635"/>
      <c r="H76" s="635"/>
      <c r="I76" s="636"/>
      <c r="J76" s="349" t="s">
        <v>53</v>
      </c>
      <c r="K76" s="637">
        <v>2646</v>
      </c>
      <c r="L76" s="638"/>
      <c r="M76" s="349">
        <v>700</v>
      </c>
      <c r="N76" s="347">
        <f>ROUND(K76*M76,0)</f>
        <v>1852200</v>
      </c>
      <c r="O76" s="326">
        <v>1</v>
      </c>
      <c r="P76" s="365"/>
    </row>
    <row r="77" spans="2:16" ht="11.25" customHeight="1" x14ac:dyDescent="0.2">
      <c r="B77" s="78">
        <v>9325</v>
      </c>
      <c r="C77" s="349" t="s">
        <v>780</v>
      </c>
      <c r="D77" s="648" t="s">
        <v>781</v>
      </c>
      <c r="E77" s="649"/>
      <c r="F77" s="634" t="s">
        <v>782</v>
      </c>
      <c r="G77" s="635"/>
      <c r="H77" s="635"/>
      <c r="I77" s="636"/>
      <c r="J77" s="349" t="s">
        <v>783</v>
      </c>
      <c r="K77" s="637">
        <v>210000</v>
      </c>
      <c r="L77" s="638"/>
      <c r="M77" s="349">
        <v>2</v>
      </c>
      <c r="N77" s="347">
        <f>ROUND(K77*M77,0)</f>
        <v>420000</v>
      </c>
      <c r="O77" s="326">
        <f t="shared" ref="O77" si="10">IF(N77=0,0,1)</f>
        <v>1</v>
      </c>
      <c r="P77" s="365"/>
    </row>
    <row r="78" spans="2:16" x14ac:dyDescent="0.2">
      <c r="B78" s="623"/>
      <c r="C78" s="623"/>
      <c r="D78" s="623"/>
      <c r="E78" s="623"/>
      <c r="F78" s="623"/>
      <c r="G78" s="623"/>
      <c r="H78" s="623"/>
      <c r="I78" s="623"/>
      <c r="J78" s="623"/>
      <c r="K78" s="623"/>
      <c r="L78" s="623"/>
      <c r="M78" s="623"/>
      <c r="N78" s="366">
        <f>SUM(N76:N77)</f>
        <v>2272200</v>
      </c>
      <c r="O78" s="326">
        <v>1</v>
      </c>
    </row>
    <row r="79" spans="2:16" x14ac:dyDescent="0.2">
      <c r="B79" s="624"/>
      <c r="C79" s="624"/>
      <c r="D79" s="624"/>
      <c r="E79" s="624"/>
      <c r="F79" s="624"/>
      <c r="G79" s="624"/>
      <c r="H79" s="624"/>
      <c r="I79" s="624"/>
      <c r="J79" s="624"/>
      <c r="K79" s="624"/>
      <c r="L79" s="624"/>
      <c r="M79" s="624"/>
      <c r="N79" s="624"/>
      <c r="O79" s="326">
        <v>1</v>
      </c>
    </row>
    <row r="80" spans="2:16" x14ac:dyDescent="0.2">
      <c r="B80" s="665" t="s">
        <v>664</v>
      </c>
      <c r="C80" s="331" t="s">
        <v>784</v>
      </c>
      <c r="D80" s="650" t="s">
        <v>785</v>
      </c>
      <c r="E80" s="651"/>
      <c r="F80" s="651"/>
      <c r="G80" s="651"/>
      <c r="H80" s="651"/>
      <c r="I80" s="651"/>
      <c r="J80" s="651"/>
      <c r="K80" s="651"/>
      <c r="L80" s="651"/>
      <c r="M80" s="651"/>
      <c r="N80" s="652"/>
      <c r="O80" s="326">
        <v>1</v>
      </c>
    </row>
    <row r="81" spans="2:15" x14ac:dyDescent="0.2">
      <c r="B81" s="665"/>
      <c r="C81" s="332" t="s">
        <v>449</v>
      </c>
      <c r="D81" s="667" t="s">
        <v>43</v>
      </c>
      <c r="E81" s="667"/>
      <c r="F81" s="667" t="s">
        <v>711</v>
      </c>
      <c r="G81" s="667"/>
      <c r="H81" s="667"/>
      <c r="I81" s="667"/>
      <c r="J81" s="332" t="s">
        <v>712</v>
      </c>
      <c r="K81" s="665" t="s">
        <v>46</v>
      </c>
      <c r="L81" s="665"/>
      <c r="M81" s="358" t="s">
        <v>45</v>
      </c>
      <c r="N81" s="332" t="s">
        <v>594</v>
      </c>
      <c r="O81" s="326">
        <v>1</v>
      </c>
    </row>
    <row r="82" spans="2:15" ht="12.75" customHeight="1" x14ac:dyDescent="0.2">
      <c r="B82" s="78">
        <v>6807</v>
      </c>
      <c r="C82" s="349" t="s">
        <v>786</v>
      </c>
      <c r="D82" s="648" t="s">
        <v>787</v>
      </c>
      <c r="E82" s="649"/>
      <c r="F82" s="634" t="s">
        <v>788</v>
      </c>
      <c r="G82" s="635"/>
      <c r="H82" s="635"/>
      <c r="I82" s="636"/>
      <c r="J82" s="349" t="s">
        <v>53</v>
      </c>
      <c r="K82" s="637">
        <v>41319</v>
      </c>
      <c r="L82" s="638"/>
      <c r="M82" s="349">
        <v>50</v>
      </c>
      <c r="N82" s="347">
        <f>ROUND(K82*M82,0)</f>
        <v>2065950</v>
      </c>
      <c r="O82" s="326">
        <f t="shared" ref="O82:O84" si="11">IF(N82=0,0,1)</f>
        <v>1</v>
      </c>
    </row>
    <row r="83" spans="2:15" ht="42" customHeight="1" x14ac:dyDescent="0.2">
      <c r="B83" s="78">
        <v>5168</v>
      </c>
      <c r="C83" s="349" t="s">
        <v>789</v>
      </c>
      <c r="D83" s="648" t="s">
        <v>790</v>
      </c>
      <c r="E83" s="649"/>
      <c r="F83" s="634" t="s">
        <v>791</v>
      </c>
      <c r="G83" s="635"/>
      <c r="H83" s="635"/>
      <c r="I83" s="636"/>
      <c r="J83" s="349" t="s">
        <v>723</v>
      </c>
      <c r="K83" s="637">
        <v>10121</v>
      </c>
      <c r="L83" s="638"/>
      <c r="M83" s="349">
        <v>120</v>
      </c>
      <c r="N83" s="347">
        <f t="shared" ref="N83" si="12">ROUND(K83*M83,0)</f>
        <v>1214520</v>
      </c>
      <c r="O83" s="326">
        <f t="shared" si="11"/>
        <v>1</v>
      </c>
    </row>
    <row r="84" spans="2:15" x14ac:dyDescent="0.2">
      <c r="B84" s="623" t="str">
        <f>"SUBTOTAL "&amp;D80</f>
        <v>SUBTOTAL MANEJO INTEGRAL DE CUERPOS DE AGUA Y SUMIDEROS</v>
      </c>
      <c r="C84" s="623"/>
      <c r="D84" s="623"/>
      <c r="E84" s="623"/>
      <c r="F84" s="623"/>
      <c r="G84" s="623"/>
      <c r="H84" s="623"/>
      <c r="I84" s="623"/>
      <c r="J84" s="623"/>
      <c r="K84" s="623"/>
      <c r="L84" s="623"/>
      <c r="M84" s="623"/>
      <c r="N84" s="357">
        <f>SUM(N82:N83)</f>
        <v>3280470</v>
      </c>
      <c r="O84" s="326">
        <f t="shared" si="11"/>
        <v>1</v>
      </c>
    </row>
    <row r="85" spans="2:15" x14ac:dyDescent="0.2">
      <c r="B85" s="624"/>
      <c r="C85" s="624"/>
      <c r="D85" s="624"/>
      <c r="E85" s="624"/>
      <c r="F85" s="624"/>
      <c r="G85" s="624"/>
      <c r="H85" s="624"/>
      <c r="I85" s="624"/>
      <c r="J85" s="624"/>
      <c r="K85" s="624"/>
      <c r="L85" s="624"/>
      <c r="M85" s="624"/>
      <c r="N85" s="624"/>
      <c r="O85" s="326">
        <v>1</v>
      </c>
    </row>
    <row r="86" spans="2:15" x14ac:dyDescent="0.2">
      <c r="B86" s="665" t="s">
        <v>664</v>
      </c>
      <c r="C86" s="331" t="s">
        <v>792</v>
      </c>
      <c r="D86" s="650" t="s">
        <v>793</v>
      </c>
      <c r="E86" s="651"/>
      <c r="F86" s="651"/>
      <c r="G86" s="651"/>
      <c r="H86" s="651"/>
      <c r="I86" s="651"/>
      <c r="J86" s="651"/>
      <c r="K86" s="651"/>
      <c r="L86" s="651"/>
      <c r="M86" s="651"/>
      <c r="N86" s="652"/>
      <c r="O86" s="326">
        <v>1</v>
      </c>
    </row>
    <row r="87" spans="2:15" x14ac:dyDescent="0.2">
      <c r="B87" s="665"/>
      <c r="C87" s="332" t="s">
        <v>449</v>
      </c>
      <c r="D87" s="667" t="s">
        <v>43</v>
      </c>
      <c r="E87" s="667"/>
      <c r="F87" s="667" t="s">
        <v>711</v>
      </c>
      <c r="G87" s="667"/>
      <c r="H87" s="667"/>
      <c r="I87" s="667"/>
      <c r="J87" s="332" t="s">
        <v>712</v>
      </c>
      <c r="K87" s="665" t="s">
        <v>46</v>
      </c>
      <c r="L87" s="665"/>
      <c r="M87" s="358" t="s">
        <v>45</v>
      </c>
      <c r="N87" s="332" t="s">
        <v>594</v>
      </c>
      <c r="O87" s="326">
        <v>1</v>
      </c>
    </row>
    <row r="88" spans="2:15" ht="15" x14ac:dyDescent="0.2">
      <c r="B88" s="78">
        <v>7556</v>
      </c>
      <c r="C88" s="349" t="s">
        <v>794</v>
      </c>
      <c r="D88" s="648" t="s">
        <v>795</v>
      </c>
      <c r="E88" s="649"/>
      <c r="F88" s="660" t="s">
        <v>730</v>
      </c>
      <c r="G88" s="681"/>
      <c r="H88" s="681"/>
      <c r="I88" s="661"/>
      <c r="J88" s="349" t="s">
        <v>53</v>
      </c>
      <c r="K88" s="637">
        <v>1312</v>
      </c>
      <c r="L88" s="638"/>
      <c r="M88" s="349">
        <v>10</v>
      </c>
      <c r="N88" s="347">
        <f t="shared" ref="N88:N90" si="13">ROUND(K88*M88,0)</f>
        <v>13120</v>
      </c>
      <c r="O88" s="326">
        <f t="shared" ref="O88" si="14">IF(N88=0,0,1)</f>
        <v>1</v>
      </c>
    </row>
    <row r="89" spans="2:15" ht="30.4" customHeight="1" x14ac:dyDescent="0.2">
      <c r="B89" s="78" t="s">
        <v>796</v>
      </c>
      <c r="C89" s="349" t="s">
        <v>797</v>
      </c>
      <c r="D89" s="648" t="s">
        <v>798</v>
      </c>
      <c r="E89" s="649"/>
      <c r="F89" s="660" t="s">
        <v>799</v>
      </c>
      <c r="G89" s="681"/>
      <c r="H89" s="681"/>
      <c r="I89" s="661"/>
      <c r="J89" s="349" t="s">
        <v>68</v>
      </c>
      <c r="K89" s="637">
        <v>178381</v>
      </c>
      <c r="L89" s="638"/>
      <c r="M89" s="349">
        <v>1</v>
      </c>
      <c r="N89" s="347">
        <f t="shared" si="13"/>
        <v>178381</v>
      </c>
      <c r="O89" s="326">
        <v>1</v>
      </c>
    </row>
    <row r="90" spans="2:15" ht="30.4" customHeight="1" x14ac:dyDescent="0.2">
      <c r="B90" s="78" t="s">
        <v>800</v>
      </c>
      <c r="C90" s="349" t="s">
        <v>801</v>
      </c>
      <c r="D90" s="648" t="s">
        <v>802</v>
      </c>
      <c r="E90" s="649"/>
      <c r="F90" s="660" t="s">
        <v>803</v>
      </c>
      <c r="G90" s="681"/>
      <c r="H90" s="681"/>
      <c r="I90" s="661"/>
      <c r="J90" s="349" t="s">
        <v>68</v>
      </c>
      <c r="K90" s="637">
        <v>547281</v>
      </c>
      <c r="L90" s="638"/>
      <c r="M90" s="349">
        <v>1</v>
      </c>
      <c r="N90" s="347">
        <f t="shared" si="13"/>
        <v>547281</v>
      </c>
      <c r="O90" s="326">
        <v>1</v>
      </c>
    </row>
    <row r="91" spans="2:15" x14ac:dyDescent="0.2">
      <c r="B91" s="623" t="str">
        <f>"SUBTOTAL "&amp;D86</f>
        <v>SUBTOTAL MANEJO DE COMBUSTIBLES Y ACEITES Y/O SUSTANCIAS PELIGROSAS</v>
      </c>
      <c r="C91" s="623"/>
      <c r="D91" s="623"/>
      <c r="E91" s="623"/>
      <c r="F91" s="623"/>
      <c r="G91" s="623"/>
      <c r="H91" s="623"/>
      <c r="I91" s="623"/>
      <c r="J91" s="623"/>
      <c r="K91" s="623"/>
      <c r="L91" s="623"/>
      <c r="M91" s="623"/>
      <c r="N91" s="357">
        <f>SUM(N88:N90)</f>
        <v>738782</v>
      </c>
      <c r="O91" s="326">
        <f t="shared" ref="O91" si="15">IF(N91=0,0,1)</f>
        <v>1</v>
      </c>
    </row>
    <row r="92" spans="2:15" x14ac:dyDescent="0.2">
      <c r="B92" s="624"/>
      <c r="C92" s="624"/>
      <c r="D92" s="624"/>
      <c r="E92" s="624"/>
      <c r="F92" s="624"/>
      <c r="G92" s="624"/>
      <c r="H92" s="624"/>
      <c r="I92" s="624"/>
      <c r="J92" s="624"/>
      <c r="K92" s="624"/>
      <c r="L92" s="624"/>
      <c r="M92" s="624"/>
      <c r="N92" s="624"/>
      <c r="O92" s="326">
        <v>1</v>
      </c>
    </row>
    <row r="93" spans="2:15" ht="15" x14ac:dyDescent="0.2">
      <c r="B93" s="625" t="str">
        <f>"SUBTOTAL "&amp;B34</f>
        <v xml:space="preserve">SUBTOTAL COMPONENTE B. MANEJO AMBIENTAL EN LA EJECUCION DE ACTIVIDADES CONSTRUCTIVAS </v>
      </c>
      <c r="C93" s="626"/>
      <c r="D93" s="626"/>
      <c r="E93" s="626"/>
      <c r="F93" s="626"/>
      <c r="G93" s="626"/>
      <c r="H93" s="626"/>
      <c r="I93" s="626"/>
      <c r="J93" s="626"/>
      <c r="K93" s="626"/>
      <c r="L93" s="626"/>
      <c r="M93" s="627"/>
      <c r="N93" s="359">
        <f>+N43+N51+N72+N78+N84+N91</f>
        <v>19034418</v>
      </c>
      <c r="O93" s="326">
        <v>1</v>
      </c>
    </row>
    <row r="94" spans="2:15" ht="15" x14ac:dyDescent="0.2">
      <c r="B94" s="628"/>
      <c r="C94" s="628"/>
      <c r="D94" s="628"/>
      <c r="E94" s="628"/>
      <c r="F94" s="628"/>
      <c r="G94" s="628"/>
      <c r="H94" s="628"/>
      <c r="I94" s="628"/>
      <c r="J94" s="628"/>
      <c r="K94" s="628"/>
      <c r="L94" s="628"/>
      <c r="M94" s="628"/>
      <c r="N94" s="628"/>
      <c r="O94" s="326">
        <v>1</v>
      </c>
    </row>
    <row r="95" spans="2:15" x14ac:dyDescent="0.2">
      <c r="B95" s="679" t="s">
        <v>804</v>
      </c>
      <c r="C95" s="680"/>
      <c r="D95" s="680"/>
      <c r="E95" s="680"/>
      <c r="F95" s="680"/>
      <c r="G95" s="680"/>
      <c r="H95" s="680"/>
      <c r="I95" s="680"/>
      <c r="J95" s="680"/>
      <c r="K95" s="680"/>
      <c r="L95" s="680"/>
      <c r="M95" s="680"/>
      <c r="N95" s="680"/>
      <c r="O95" s="326">
        <v>1</v>
      </c>
    </row>
    <row r="96" spans="2:15" x14ac:dyDescent="0.2">
      <c r="B96" s="665" t="s">
        <v>664</v>
      </c>
      <c r="C96" s="331" t="s">
        <v>805</v>
      </c>
      <c r="D96" s="650" t="s">
        <v>806</v>
      </c>
      <c r="E96" s="651"/>
      <c r="F96" s="651"/>
      <c r="G96" s="651"/>
      <c r="H96" s="651"/>
      <c r="I96" s="651"/>
      <c r="J96" s="651"/>
      <c r="K96" s="651"/>
      <c r="L96" s="651"/>
      <c r="M96" s="651"/>
      <c r="N96" s="652"/>
      <c r="O96" s="326">
        <v>1</v>
      </c>
    </row>
    <row r="97" spans="2:15" x14ac:dyDescent="0.2">
      <c r="B97" s="665"/>
      <c r="C97" s="332" t="s">
        <v>449</v>
      </c>
      <c r="D97" s="667" t="s">
        <v>43</v>
      </c>
      <c r="E97" s="667"/>
      <c r="F97" s="667" t="s">
        <v>711</v>
      </c>
      <c r="G97" s="667"/>
      <c r="H97" s="667"/>
      <c r="I97" s="667"/>
      <c r="J97" s="332" t="s">
        <v>712</v>
      </c>
      <c r="K97" s="665" t="s">
        <v>46</v>
      </c>
      <c r="L97" s="665"/>
      <c r="M97" s="358" t="s">
        <v>45</v>
      </c>
      <c r="N97" s="332" t="s">
        <v>594</v>
      </c>
      <c r="O97" s="326">
        <v>1</v>
      </c>
    </row>
    <row r="98" spans="2:15" ht="66.75" customHeight="1" x14ac:dyDescent="0.2">
      <c r="B98" s="78">
        <v>7820</v>
      </c>
      <c r="C98" s="349" t="s">
        <v>807</v>
      </c>
      <c r="D98" s="648" t="s">
        <v>808</v>
      </c>
      <c r="E98" s="649"/>
      <c r="F98" s="634" t="s">
        <v>809</v>
      </c>
      <c r="G98" s="635"/>
      <c r="H98" s="635"/>
      <c r="I98" s="636"/>
      <c r="J98" s="349" t="s">
        <v>68</v>
      </c>
      <c r="K98" s="637">
        <v>22780</v>
      </c>
      <c r="L98" s="638"/>
      <c r="M98" s="349">
        <v>0</v>
      </c>
      <c r="N98" s="347">
        <f>ROUND(K98*M98,0)</f>
        <v>0</v>
      </c>
      <c r="O98" s="326">
        <f t="shared" ref="O98:O99" si="16">IF(N98=0,0,1)</f>
        <v>0</v>
      </c>
    </row>
    <row r="99" spans="2:15" x14ac:dyDescent="0.2">
      <c r="B99" s="623" t="str">
        <f>"SUBTOTAL "&amp;D96</f>
        <v xml:space="preserve">SUBTOTAL REVENCIÓN DE DAÑO A LA VEGETACIÓN </v>
      </c>
      <c r="C99" s="623"/>
      <c r="D99" s="623"/>
      <c r="E99" s="623"/>
      <c r="F99" s="623"/>
      <c r="G99" s="623"/>
      <c r="H99" s="623"/>
      <c r="I99" s="623"/>
      <c r="J99" s="623"/>
      <c r="K99" s="623"/>
      <c r="L99" s="623"/>
      <c r="M99" s="623"/>
      <c r="N99" s="357">
        <f>SUM(N98:N98)</f>
        <v>0</v>
      </c>
      <c r="O99" s="326">
        <f t="shared" si="16"/>
        <v>0</v>
      </c>
    </row>
    <row r="100" spans="2:15" x14ac:dyDescent="0.2">
      <c r="B100" s="624"/>
      <c r="C100" s="624"/>
      <c r="D100" s="624"/>
      <c r="E100" s="624"/>
      <c r="F100" s="624"/>
      <c r="G100" s="624"/>
      <c r="H100" s="624"/>
      <c r="I100" s="624"/>
      <c r="J100" s="624"/>
      <c r="K100" s="624"/>
      <c r="L100" s="624"/>
      <c r="M100" s="624"/>
      <c r="N100" s="624"/>
      <c r="O100" s="326">
        <v>1</v>
      </c>
    </row>
    <row r="101" spans="2:15" x14ac:dyDescent="0.2">
      <c r="B101" s="665" t="s">
        <v>664</v>
      </c>
      <c r="C101" s="331" t="s">
        <v>810</v>
      </c>
      <c r="D101" s="650" t="s">
        <v>811</v>
      </c>
      <c r="E101" s="651"/>
      <c r="F101" s="651"/>
      <c r="G101" s="651"/>
      <c r="H101" s="651"/>
      <c r="I101" s="651"/>
      <c r="J101" s="651"/>
      <c r="K101" s="651"/>
      <c r="L101" s="651"/>
      <c r="M101" s="651"/>
      <c r="N101" s="652"/>
      <c r="O101" s="326">
        <v>1</v>
      </c>
    </row>
    <row r="102" spans="2:15" x14ac:dyDescent="0.2">
      <c r="B102" s="665"/>
      <c r="C102" s="332" t="s">
        <v>449</v>
      </c>
      <c r="D102" s="667" t="s">
        <v>43</v>
      </c>
      <c r="E102" s="667"/>
      <c r="F102" s="667" t="s">
        <v>711</v>
      </c>
      <c r="G102" s="667"/>
      <c r="H102" s="667"/>
      <c r="I102" s="667"/>
      <c r="J102" s="332" t="s">
        <v>712</v>
      </c>
      <c r="K102" s="665" t="s">
        <v>46</v>
      </c>
      <c r="L102" s="665"/>
      <c r="M102" s="358" t="s">
        <v>45</v>
      </c>
      <c r="N102" s="332" t="s">
        <v>594</v>
      </c>
      <c r="O102" s="326">
        <v>1</v>
      </c>
    </row>
    <row r="103" spans="2:15" ht="37.15" customHeight="1" x14ac:dyDescent="0.2">
      <c r="B103" s="78"/>
      <c r="C103" s="349" t="s">
        <v>812</v>
      </c>
      <c r="D103" s="648" t="s">
        <v>813</v>
      </c>
      <c r="E103" s="649"/>
      <c r="F103" s="634" t="s">
        <v>32</v>
      </c>
      <c r="G103" s="635"/>
      <c r="H103" s="635"/>
      <c r="I103" s="636"/>
      <c r="J103" s="349" t="s">
        <v>32</v>
      </c>
      <c r="K103" s="637"/>
      <c r="L103" s="638"/>
      <c r="M103" s="349">
        <v>0</v>
      </c>
      <c r="N103" s="347">
        <f>ROUND(K103*M103,0)</f>
        <v>0</v>
      </c>
      <c r="O103" s="326">
        <v>1</v>
      </c>
    </row>
    <row r="104" spans="2:15" ht="37.15" customHeight="1" x14ac:dyDescent="0.2">
      <c r="B104" s="78"/>
      <c r="C104" s="349" t="s">
        <v>814</v>
      </c>
      <c r="D104" s="648" t="s">
        <v>815</v>
      </c>
      <c r="E104" s="649"/>
      <c r="F104" s="634" t="s">
        <v>32</v>
      </c>
      <c r="G104" s="635"/>
      <c r="H104" s="635"/>
      <c r="I104" s="636"/>
      <c r="J104" s="349" t="s">
        <v>32</v>
      </c>
      <c r="K104" s="637"/>
      <c r="L104" s="638"/>
      <c r="M104" s="349">
        <v>0</v>
      </c>
      <c r="N104" s="347">
        <f>ROUND(K104*M104,0)</f>
        <v>0</v>
      </c>
      <c r="O104" s="326">
        <v>1</v>
      </c>
    </row>
    <row r="105" spans="2:15" ht="37.15" customHeight="1" x14ac:dyDescent="0.2">
      <c r="B105" s="78"/>
      <c r="C105" s="349" t="s">
        <v>816</v>
      </c>
      <c r="D105" s="648" t="s">
        <v>817</v>
      </c>
      <c r="E105" s="649"/>
      <c r="F105" s="634" t="s">
        <v>32</v>
      </c>
      <c r="G105" s="635"/>
      <c r="H105" s="635"/>
      <c r="I105" s="636"/>
      <c r="J105" s="349" t="s">
        <v>32</v>
      </c>
      <c r="K105" s="637"/>
      <c r="L105" s="638"/>
      <c r="M105" s="349">
        <v>0</v>
      </c>
      <c r="N105" s="347">
        <f>ROUND(K105*M105,0)</f>
        <v>0</v>
      </c>
      <c r="O105" s="326">
        <v>1</v>
      </c>
    </row>
    <row r="106" spans="2:15" x14ac:dyDescent="0.2">
      <c r="B106" s="623" t="str">
        <f>"SUBTOTAL "&amp;D101</f>
        <v xml:space="preserve">SUBTOTAL PROCEDIMIENTO DE TALA </v>
      </c>
      <c r="C106" s="623"/>
      <c r="D106" s="623"/>
      <c r="E106" s="623"/>
      <c r="F106" s="623"/>
      <c r="G106" s="623"/>
      <c r="H106" s="623"/>
      <c r="I106" s="623"/>
      <c r="J106" s="623"/>
      <c r="K106" s="623"/>
      <c r="L106" s="623"/>
      <c r="M106" s="623"/>
      <c r="N106" s="357">
        <f>SUM(N103:N105)</f>
        <v>0</v>
      </c>
      <c r="O106" s="326">
        <v>1</v>
      </c>
    </row>
    <row r="107" spans="2:15" ht="15" x14ac:dyDescent="0.2">
      <c r="B107" s="628"/>
      <c r="C107" s="628"/>
      <c r="D107" s="628"/>
      <c r="E107" s="628"/>
      <c r="F107" s="628"/>
      <c r="G107" s="628"/>
      <c r="H107" s="628"/>
      <c r="I107" s="628"/>
      <c r="J107" s="628"/>
      <c r="K107" s="628"/>
      <c r="L107" s="628"/>
      <c r="M107" s="628"/>
      <c r="N107" s="628"/>
      <c r="O107" s="326">
        <v>1</v>
      </c>
    </row>
    <row r="108" spans="2:15" x14ac:dyDescent="0.2">
      <c r="B108" s="665" t="s">
        <v>664</v>
      </c>
      <c r="C108" s="331" t="s">
        <v>818</v>
      </c>
      <c r="D108" s="650" t="s">
        <v>819</v>
      </c>
      <c r="E108" s="651"/>
      <c r="F108" s="651"/>
      <c r="G108" s="651"/>
      <c r="H108" s="651"/>
      <c r="I108" s="651"/>
      <c r="J108" s="651"/>
      <c r="K108" s="651"/>
      <c r="L108" s="651"/>
      <c r="M108" s="651"/>
      <c r="N108" s="652"/>
      <c r="O108" s="326">
        <v>1</v>
      </c>
    </row>
    <row r="109" spans="2:15" x14ac:dyDescent="0.2">
      <c r="B109" s="665"/>
      <c r="C109" s="332" t="s">
        <v>449</v>
      </c>
      <c r="D109" s="667" t="s">
        <v>43</v>
      </c>
      <c r="E109" s="667"/>
      <c r="F109" s="667" t="s">
        <v>711</v>
      </c>
      <c r="G109" s="667"/>
      <c r="H109" s="667"/>
      <c r="I109" s="667"/>
      <c r="J109" s="332" t="s">
        <v>712</v>
      </c>
      <c r="K109" s="665" t="s">
        <v>46</v>
      </c>
      <c r="L109" s="665"/>
      <c r="M109" s="358" t="s">
        <v>45</v>
      </c>
      <c r="N109" s="332" t="s">
        <v>594</v>
      </c>
      <c r="O109" s="326">
        <v>1</v>
      </c>
    </row>
    <row r="110" spans="2:15" ht="37.15" customHeight="1" x14ac:dyDescent="0.2">
      <c r="B110" s="78"/>
      <c r="C110" s="349" t="s">
        <v>820</v>
      </c>
      <c r="D110" s="648" t="s">
        <v>821</v>
      </c>
      <c r="E110" s="649"/>
      <c r="F110" s="634" t="s">
        <v>32</v>
      </c>
      <c r="G110" s="635"/>
      <c r="H110" s="635"/>
      <c r="I110" s="636"/>
      <c r="J110" s="349" t="s">
        <v>32</v>
      </c>
      <c r="K110" s="637"/>
      <c r="L110" s="638"/>
      <c r="M110" s="349">
        <v>0</v>
      </c>
      <c r="N110" s="347">
        <f>ROUND(K110*M110,0)</f>
        <v>0</v>
      </c>
      <c r="O110" s="326">
        <v>1</v>
      </c>
    </row>
    <row r="111" spans="2:15" ht="37.15" customHeight="1" x14ac:dyDescent="0.2">
      <c r="B111" s="78"/>
      <c r="C111" s="349" t="s">
        <v>822</v>
      </c>
      <c r="D111" s="648" t="s">
        <v>823</v>
      </c>
      <c r="E111" s="649"/>
      <c r="F111" s="634" t="s">
        <v>32</v>
      </c>
      <c r="G111" s="635"/>
      <c r="H111" s="635"/>
      <c r="I111" s="636"/>
      <c r="J111" s="349" t="s">
        <v>32</v>
      </c>
      <c r="K111" s="637"/>
      <c r="L111" s="638"/>
      <c r="M111" s="349">
        <v>0</v>
      </c>
      <c r="N111" s="347">
        <f>ROUND(K111*M111,0)</f>
        <v>0</v>
      </c>
      <c r="O111" s="326">
        <v>1</v>
      </c>
    </row>
    <row r="112" spans="2:15" x14ac:dyDescent="0.2">
      <c r="B112" s="623" t="str">
        <f>"SUBTOTAL "&amp;D108</f>
        <v>SUBTOTAL PROCEDIMIENTO DE TRASLADO Y BLOQUEO</v>
      </c>
      <c r="C112" s="623"/>
      <c r="D112" s="623"/>
      <c r="E112" s="623"/>
      <c r="F112" s="623"/>
      <c r="G112" s="623"/>
      <c r="H112" s="623"/>
      <c r="I112" s="623"/>
      <c r="J112" s="623"/>
      <c r="K112" s="623"/>
      <c r="L112" s="623"/>
      <c r="M112" s="623"/>
      <c r="N112" s="357">
        <f>SUM(N110:N111)</f>
        <v>0</v>
      </c>
      <c r="O112" s="326">
        <v>1</v>
      </c>
    </row>
    <row r="113" spans="2:15" ht="15" x14ac:dyDescent="0.2">
      <c r="B113" s="628"/>
      <c r="C113" s="628"/>
      <c r="D113" s="628"/>
      <c r="E113" s="628"/>
      <c r="F113" s="628"/>
      <c r="G113" s="628"/>
      <c r="H113" s="628"/>
      <c r="I113" s="628"/>
      <c r="J113" s="628"/>
      <c r="K113" s="628"/>
      <c r="L113" s="628"/>
      <c r="M113" s="628"/>
      <c r="N113" s="628"/>
      <c r="O113" s="326">
        <v>1</v>
      </c>
    </row>
    <row r="114" spans="2:15" x14ac:dyDescent="0.2">
      <c r="B114" s="665" t="s">
        <v>664</v>
      </c>
      <c r="C114" s="331" t="s">
        <v>824</v>
      </c>
      <c r="D114" s="650" t="s">
        <v>825</v>
      </c>
      <c r="E114" s="651"/>
      <c r="F114" s="651"/>
      <c r="G114" s="651"/>
      <c r="H114" s="651"/>
      <c r="I114" s="651"/>
      <c r="J114" s="651"/>
      <c r="K114" s="651"/>
      <c r="L114" s="651"/>
      <c r="M114" s="651"/>
      <c r="N114" s="652"/>
      <c r="O114" s="326">
        <v>1</v>
      </c>
    </row>
    <row r="115" spans="2:15" x14ac:dyDescent="0.2">
      <c r="B115" s="665"/>
      <c r="C115" s="332" t="s">
        <v>449</v>
      </c>
      <c r="D115" s="667" t="s">
        <v>43</v>
      </c>
      <c r="E115" s="667"/>
      <c r="F115" s="667" t="s">
        <v>711</v>
      </c>
      <c r="G115" s="667"/>
      <c r="H115" s="667"/>
      <c r="I115" s="667"/>
      <c r="J115" s="332" t="s">
        <v>712</v>
      </c>
      <c r="K115" s="665" t="s">
        <v>46</v>
      </c>
      <c r="L115" s="665"/>
      <c r="M115" s="358" t="s">
        <v>45</v>
      </c>
      <c r="N115" s="332" t="s">
        <v>594</v>
      </c>
      <c r="O115" s="326">
        <v>1</v>
      </c>
    </row>
    <row r="116" spans="2:15" ht="37.15" customHeight="1" x14ac:dyDescent="0.2">
      <c r="B116" s="78"/>
      <c r="C116" s="349" t="s">
        <v>826</v>
      </c>
      <c r="D116" s="648" t="s">
        <v>827</v>
      </c>
      <c r="E116" s="649"/>
      <c r="F116" s="634" t="s">
        <v>32</v>
      </c>
      <c r="G116" s="635"/>
      <c r="H116" s="635"/>
      <c r="I116" s="636"/>
      <c r="J116" s="349" t="s">
        <v>32</v>
      </c>
      <c r="K116" s="637"/>
      <c r="L116" s="638"/>
      <c r="M116" s="349">
        <v>0</v>
      </c>
      <c r="N116" s="347">
        <f>ROUND(K116*M116,0)</f>
        <v>0</v>
      </c>
      <c r="O116" s="326">
        <v>1</v>
      </c>
    </row>
    <row r="117" spans="2:15" x14ac:dyDescent="0.2">
      <c r="B117" s="623" t="str">
        <f>"SUBTOTAL "&amp;D114</f>
        <v xml:space="preserve">SUBTOTAL PROCEDIMIENTO DE PODA AÉREA </v>
      </c>
      <c r="C117" s="623"/>
      <c r="D117" s="623"/>
      <c r="E117" s="623"/>
      <c r="F117" s="623"/>
      <c r="G117" s="623"/>
      <c r="H117" s="623"/>
      <c r="I117" s="623"/>
      <c r="J117" s="623"/>
      <c r="K117" s="623"/>
      <c r="L117" s="623"/>
      <c r="M117" s="623"/>
      <c r="N117" s="357">
        <f>SUM(N116:N116)</f>
        <v>0</v>
      </c>
      <c r="O117" s="326">
        <v>1</v>
      </c>
    </row>
    <row r="118" spans="2:15" ht="15" x14ac:dyDescent="0.2">
      <c r="B118" s="628"/>
      <c r="C118" s="628"/>
      <c r="D118" s="628"/>
      <c r="E118" s="628"/>
      <c r="F118" s="628"/>
      <c r="G118" s="628"/>
      <c r="H118" s="628"/>
      <c r="I118" s="628"/>
      <c r="J118" s="628"/>
      <c r="K118" s="628"/>
      <c r="L118" s="628"/>
      <c r="M118" s="628"/>
      <c r="N118" s="628"/>
      <c r="O118" s="326">
        <v>1</v>
      </c>
    </row>
    <row r="119" spans="2:15" x14ac:dyDescent="0.2">
      <c r="B119" s="665" t="s">
        <v>664</v>
      </c>
      <c r="C119" s="331" t="s">
        <v>828</v>
      </c>
      <c r="D119" s="650" t="s">
        <v>829</v>
      </c>
      <c r="E119" s="651"/>
      <c r="F119" s="651"/>
      <c r="G119" s="651"/>
      <c r="H119" s="651"/>
      <c r="I119" s="651"/>
      <c r="J119" s="651"/>
      <c r="K119" s="651"/>
      <c r="L119" s="651"/>
      <c r="M119" s="651"/>
      <c r="N119" s="652"/>
      <c r="O119" s="326">
        <v>1</v>
      </c>
    </row>
    <row r="120" spans="2:15" x14ac:dyDescent="0.2">
      <c r="B120" s="665"/>
      <c r="C120" s="332" t="s">
        <v>449</v>
      </c>
      <c r="D120" s="667" t="s">
        <v>43</v>
      </c>
      <c r="E120" s="667"/>
      <c r="F120" s="667" t="s">
        <v>711</v>
      </c>
      <c r="G120" s="667"/>
      <c r="H120" s="667"/>
      <c r="I120" s="667"/>
      <c r="J120" s="332" t="s">
        <v>712</v>
      </c>
      <c r="K120" s="665" t="s">
        <v>46</v>
      </c>
      <c r="L120" s="665"/>
      <c r="M120" s="358" t="s">
        <v>45</v>
      </c>
      <c r="N120" s="332" t="s">
        <v>594</v>
      </c>
      <c r="O120" s="326">
        <v>1</v>
      </c>
    </row>
    <row r="121" spans="2:15" ht="37.15" customHeight="1" x14ac:dyDescent="0.2">
      <c r="B121" s="78"/>
      <c r="C121" s="349" t="s">
        <v>830</v>
      </c>
      <c r="D121" s="648" t="s">
        <v>831</v>
      </c>
      <c r="E121" s="649"/>
      <c r="F121" s="634" t="s">
        <v>32</v>
      </c>
      <c r="G121" s="635"/>
      <c r="H121" s="635"/>
      <c r="I121" s="636"/>
      <c r="J121" s="349" t="s">
        <v>32</v>
      </c>
      <c r="K121" s="637"/>
      <c r="L121" s="638"/>
      <c r="M121" s="349">
        <v>0</v>
      </c>
      <c r="N121" s="347">
        <f>ROUND(K121*M121,0)</f>
        <v>0</v>
      </c>
      <c r="O121" s="326">
        <v>1</v>
      </c>
    </row>
    <row r="122" spans="2:15" x14ac:dyDescent="0.2">
      <c r="B122" s="623" t="str">
        <f>"SUBTOTAL "&amp;D119</f>
        <v xml:space="preserve">SUBTOTAL PROCEDIMIENTO DE PODA RADICULAR </v>
      </c>
      <c r="C122" s="623"/>
      <c r="D122" s="623"/>
      <c r="E122" s="623"/>
      <c r="F122" s="623"/>
      <c r="G122" s="623"/>
      <c r="H122" s="623"/>
      <c r="I122" s="623"/>
      <c r="J122" s="623"/>
      <c r="K122" s="623"/>
      <c r="L122" s="623"/>
      <c r="M122" s="623"/>
      <c r="N122" s="357">
        <f>SUM(N121:N121)</f>
        <v>0</v>
      </c>
      <c r="O122" s="326">
        <v>1</v>
      </c>
    </row>
    <row r="123" spans="2:15" ht="15" x14ac:dyDescent="0.2">
      <c r="B123" s="628"/>
      <c r="C123" s="628"/>
      <c r="D123" s="628"/>
      <c r="E123" s="628"/>
      <c r="F123" s="628"/>
      <c r="G123" s="628"/>
      <c r="H123" s="628"/>
      <c r="I123" s="628"/>
      <c r="J123" s="628"/>
      <c r="K123" s="628"/>
      <c r="L123" s="628"/>
      <c r="M123" s="628"/>
      <c r="N123" s="628"/>
      <c r="O123" s="326">
        <v>1</v>
      </c>
    </row>
    <row r="124" spans="2:15" x14ac:dyDescent="0.2">
      <c r="B124" s="665" t="s">
        <v>664</v>
      </c>
      <c r="C124" s="331" t="s">
        <v>832</v>
      </c>
      <c r="D124" s="666" t="s">
        <v>833</v>
      </c>
      <c r="E124" s="651"/>
      <c r="F124" s="651"/>
      <c r="G124" s="651"/>
      <c r="H124" s="651"/>
      <c r="I124" s="651"/>
      <c r="J124" s="651"/>
      <c r="K124" s="651"/>
      <c r="L124" s="651"/>
      <c r="M124" s="651"/>
      <c r="N124" s="652"/>
      <c r="O124" s="326">
        <v>1</v>
      </c>
    </row>
    <row r="125" spans="2:15" x14ac:dyDescent="0.2">
      <c r="B125" s="665"/>
      <c r="C125" s="332" t="s">
        <v>449</v>
      </c>
      <c r="D125" s="667" t="s">
        <v>43</v>
      </c>
      <c r="E125" s="667"/>
      <c r="F125" s="667" t="s">
        <v>711</v>
      </c>
      <c r="G125" s="667"/>
      <c r="H125" s="667"/>
      <c r="I125" s="667"/>
      <c r="J125" s="332" t="s">
        <v>712</v>
      </c>
      <c r="K125" s="665" t="s">
        <v>46</v>
      </c>
      <c r="L125" s="665"/>
      <c r="M125" s="358" t="s">
        <v>45</v>
      </c>
      <c r="N125" s="332" t="s">
        <v>594</v>
      </c>
      <c r="O125" s="326">
        <v>1</v>
      </c>
    </row>
    <row r="126" spans="2:15" ht="37.15" customHeight="1" x14ac:dyDescent="0.2">
      <c r="B126" s="78"/>
      <c r="C126" s="349" t="s">
        <v>834</v>
      </c>
      <c r="D126" s="648" t="s">
        <v>835</v>
      </c>
      <c r="E126" s="649"/>
      <c r="F126" s="634" t="s">
        <v>32</v>
      </c>
      <c r="G126" s="635"/>
      <c r="H126" s="635"/>
      <c r="I126" s="636"/>
      <c r="J126" s="349" t="s">
        <v>32</v>
      </c>
      <c r="K126" s="637"/>
      <c r="L126" s="638"/>
      <c r="M126" s="349">
        <v>0</v>
      </c>
      <c r="N126" s="347">
        <f>ROUND(K126*M126,0)</f>
        <v>0</v>
      </c>
      <c r="O126" s="326">
        <v>1</v>
      </c>
    </row>
    <row r="127" spans="2:15" x14ac:dyDescent="0.2">
      <c r="B127" s="623" t="str">
        <f>"SUBTOTAL "&amp;D124</f>
        <v>SUBTOTAL REMOCIÓN DE CÉSPED Y RECONFORMACIÓN DE ÁREAS AFECTADAS</v>
      </c>
      <c r="C127" s="623"/>
      <c r="D127" s="623"/>
      <c r="E127" s="623"/>
      <c r="F127" s="623"/>
      <c r="G127" s="623"/>
      <c r="H127" s="623"/>
      <c r="I127" s="623"/>
      <c r="J127" s="623"/>
      <c r="K127" s="623"/>
      <c r="L127" s="623"/>
      <c r="M127" s="623"/>
      <c r="N127" s="357">
        <f>SUM(N126:N126)</f>
        <v>0</v>
      </c>
      <c r="O127" s="326">
        <v>1</v>
      </c>
    </row>
    <row r="128" spans="2:15" ht="15" x14ac:dyDescent="0.2">
      <c r="B128" s="628"/>
      <c r="C128" s="628"/>
      <c r="D128" s="628"/>
      <c r="E128" s="628"/>
      <c r="F128" s="628"/>
      <c r="G128" s="628"/>
      <c r="H128" s="628"/>
      <c r="I128" s="628"/>
      <c r="J128" s="628"/>
      <c r="K128" s="628"/>
      <c r="L128" s="628"/>
      <c r="M128" s="628"/>
      <c r="N128" s="628"/>
      <c r="O128" s="326">
        <v>1</v>
      </c>
    </row>
    <row r="129" spans="2:15" x14ac:dyDescent="0.2">
      <c r="B129" s="665" t="s">
        <v>664</v>
      </c>
      <c r="C129" s="331" t="s">
        <v>836</v>
      </c>
      <c r="D129" s="666" t="s">
        <v>837</v>
      </c>
      <c r="E129" s="651"/>
      <c r="F129" s="651"/>
      <c r="G129" s="651"/>
      <c r="H129" s="651"/>
      <c r="I129" s="651"/>
      <c r="J129" s="651"/>
      <c r="K129" s="651"/>
      <c r="L129" s="651"/>
      <c r="M129" s="651"/>
      <c r="N129" s="652"/>
      <c r="O129" s="326">
        <v>1</v>
      </c>
    </row>
    <row r="130" spans="2:15" x14ac:dyDescent="0.2">
      <c r="B130" s="665"/>
      <c r="C130" s="332" t="s">
        <v>449</v>
      </c>
      <c r="D130" s="667" t="s">
        <v>43</v>
      </c>
      <c r="E130" s="667"/>
      <c r="F130" s="667" t="s">
        <v>711</v>
      </c>
      <c r="G130" s="667"/>
      <c r="H130" s="667"/>
      <c r="I130" s="667"/>
      <c r="J130" s="332" t="s">
        <v>712</v>
      </c>
      <c r="K130" s="665" t="s">
        <v>46</v>
      </c>
      <c r="L130" s="665"/>
      <c r="M130" s="358" t="s">
        <v>45</v>
      </c>
      <c r="N130" s="332" t="s">
        <v>594</v>
      </c>
      <c r="O130" s="326">
        <v>1</v>
      </c>
    </row>
    <row r="131" spans="2:15" ht="37.15" customHeight="1" x14ac:dyDescent="0.2">
      <c r="B131" s="78"/>
      <c r="C131" s="349" t="s">
        <v>838</v>
      </c>
      <c r="D131" s="648" t="s">
        <v>839</v>
      </c>
      <c r="E131" s="649"/>
      <c r="F131" s="634" t="s">
        <v>32</v>
      </c>
      <c r="G131" s="635"/>
      <c r="H131" s="635"/>
      <c r="I131" s="636"/>
      <c r="J131" s="349" t="s">
        <v>32</v>
      </c>
      <c r="K131" s="637"/>
      <c r="L131" s="638"/>
      <c r="M131" s="349">
        <v>0</v>
      </c>
      <c r="N131" s="347">
        <f>ROUND(K131*M131,0)</f>
        <v>0</v>
      </c>
      <c r="O131" s="326">
        <v>1</v>
      </c>
    </row>
    <row r="132" spans="2:15" x14ac:dyDescent="0.2">
      <c r="B132" s="623" t="str">
        <f>"SUBTOTAL "&amp;D129</f>
        <v>SUBTOTAL MANEJO DE AVIFAUNA</v>
      </c>
      <c r="C132" s="623"/>
      <c r="D132" s="623"/>
      <c r="E132" s="623"/>
      <c r="F132" s="623"/>
      <c r="G132" s="623"/>
      <c r="H132" s="623"/>
      <c r="I132" s="623"/>
      <c r="J132" s="623"/>
      <c r="K132" s="623"/>
      <c r="L132" s="623"/>
      <c r="M132" s="623"/>
      <c r="N132" s="357">
        <f>SUM(N131:N131)</f>
        <v>0</v>
      </c>
      <c r="O132" s="326">
        <v>1</v>
      </c>
    </row>
    <row r="133" spans="2:15" ht="15" x14ac:dyDescent="0.2">
      <c r="B133" s="628"/>
      <c r="C133" s="628"/>
      <c r="D133" s="628"/>
      <c r="E133" s="628"/>
      <c r="F133" s="628"/>
      <c r="G133" s="628"/>
      <c r="H133" s="628"/>
      <c r="I133" s="628"/>
      <c r="J133" s="628"/>
      <c r="K133" s="628"/>
      <c r="L133" s="628"/>
      <c r="M133" s="628"/>
      <c r="N133" s="628"/>
      <c r="O133" s="326">
        <v>1</v>
      </c>
    </row>
    <row r="134" spans="2:15" x14ac:dyDescent="0.2">
      <c r="B134" s="665" t="s">
        <v>664</v>
      </c>
      <c r="C134" s="331" t="s">
        <v>840</v>
      </c>
      <c r="D134" s="666" t="s">
        <v>841</v>
      </c>
      <c r="E134" s="651"/>
      <c r="F134" s="651"/>
      <c r="G134" s="651"/>
      <c r="H134" s="651"/>
      <c r="I134" s="651"/>
      <c r="J134" s="651"/>
      <c r="K134" s="651"/>
      <c r="L134" s="651"/>
      <c r="M134" s="651"/>
      <c r="N134" s="652"/>
      <c r="O134" s="326">
        <v>1</v>
      </c>
    </row>
    <row r="135" spans="2:15" x14ac:dyDescent="0.2">
      <c r="B135" s="665"/>
      <c r="C135" s="332" t="s">
        <v>449</v>
      </c>
      <c r="D135" s="667" t="s">
        <v>43</v>
      </c>
      <c r="E135" s="667"/>
      <c r="F135" s="667" t="s">
        <v>711</v>
      </c>
      <c r="G135" s="667"/>
      <c r="H135" s="667"/>
      <c r="I135" s="667"/>
      <c r="J135" s="332" t="s">
        <v>712</v>
      </c>
      <c r="K135" s="665" t="s">
        <v>46</v>
      </c>
      <c r="L135" s="665"/>
      <c r="M135" s="358" t="s">
        <v>45</v>
      </c>
      <c r="N135" s="332" t="s">
        <v>594</v>
      </c>
      <c r="O135" s="326">
        <v>1</v>
      </c>
    </row>
    <row r="136" spans="2:15" ht="37.15" customHeight="1" x14ac:dyDescent="0.2">
      <c r="B136" s="78"/>
      <c r="C136" s="349" t="s">
        <v>842</v>
      </c>
      <c r="D136" s="648" t="s">
        <v>843</v>
      </c>
      <c r="E136" s="649"/>
      <c r="F136" s="634" t="s">
        <v>32</v>
      </c>
      <c r="G136" s="635"/>
      <c r="H136" s="635"/>
      <c r="I136" s="636"/>
      <c r="J136" s="349" t="s">
        <v>32</v>
      </c>
      <c r="K136" s="637"/>
      <c r="L136" s="638"/>
      <c r="M136" s="349">
        <v>0</v>
      </c>
      <c r="N136" s="347">
        <f>ROUND(K136*M136,0)</f>
        <v>0</v>
      </c>
      <c r="O136" s="326">
        <v>1</v>
      </c>
    </row>
    <row r="137" spans="2:15" x14ac:dyDescent="0.2">
      <c r="B137" s="623" t="str">
        <f>"SUBTOTAL "&amp;D134</f>
        <v xml:space="preserve">SUBTOTAL MANEJO DE FAUNA </v>
      </c>
      <c r="C137" s="623"/>
      <c r="D137" s="623"/>
      <c r="E137" s="623"/>
      <c r="F137" s="623"/>
      <c r="G137" s="623"/>
      <c r="H137" s="623"/>
      <c r="I137" s="623"/>
      <c r="J137" s="623"/>
      <c r="K137" s="623"/>
      <c r="L137" s="623"/>
      <c r="M137" s="623"/>
      <c r="N137" s="357">
        <f>SUM(N136:N136)</f>
        <v>0</v>
      </c>
      <c r="O137" s="326">
        <v>1</v>
      </c>
    </row>
    <row r="138" spans="2:15" ht="15" x14ac:dyDescent="0.2">
      <c r="B138" s="628"/>
      <c r="C138" s="628"/>
      <c r="D138" s="628"/>
      <c r="E138" s="628"/>
      <c r="F138" s="628"/>
      <c r="G138" s="628"/>
      <c r="H138" s="628"/>
      <c r="I138" s="628"/>
      <c r="J138" s="628"/>
      <c r="K138" s="628"/>
      <c r="L138" s="628"/>
      <c r="M138" s="628"/>
      <c r="N138" s="628"/>
      <c r="O138" s="326">
        <v>1</v>
      </c>
    </row>
    <row r="139" spans="2:15" x14ac:dyDescent="0.2">
      <c r="B139" s="665" t="s">
        <v>664</v>
      </c>
      <c r="C139" s="331" t="s">
        <v>844</v>
      </c>
      <c r="D139" s="666" t="s">
        <v>845</v>
      </c>
      <c r="E139" s="651"/>
      <c r="F139" s="651"/>
      <c r="G139" s="651"/>
      <c r="H139" s="651"/>
      <c r="I139" s="651"/>
      <c r="J139" s="651"/>
      <c r="K139" s="651"/>
      <c r="L139" s="651"/>
      <c r="M139" s="651"/>
      <c r="N139" s="652"/>
      <c r="O139" s="326">
        <v>1</v>
      </c>
    </row>
    <row r="140" spans="2:15" x14ac:dyDescent="0.2">
      <c r="B140" s="665"/>
      <c r="C140" s="332" t="s">
        <v>449</v>
      </c>
      <c r="D140" s="667" t="s">
        <v>43</v>
      </c>
      <c r="E140" s="667"/>
      <c r="F140" s="667" t="s">
        <v>711</v>
      </c>
      <c r="G140" s="667"/>
      <c r="H140" s="667"/>
      <c r="I140" s="667"/>
      <c r="J140" s="332" t="s">
        <v>712</v>
      </c>
      <c r="K140" s="665" t="s">
        <v>46</v>
      </c>
      <c r="L140" s="665"/>
      <c r="M140" s="358" t="s">
        <v>45</v>
      </c>
      <c r="N140" s="332" t="s">
        <v>594</v>
      </c>
      <c r="O140" s="326">
        <v>1</v>
      </c>
    </row>
    <row r="141" spans="2:15" ht="37.15" customHeight="1" x14ac:dyDescent="0.2">
      <c r="B141" s="78"/>
      <c r="C141" s="349" t="s">
        <v>846</v>
      </c>
      <c r="D141" s="648" t="s">
        <v>847</v>
      </c>
      <c r="E141" s="649"/>
      <c r="F141" s="634" t="s">
        <v>32</v>
      </c>
      <c r="G141" s="635"/>
      <c r="H141" s="635"/>
      <c r="I141" s="636"/>
      <c r="J141" s="349" t="s">
        <v>32</v>
      </c>
      <c r="K141" s="637"/>
      <c r="L141" s="638"/>
      <c r="M141" s="349">
        <v>0</v>
      </c>
      <c r="N141" s="347">
        <f>ROUND(K141*M141,0)</f>
        <v>0</v>
      </c>
      <c r="O141" s="326">
        <v>1</v>
      </c>
    </row>
    <row r="142" spans="2:15" x14ac:dyDescent="0.2">
      <c r="B142" s="623" t="str">
        <f>"SUBTOTAL "&amp;D139</f>
        <v>SUBTOTAL MANEJO DE EPÍFITAS VASCULARES Y NO VASCULARES</v>
      </c>
      <c r="C142" s="623"/>
      <c r="D142" s="623"/>
      <c r="E142" s="623"/>
      <c r="F142" s="623"/>
      <c r="G142" s="623"/>
      <c r="H142" s="623"/>
      <c r="I142" s="623"/>
      <c r="J142" s="623"/>
      <c r="K142" s="623"/>
      <c r="L142" s="623"/>
      <c r="M142" s="623"/>
      <c r="N142" s="357">
        <f>SUM(N141:N141)</f>
        <v>0</v>
      </c>
      <c r="O142" s="326">
        <v>1</v>
      </c>
    </row>
    <row r="143" spans="2:15" ht="15" x14ac:dyDescent="0.2">
      <c r="B143" s="628"/>
      <c r="C143" s="628"/>
      <c r="D143" s="628"/>
      <c r="E143" s="628"/>
      <c r="F143" s="628"/>
      <c r="G143" s="628"/>
      <c r="H143" s="628"/>
      <c r="I143" s="628"/>
      <c r="J143" s="628"/>
      <c r="K143" s="628"/>
      <c r="L143" s="628"/>
      <c r="M143" s="628"/>
      <c r="N143" s="628"/>
      <c r="O143" s="326">
        <v>1</v>
      </c>
    </row>
    <row r="144" spans="2:15" ht="15" x14ac:dyDescent="0.2">
      <c r="B144" s="625" t="str">
        <f>"SUBTOTAL "&amp;B95</f>
        <v xml:space="preserve">SUBTOTAL COMPONENTE C. MANEJO DE LA VEGETACION Y PAISAJISMO </v>
      </c>
      <c r="C144" s="626"/>
      <c r="D144" s="626"/>
      <c r="E144" s="626"/>
      <c r="F144" s="626"/>
      <c r="G144" s="626"/>
      <c r="H144" s="626"/>
      <c r="I144" s="626"/>
      <c r="J144" s="626"/>
      <c r="K144" s="626"/>
      <c r="L144" s="626"/>
      <c r="M144" s="627"/>
      <c r="N144" s="359">
        <f>N106+N99+N112+N117+N122+N127+N132+N137+N142</f>
        <v>0</v>
      </c>
      <c r="O144" s="326">
        <v>1</v>
      </c>
    </row>
    <row r="145" spans="1:15" ht="15" x14ac:dyDescent="0.2">
      <c r="B145" s="628"/>
      <c r="C145" s="628"/>
      <c r="D145" s="628"/>
      <c r="E145" s="628"/>
      <c r="F145" s="628"/>
      <c r="G145" s="628"/>
      <c r="H145" s="628"/>
      <c r="I145" s="628"/>
      <c r="J145" s="628"/>
      <c r="K145" s="628"/>
      <c r="L145" s="628"/>
      <c r="M145" s="628"/>
      <c r="N145" s="628"/>
      <c r="O145" s="326">
        <v>1</v>
      </c>
    </row>
    <row r="146" spans="1:15" x14ac:dyDescent="0.2">
      <c r="B146" s="679" t="s">
        <v>848</v>
      </c>
      <c r="C146" s="680"/>
      <c r="D146" s="680"/>
      <c r="E146" s="680"/>
      <c r="F146" s="680"/>
      <c r="G146" s="680"/>
      <c r="H146" s="680"/>
      <c r="I146" s="680"/>
      <c r="J146" s="680"/>
      <c r="K146" s="680"/>
      <c r="L146" s="680"/>
      <c r="M146" s="680"/>
      <c r="N146" s="680"/>
      <c r="O146" s="326">
        <v>1</v>
      </c>
    </row>
    <row r="147" spans="1:15" x14ac:dyDescent="0.2">
      <c r="B147" s="367"/>
      <c r="C147" s="351" t="s">
        <v>849</v>
      </c>
      <c r="D147" s="368"/>
      <c r="E147" s="368"/>
      <c r="F147" s="368"/>
      <c r="G147" s="368"/>
      <c r="H147" s="368"/>
      <c r="I147" s="368"/>
      <c r="J147" s="368"/>
      <c r="K147" s="368"/>
      <c r="L147" s="368"/>
      <c r="M147" s="368"/>
      <c r="N147" s="368"/>
      <c r="O147" s="326">
        <v>1</v>
      </c>
    </row>
    <row r="148" spans="1:15" x14ac:dyDescent="0.2">
      <c r="B148" s="665" t="s">
        <v>664</v>
      </c>
      <c r="C148" s="331" t="s">
        <v>850</v>
      </c>
      <c r="D148" s="650" t="s">
        <v>851</v>
      </c>
      <c r="E148" s="651"/>
      <c r="F148" s="651"/>
      <c r="G148" s="651"/>
      <c r="H148" s="651"/>
      <c r="I148" s="651"/>
      <c r="J148" s="651"/>
      <c r="K148" s="651"/>
      <c r="L148" s="651"/>
      <c r="M148" s="651"/>
      <c r="N148" s="652"/>
      <c r="O148" s="326">
        <v>1</v>
      </c>
    </row>
    <row r="149" spans="1:15" x14ac:dyDescent="0.2">
      <c r="B149" s="665"/>
      <c r="C149" s="332" t="s">
        <v>449</v>
      </c>
      <c r="D149" s="667" t="s">
        <v>43</v>
      </c>
      <c r="E149" s="667"/>
      <c r="F149" s="667" t="s">
        <v>711</v>
      </c>
      <c r="G149" s="667"/>
      <c r="H149" s="667"/>
      <c r="I149" s="667"/>
      <c r="J149" s="332" t="s">
        <v>712</v>
      </c>
      <c r="K149" s="665" t="s">
        <v>46</v>
      </c>
      <c r="L149" s="665"/>
      <c r="M149" s="358" t="s">
        <v>45</v>
      </c>
      <c r="N149" s="332" t="s">
        <v>594</v>
      </c>
      <c r="O149" s="326">
        <v>1</v>
      </c>
    </row>
    <row r="150" spans="1:15" ht="30.4" customHeight="1" x14ac:dyDescent="0.2">
      <c r="A150" s="369" t="s">
        <v>705</v>
      </c>
      <c r="B150" s="78">
        <v>7904</v>
      </c>
      <c r="C150" s="349" t="s">
        <v>852</v>
      </c>
      <c r="D150" s="671" t="s">
        <v>853</v>
      </c>
      <c r="E150" s="672"/>
      <c r="F150" s="634" t="s">
        <v>854</v>
      </c>
      <c r="G150" s="635"/>
      <c r="H150" s="635"/>
      <c r="I150" s="636"/>
      <c r="J150" s="349" t="s">
        <v>68</v>
      </c>
      <c r="K150" s="637">
        <v>28000</v>
      </c>
      <c r="L150" s="638"/>
      <c r="M150" s="349">
        <f>2*$S$23</f>
        <v>146</v>
      </c>
      <c r="N150" s="347">
        <f>ROUND(K150*M150,0)</f>
        <v>4088000</v>
      </c>
      <c r="O150" s="326">
        <f t="shared" ref="O150:O155" si="17">IF(N150=0,0,1)</f>
        <v>1</v>
      </c>
    </row>
    <row r="151" spans="1:15" ht="12.75" customHeight="1" x14ac:dyDescent="0.2">
      <c r="B151" s="78">
        <v>7906</v>
      </c>
      <c r="C151" s="349" t="s">
        <v>855</v>
      </c>
      <c r="D151" s="673"/>
      <c r="E151" s="674"/>
      <c r="F151" s="634" t="s">
        <v>856</v>
      </c>
      <c r="G151" s="635"/>
      <c r="H151" s="635"/>
      <c r="I151" s="636"/>
      <c r="J151" s="349" t="s">
        <v>68</v>
      </c>
      <c r="K151" s="637">
        <v>15500</v>
      </c>
      <c r="L151" s="638"/>
      <c r="M151" s="349">
        <f>2*$S$23</f>
        <v>146</v>
      </c>
      <c r="N151" s="347">
        <f t="shared" ref="N151:N154" si="18">ROUND(K151*M151,0)</f>
        <v>2263000</v>
      </c>
      <c r="O151" s="326">
        <f t="shared" si="17"/>
        <v>1</v>
      </c>
    </row>
    <row r="152" spans="1:15" ht="15" x14ac:dyDescent="0.2">
      <c r="B152" s="78">
        <v>7908</v>
      </c>
      <c r="C152" s="349" t="s">
        <v>857</v>
      </c>
      <c r="D152" s="673"/>
      <c r="E152" s="674"/>
      <c r="F152" s="634" t="s">
        <v>858</v>
      </c>
      <c r="G152" s="635"/>
      <c r="H152" s="635"/>
      <c r="I152" s="636"/>
      <c r="J152" s="349" t="s">
        <v>68</v>
      </c>
      <c r="K152" s="637">
        <v>20000</v>
      </c>
      <c r="L152" s="638"/>
      <c r="M152" s="349">
        <f>2*$S$23</f>
        <v>146</v>
      </c>
      <c r="N152" s="347">
        <f t="shared" si="18"/>
        <v>2920000</v>
      </c>
      <c r="O152" s="326">
        <f t="shared" si="17"/>
        <v>1</v>
      </c>
    </row>
    <row r="153" spans="1:15" ht="12.75" customHeight="1" x14ac:dyDescent="0.2">
      <c r="B153" s="78">
        <v>7910</v>
      </c>
      <c r="C153" s="349" t="s">
        <v>859</v>
      </c>
      <c r="D153" s="673"/>
      <c r="E153" s="674"/>
      <c r="F153" s="634" t="s">
        <v>860</v>
      </c>
      <c r="G153" s="635"/>
      <c r="H153" s="635"/>
      <c r="I153" s="636"/>
      <c r="J153" s="349" t="s">
        <v>68</v>
      </c>
      <c r="K153" s="637">
        <v>17500</v>
      </c>
      <c r="L153" s="638"/>
      <c r="M153" s="349">
        <f>2*$S$23</f>
        <v>146</v>
      </c>
      <c r="N153" s="347">
        <f t="shared" si="18"/>
        <v>2555000</v>
      </c>
      <c r="O153" s="326">
        <f t="shared" si="17"/>
        <v>1</v>
      </c>
    </row>
    <row r="154" spans="1:15" ht="39.75" customHeight="1" x14ac:dyDescent="0.2">
      <c r="B154" s="78">
        <v>11454</v>
      </c>
      <c r="C154" s="349" t="s">
        <v>861</v>
      </c>
      <c r="D154" s="675"/>
      <c r="E154" s="676"/>
      <c r="F154" s="634" t="s">
        <v>862</v>
      </c>
      <c r="G154" s="635"/>
      <c r="H154" s="635"/>
      <c r="I154" s="636"/>
      <c r="J154" s="349" t="s">
        <v>68</v>
      </c>
      <c r="K154" s="637">
        <v>70000</v>
      </c>
      <c r="L154" s="638"/>
      <c r="M154" s="349">
        <f>M176</f>
        <v>4</v>
      </c>
      <c r="N154" s="347">
        <f t="shared" si="18"/>
        <v>280000</v>
      </c>
      <c r="O154" s="326">
        <f t="shared" si="17"/>
        <v>1</v>
      </c>
    </row>
    <row r="155" spans="1:15" x14ac:dyDescent="0.2">
      <c r="B155" s="623" t="str">
        <f>"SUBTOTAL "&amp;D148</f>
        <v>SUBTOTAL PROGRAMA DE MEDICINA PREVENTIVA</v>
      </c>
      <c r="C155" s="623"/>
      <c r="D155" s="623"/>
      <c r="E155" s="623"/>
      <c r="F155" s="623"/>
      <c r="G155" s="623"/>
      <c r="H155" s="623"/>
      <c r="I155" s="623"/>
      <c r="J155" s="623"/>
      <c r="K155" s="623"/>
      <c r="L155" s="623"/>
      <c r="M155" s="623"/>
      <c r="N155" s="357">
        <f>SUM(N150:N154)</f>
        <v>12106000</v>
      </c>
      <c r="O155" s="326">
        <f t="shared" si="17"/>
        <v>1</v>
      </c>
    </row>
    <row r="156" spans="1:15" ht="10.5" customHeight="1" x14ac:dyDescent="0.2">
      <c r="B156" s="624"/>
      <c r="C156" s="624"/>
      <c r="D156" s="624"/>
      <c r="E156" s="624"/>
      <c r="F156" s="624"/>
      <c r="G156" s="624"/>
      <c r="H156" s="624"/>
      <c r="I156" s="624"/>
      <c r="J156" s="624"/>
      <c r="K156" s="624"/>
      <c r="L156" s="624"/>
      <c r="M156" s="624"/>
      <c r="N156" s="624"/>
      <c r="O156" s="326">
        <v>1</v>
      </c>
    </row>
    <row r="157" spans="1:15" x14ac:dyDescent="0.2">
      <c r="B157" s="665" t="s">
        <v>664</v>
      </c>
      <c r="C157" s="331" t="s">
        <v>863</v>
      </c>
      <c r="D157" s="650" t="s">
        <v>864</v>
      </c>
      <c r="E157" s="651"/>
      <c r="F157" s="651"/>
      <c r="G157" s="651"/>
      <c r="H157" s="651"/>
      <c r="I157" s="651"/>
      <c r="J157" s="651"/>
      <c r="K157" s="651"/>
      <c r="L157" s="651"/>
      <c r="M157" s="651"/>
      <c r="N157" s="652"/>
      <c r="O157" s="326">
        <v>1</v>
      </c>
    </row>
    <row r="158" spans="1:15" x14ac:dyDescent="0.2">
      <c r="B158" s="665"/>
      <c r="C158" s="332" t="s">
        <v>449</v>
      </c>
      <c r="D158" s="667" t="s">
        <v>43</v>
      </c>
      <c r="E158" s="667"/>
      <c r="F158" s="667" t="s">
        <v>711</v>
      </c>
      <c r="G158" s="667"/>
      <c r="H158" s="667"/>
      <c r="I158" s="667"/>
      <c r="J158" s="332" t="s">
        <v>712</v>
      </c>
      <c r="K158" s="665" t="s">
        <v>46</v>
      </c>
      <c r="L158" s="665"/>
      <c r="M158" s="358" t="s">
        <v>45</v>
      </c>
      <c r="N158" s="332" t="s">
        <v>594</v>
      </c>
      <c r="O158" s="326">
        <v>1</v>
      </c>
    </row>
    <row r="159" spans="1:15" ht="30.4" customHeight="1" x14ac:dyDescent="0.2">
      <c r="B159" s="78">
        <v>7822</v>
      </c>
      <c r="C159" s="668" t="s">
        <v>865</v>
      </c>
      <c r="D159" s="671" t="s">
        <v>866</v>
      </c>
      <c r="E159" s="672"/>
      <c r="F159" s="634" t="s">
        <v>867</v>
      </c>
      <c r="G159" s="635"/>
      <c r="H159" s="635"/>
      <c r="I159" s="636"/>
      <c r="J159" s="349" t="s">
        <v>868</v>
      </c>
      <c r="K159" s="637">
        <v>45101</v>
      </c>
      <c r="L159" s="638"/>
      <c r="M159" s="349">
        <f>IF($V$16=1,$S$23-5,ROUND(S22/2,0))</f>
        <v>13</v>
      </c>
      <c r="N159" s="347">
        <f>ROUND(K159*M159*0,0)</f>
        <v>0</v>
      </c>
      <c r="O159" s="326">
        <v>1</v>
      </c>
    </row>
    <row r="160" spans="1:15" ht="12.75" customHeight="1" x14ac:dyDescent="0.2">
      <c r="B160" s="78">
        <v>7823</v>
      </c>
      <c r="C160" s="669"/>
      <c r="D160" s="673"/>
      <c r="E160" s="674"/>
      <c r="F160" s="634" t="s">
        <v>869</v>
      </c>
      <c r="G160" s="635"/>
      <c r="H160" s="635"/>
      <c r="I160" s="636"/>
      <c r="J160" s="349" t="s">
        <v>868</v>
      </c>
      <c r="K160" s="637">
        <v>105910</v>
      </c>
      <c r="L160" s="638"/>
      <c r="M160" s="349">
        <f>$S$22</f>
        <v>25</v>
      </c>
      <c r="N160" s="347">
        <f t="shared" ref="N160:N175" si="19">ROUND(K160*M160*0,0)</f>
        <v>0</v>
      </c>
      <c r="O160" s="326">
        <v>1</v>
      </c>
    </row>
    <row r="161" spans="2:15" ht="30.4" customHeight="1" x14ac:dyDescent="0.2">
      <c r="B161" s="78">
        <v>7827</v>
      </c>
      <c r="C161" s="669"/>
      <c r="D161" s="673"/>
      <c r="E161" s="674"/>
      <c r="F161" s="634" t="s">
        <v>870</v>
      </c>
      <c r="G161" s="635"/>
      <c r="H161" s="635"/>
      <c r="I161" s="636"/>
      <c r="J161" s="349" t="s">
        <v>868</v>
      </c>
      <c r="K161" s="637">
        <v>2023</v>
      </c>
      <c r="L161" s="638"/>
      <c r="M161" s="349">
        <f>ROUND($E$6,0)*S22</f>
        <v>150</v>
      </c>
      <c r="N161" s="347">
        <f t="shared" si="19"/>
        <v>0</v>
      </c>
      <c r="O161" s="326">
        <v>1</v>
      </c>
    </row>
    <row r="162" spans="2:15" ht="12.75" customHeight="1" x14ac:dyDescent="0.2">
      <c r="B162" s="78">
        <v>7583</v>
      </c>
      <c r="C162" s="669"/>
      <c r="D162" s="673"/>
      <c r="E162" s="674"/>
      <c r="F162" s="634" t="s">
        <v>871</v>
      </c>
      <c r="G162" s="635"/>
      <c r="H162" s="635"/>
      <c r="I162" s="636"/>
      <c r="J162" s="349" t="s">
        <v>68</v>
      </c>
      <c r="K162" s="637">
        <v>18921</v>
      </c>
      <c r="L162" s="638"/>
      <c r="M162" s="349">
        <f>ROUNDUP(M161*3/2,0)</f>
        <v>225</v>
      </c>
      <c r="N162" s="347">
        <f t="shared" si="19"/>
        <v>0</v>
      </c>
      <c r="O162" s="326">
        <v>1</v>
      </c>
    </row>
    <row r="163" spans="2:15" ht="12.75" customHeight="1" x14ac:dyDescent="0.2">
      <c r="B163" s="78">
        <v>7825</v>
      </c>
      <c r="C163" s="669"/>
      <c r="D163" s="673"/>
      <c r="E163" s="674"/>
      <c r="F163" s="634" t="s">
        <v>872</v>
      </c>
      <c r="G163" s="635"/>
      <c r="H163" s="635"/>
      <c r="I163" s="636"/>
      <c r="J163" s="349" t="s">
        <v>68</v>
      </c>
      <c r="K163" s="637">
        <v>1785</v>
      </c>
      <c r="L163" s="638"/>
      <c r="M163" s="349">
        <f>M161</f>
        <v>150</v>
      </c>
      <c r="N163" s="347">
        <f t="shared" si="19"/>
        <v>0</v>
      </c>
      <c r="O163" s="326">
        <v>1</v>
      </c>
    </row>
    <row r="164" spans="2:15" ht="12.75" customHeight="1" x14ac:dyDescent="0.2">
      <c r="B164" s="78">
        <v>7826</v>
      </c>
      <c r="C164" s="669"/>
      <c r="D164" s="673"/>
      <c r="E164" s="674"/>
      <c r="F164" s="634" t="s">
        <v>873</v>
      </c>
      <c r="G164" s="635"/>
      <c r="H164" s="635"/>
      <c r="I164" s="636"/>
      <c r="J164" s="349" t="s">
        <v>68</v>
      </c>
      <c r="K164" s="637">
        <v>4641</v>
      </c>
      <c r="L164" s="638"/>
      <c r="M164" s="349">
        <v>0</v>
      </c>
      <c r="N164" s="347">
        <f t="shared" si="19"/>
        <v>0</v>
      </c>
      <c r="O164" s="326">
        <v>1</v>
      </c>
    </row>
    <row r="165" spans="2:15" ht="12.75" customHeight="1" x14ac:dyDescent="0.2">
      <c r="B165" s="78">
        <v>7851</v>
      </c>
      <c r="C165" s="669"/>
      <c r="D165" s="673"/>
      <c r="E165" s="674"/>
      <c r="F165" s="634" t="s">
        <v>874</v>
      </c>
      <c r="G165" s="635"/>
      <c r="H165" s="635"/>
      <c r="I165" s="636"/>
      <c r="J165" s="349" t="s">
        <v>68</v>
      </c>
      <c r="K165" s="637">
        <v>42840</v>
      </c>
      <c r="L165" s="638"/>
      <c r="M165" s="349">
        <v>2</v>
      </c>
      <c r="N165" s="347">
        <f t="shared" si="19"/>
        <v>0</v>
      </c>
      <c r="O165" s="326">
        <v>1</v>
      </c>
    </row>
    <row r="166" spans="2:15" ht="12.75" customHeight="1" x14ac:dyDescent="0.2">
      <c r="B166" s="78">
        <v>9289</v>
      </c>
      <c r="C166" s="669"/>
      <c r="D166" s="673"/>
      <c r="E166" s="674"/>
      <c r="F166" s="634" t="s">
        <v>875</v>
      </c>
      <c r="G166" s="635"/>
      <c r="H166" s="635"/>
      <c r="I166" s="636"/>
      <c r="J166" s="349" t="s">
        <v>68</v>
      </c>
      <c r="K166" s="637">
        <v>1904</v>
      </c>
      <c r="L166" s="638"/>
      <c r="M166" s="349">
        <f>M165</f>
        <v>2</v>
      </c>
      <c r="N166" s="347">
        <f t="shared" si="19"/>
        <v>0</v>
      </c>
      <c r="O166" s="326">
        <v>1</v>
      </c>
    </row>
    <row r="167" spans="2:15" ht="12.75" customHeight="1" x14ac:dyDescent="0.2">
      <c r="B167" s="78">
        <v>7580</v>
      </c>
      <c r="C167" s="669"/>
      <c r="D167" s="673"/>
      <c r="E167" s="674"/>
      <c r="F167" s="634" t="s">
        <v>876</v>
      </c>
      <c r="G167" s="635"/>
      <c r="H167" s="635"/>
      <c r="I167" s="636"/>
      <c r="J167" s="349" t="s">
        <v>68</v>
      </c>
      <c r="K167" s="637">
        <v>20111</v>
      </c>
      <c r="L167" s="638"/>
      <c r="M167" s="349">
        <f>S23-5</f>
        <v>68</v>
      </c>
      <c r="N167" s="347">
        <f t="shared" si="19"/>
        <v>0</v>
      </c>
      <c r="O167" s="326">
        <v>1</v>
      </c>
    </row>
    <row r="168" spans="2:15" ht="12.75" customHeight="1" x14ac:dyDescent="0.2">
      <c r="B168" s="78">
        <v>7832</v>
      </c>
      <c r="C168" s="669"/>
      <c r="D168" s="673"/>
      <c r="E168" s="674"/>
      <c r="F168" s="634" t="s">
        <v>877</v>
      </c>
      <c r="G168" s="635"/>
      <c r="H168" s="635"/>
      <c r="I168" s="636"/>
      <c r="J168" s="349" t="s">
        <v>68</v>
      </c>
      <c r="K168" s="637">
        <v>4165</v>
      </c>
      <c r="L168" s="638"/>
      <c r="M168" s="349">
        <f>M167</f>
        <v>68</v>
      </c>
      <c r="N168" s="347">
        <f t="shared" si="19"/>
        <v>0</v>
      </c>
      <c r="O168" s="326">
        <v>1</v>
      </c>
    </row>
    <row r="169" spans="2:15" ht="12.75" customHeight="1" x14ac:dyDescent="0.2">
      <c r="B169" s="78">
        <v>7577</v>
      </c>
      <c r="C169" s="669"/>
      <c r="D169" s="673"/>
      <c r="E169" s="674"/>
      <c r="F169" s="634" t="s">
        <v>878</v>
      </c>
      <c r="G169" s="635"/>
      <c r="H169" s="635"/>
      <c r="I169" s="636"/>
      <c r="J169" s="349" t="s">
        <v>68</v>
      </c>
      <c r="K169" s="637">
        <v>4641</v>
      </c>
      <c r="L169" s="638"/>
      <c r="M169" s="349">
        <f>M168</f>
        <v>68</v>
      </c>
      <c r="N169" s="347">
        <f t="shared" si="19"/>
        <v>0</v>
      </c>
      <c r="O169" s="326">
        <v>1</v>
      </c>
    </row>
    <row r="170" spans="2:15" ht="15" x14ac:dyDescent="0.2">
      <c r="B170" s="78">
        <v>9286</v>
      </c>
      <c r="C170" s="669"/>
      <c r="D170" s="673"/>
      <c r="E170" s="674"/>
      <c r="F170" s="634" t="s">
        <v>879</v>
      </c>
      <c r="G170" s="635"/>
      <c r="H170" s="635"/>
      <c r="I170" s="636"/>
      <c r="J170" s="349" t="s">
        <v>68</v>
      </c>
      <c r="K170" s="637">
        <v>44500</v>
      </c>
      <c r="L170" s="638"/>
      <c r="M170" s="349">
        <f>S22</f>
        <v>25</v>
      </c>
      <c r="N170" s="347">
        <f t="shared" si="19"/>
        <v>0</v>
      </c>
      <c r="O170" s="326">
        <v>1</v>
      </c>
    </row>
    <row r="171" spans="2:15" ht="15" x14ac:dyDescent="0.2">
      <c r="B171" s="78">
        <v>7839</v>
      </c>
      <c r="C171" s="669"/>
      <c r="D171" s="673"/>
      <c r="E171" s="674"/>
      <c r="F171" s="634" t="s">
        <v>880</v>
      </c>
      <c r="G171" s="635"/>
      <c r="H171" s="635"/>
      <c r="I171" s="636"/>
      <c r="J171" s="349" t="s">
        <v>68</v>
      </c>
      <c r="K171" s="637">
        <v>49980</v>
      </c>
      <c r="L171" s="638"/>
      <c r="M171" s="349">
        <f>M170</f>
        <v>25</v>
      </c>
      <c r="N171" s="347">
        <f t="shared" si="19"/>
        <v>0</v>
      </c>
      <c r="O171" s="326">
        <v>1</v>
      </c>
    </row>
    <row r="172" spans="2:15" ht="15" x14ac:dyDescent="0.2">
      <c r="B172" s="78">
        <v>7846</v>
      </c>
      <c r="C172" s="669"/>
      <c r="D172" s="673"/>
      <c r="E172" s="674"/>
      <c r="F172" s="634" t="s">
        <v>881</v>
      </c>
      <c r="G172" s="635"/>
      <c r="H172" s="635"/>
      <c r="I172" s="636"/>
      <c r="J172" s="349" t="s">
        <v>868</v>
      </c>
      <c r="K172" s="637">
        <v>7735</v>
      </c>
      <c r="L172" s="638"/>
      <c r="M172" s="349">
        <f>ROUNDUP(S22*2/3,0)</f>
        <v>17</v>
      </c>
      <c r="N172" s="347">
        <f t="shared" si="19"/>
        <v>0</v>
      </c>
      <c r="O172" s="326">
        <v>1</v>
      </c>
    </row>
    <row r="173" spans="2:15" ht="15" x14ac:dyDescent="0.2">
      <c r="B173" s="78">
        <v>7578</v>
      </c>
      <c r="C173" s="669"/>
      <c r="D173" s="673"/>
      <c r="E173" s="674"/>
      <c r="F173" s="634" t="s">
        <v>882</v>
      </c>
      <c r="G173" s="635"/>
      <c r="H173" s="635"/>
      <c r="I173" s="636"/>
      <c r="J173" s="349" t="s">
        <v>68</v>
      </c>
      <c r="K173" s="637">
        <v>5831</v>
      </c>
      <c r="L173" s="638"/>
      <c r="M173" s="349">
        <f>ROUNDUP(S22*1/3,0)</f>
        <v>9</v>
      </c>
      <c r="N173" s="347">
        <f t="shared" si="19"/>
        <v>0</v>
      </c>
      <c r="O173" s="326">
        <v>1</v>
      </c>
    </row>
    <row r="174" spans="2:15" ht="12.75" customHeight="1" x14ac:dyDescent="0.2">
      <c r="B174" s="78">
        <v>9283</v>
      </c>
      <c r="C174" s="669"/>
      <c r="D174" s="673"/>
      <c r="E174" s="674"/>
      <c r="F174" s="634" t="s">
        <v>883</v>
      </c>
      <c r="G174" s="635"/>
      <c r="H174" s="635"/>
      <c r="I174" s="636"/>
      <c r="J174" s="349" t="s">
        <v>868</v>
      </c>
      <c r="K174" s="637">
        <v>4641</v>
      </c>
      <c r="L174" s="638"/>
      <c r="M174" s="349">
        <f>M173</f>
        <v>9</v>
      </c>
      <c r="N174" s="347">
        <f t="shared" si="19"/>
        <v>0</v>
      </c>
      <c r="O174" s="326">
        <v>1</v>
      </c>
    </row>
    <row r="175" spans="2:15" ht="12.75" customHeight="1" x14ac:dyDescent="0.2">
      <c r="B175" s="78">
        <v>7844</v>
      </c>
      <c r="C175" s="670"/>
      <c r="D175" s="675"/>
      <c r="E175" s="676"/>
      <c r="F175" s="634" t="s">
        <v>884</v>
      </c>
      <c r="G175" s="635"/>
      <c r="H175" s="635"/>
      <c r="I175" s="636"/>
      <c r="J175" s="349" t="s">
        <v>868</v>
      </c>
      <c r="K175" s="637">
        <v>7021</v>
      </c>
      <c r="L175" s="638"/>
      <c r="M175" s="349">
        <v>3</v>
      </c>
      <c r="N175" s="347">
        <f t="shared" si="19"/>
        <v>0</v>
      </c>
      <c r="O175" s="326">
        <v>1</v>
      </c>
    </row>
    <row r="176" spans="2:15" ht="31.9" customHeight="1" x14ac:dyDescent="0.2">
      <c r="B176" s="78">
        <v>7836</v>
      </c>
      <c r="C176" s="668" t="s">
        <v>885</v>
      </c>
      <c r="D176" s="671" t="s">
        <v>886</v>
      </c>
      <c r="E176" s="672"/>
      <c r="F176" s="634" t="s">
        <v>887</v>
      </c>
      <c r="G176" s="635"/>
      <c r="H176" s="635"/>
      <c r="I176" s="636"/>
      <c r="J176" s="349" t="s">
        <v>68</v>
      </c>
      <c r="K176" s="637">
        <v>140000</v>
      </c>
      <c r="L176" s="638"/>
      <c r="M176" s="349">
        <f>IF(V16=1,10,4)</f>
        <v>4</v>
      </c>
      <c r="N176" s="347">
        <f t="shared" ref="N176:N178" si="20">ROUND(K176*M176,0)</f>
        <v>560000</v>
      </c>
      <c r="O176" s="326">
        <v>1</v>
      </c>
    </row>
    <row r="177" spans="1:15" ht="31.9" customHeight="1" x14ac:dyDescent="0.2">
      <c r="B177" s="78">
        <v>7837</v>
      </c>
      <c r="C177" s="669"/>
      <c r="D177" s="673"/>
      <c r="E177" s="674"/>
      <c r="F177" s="634" t="s">
        <v>888</v>
      </c>
      <c r="G177" s="635"/>
      <c r="H177" s="635"/>
      <c r="I177" s="636"/>
      <c r="J177" s="349" t="s">
        <v>68</v>
      </c>
      <c r="K177" s="637">
        <v>136850</v>
      </c>
      <c r="L177" s="638"/>
      <c r="M177" s="349">
        <f>M176</f>
        <v>4</v>
      </c>
      <c r="N177" s="347">
        <f t="shared" si="20"/>
        <v>547400</v>
      </c>
      <c r="O177" s="326">
        <v>1</v>
      </c>
    </row>
    <row r="178" spans="1:15" ht="15" x14ac:dyDescent="0.2">
      <c r="B178" s="78">
        <v>11453</v>
      </c>
      <c r="C178" s="670"/>
      <c r="D178" s="675"/>
      <c r="E178" s="676"/>
      <c r="F178" s="634" t="s">
        <v>889</v>
      </c>
      <c r="G178" s="635"/>
      <c r="H178" s="635"/>
      <c r="I178" s="636"/>
      <c r="J178" s="349" t="s">
        <v>868</v>
      </c>
      <c r="K178" s="637">
        <v>747677</v>
      </c>
      <c r="L178" s="638"/>
      <c r="M178" s="349">
        <f>M176</f>
        <v>4</v>
      </c>
      <c r="N178" s="347">
        <f t="shared" si="20"/>
        <v>2990708</v>
      </c>
      <c r="O178" s="326">
        <v>1</v>
      </c>
    </row>
    <row r="179" spans="1:15" x14ac:dyDescent="0.2">
      <c r="B179" s="623" t="str">
        <f>"SUBTOTAL "&amp;D157</f>
        <v>SUBTOTAL  GESTIÓN EN SEGURIDAD Y SALUD EN EL TRABAJO - DOTACIÓN Y ELEMENTOS DE PROTECCIÓN PERSONAL</v>
      </c>
      <c r="C179" s="623"/>
      <c r="D179" s="623"/>
      <c r="E179" s="623"/>
      <c r="F179" s="623"/>
      <c r="G179" s="623"/>
      <c r="H179" s="623"/>
      <c r="I179" s="623"/>
      <c r="J179" s="623"/>
      <c r="K179" s="623"/>
      <c r="L179" s="623"/>
      <c r="M179" s="623"/>
      <c r="N179" s="357">
        <f>SUM(N159:N178)</f>
        <v>4098108</v>
      </c>
      <c r="O179" s="326">
        <v>1</v>
      </c>
    </row>
    <row r="180" spans="1:15" ht="10.5" customHeight="1" x14ac:dyDescent="0.2">
      <c r="B180" s="624"/>
      <c r="C180" s="624"/>
      <c r="D180" s="624"/>
      <c r="E180" s="624"/>
      <c r="F180" s="624"/>
      <c r="G180" s="624"/>
      <c r="H180" s="624"/>
      <c r="I180" s="624"/>
      <c r="J180" s="624"/>
      <c r="K180" s="624"/>
      <c r="L180" s="624"/>
      <c r="M180" s="624"/>
      <c r="N180" s="624"/>
      <c r="O180" s="326">
        <v>1</v>
      </c>
    </row>
    <row r="181" spans="1:15" x14ac:dyDescent="0.2">
      <c r="B181" s="665" t="s">
        <v>664</v>
      </c>
      <c r="C181" s="331" t="s">
        <v>890</v>
      </c>
      <c r="D181" s="650" t="s">
        <v>891</v>
      </c>
      <c r="E181" s="651"/>
      <c r="F181" s="651"/>
      <c r="G181" s="651"/>
      <c r="H181" s="651"/>
      <c r="I181" s="651"/>
      <c r="J181" s="651"/>
      <c r="K181" s="651"/>
      <c r="L181" s="651"/>
      <c r="M181" s="651"/>
      <c r="N181" s="652"/>
      <c r="O181" s="326">
        <v>1</v>
      </c>
    </row>
    <row r="182" spans="1:15" x14ac:dyDescent="0.2">
      <c r="B182" s="665"/>
      <c r="C182" s="332" t="s">
        <v>449</v>
      </c>
      <c r="D182" s="667" t="s">
        <v>43</v>
      </c>
      <c r="E182" s="667"/>
      <c r="F182" s="667" t="s">
        <v>711</v>
      </c>
      <c r="G182" s="667"/>
      <c r="H182" s="667"/>
      <c r="I182" s="667"/>
      <c r="J182" s="332" t="s">
        <v>712</v>
      </c>
      <c r="K182" s="665" t="s">
        <v>46</v>
      </c>
      <c r="L182" s="665"/>
      <c r="M182" s="358" t="s">
        <v>45</v>
      </c>
      <c r="N182" s="332" t="s">
        <v>594</v>
      </c>
      <c r="O182" s="326">
        <v>1</v>
      </c>
    </row>
    <row r="183" spans="1:15" ht="30.4" customHeight="1" x14ac:dyDescent="0.2">
      <c r="B183" s="78">
        <v>7569</v>
      </c>
      <c r="C183" s="668" t="s">
        <v>892</v>
      </c>
      <c r="D183" s="671" t="s">
        <v>893</v>
      </c>
      <c r="E183" s="672"/>
      <c r="F183" s="634" t="s">
        <v>894</v>
      </c>
      <c r="G183" s="635"/>
      <c r="H183" s="635"/>
      <c r="I183" s="636"/>
      <c r="J183" s="349" t="s">
        <v>68</v>
      </c>
      <c r="K183" s="677">
        <v>51308</v>
      </c>
      <c r="L183" s="678"/>
      <c r="M183" s="349">
        <v>5</v>
      </c>
      <c r="N183" s="363">
        <f>ROUND(K183*M183,0)</f>
        <v>256540</v>
      </c>
      <c r="O183" s="326">
        <f t="shared" ref="O183:O186" si="21">IF(N183=0,0,1)</f>
        <v>1</v>
      </c>
    </row>
    <row r="184" spans="1:15" ht="12.75" customHeight="1" x14ac:dyDescent="0.2">
      <c r="B184" s="78">
        <v>7818</v>
      </c>
      <c r="C184" s="669"/>
      <c r="D184" s="673"/>
      <c r="E184" s="674"/>
      <c r="F184" s="634" t="s">
        <v>895</v>
      </c>
      <c r="G184" s="635"/>
      <c r="H184" s="635"/>
      <c r="I184" s="636"/>
      <c r="J184" s="349" t="s">
        <v>68</v>
      </c>
      <c r="K184" s="637">
        <v>205195</v>
      </c>
      <c r="L184" s="638"/>
      <c r="M184" s="349">
        <v>5</v>
      </c>
      <c r="N184" s="347">
        <f t="shared" ref="N184:N185" si="22">ROUND(K184*M184,0)</f>
        <v>1025975</v>
      </c>
      <c r="O184" s="326">
        <f t="shared" si="21"/>
        <v>1</v>
      </c>
    </row>
    <row r="185" spans="1:15" ht="30.4" customHeight="1" x14ac:dyDescent="0.2">
      <c r="B185" s="78">
        <v>7819</v>
      </c>
      <c r="C185" s="670"/>
      <c r="D185" s="675"/>
      <c r="E185" s="676"/>
      <c r="F185" s="634" t="s">
        <v>896</v>
      </c>
      <c r="G185" s="635"/>
      <c r="H185" s="635"/>
      <c r="I185" s="636"/>
      <c r="J185" s="349" t="s">
        <v>68</v>
      </c>
      <c r="K185" s="637">
        <v>56287</v>
      </c>
      <c r="L185" s="638"/>
      <c r="M185" s="349">
        <v>10</v>
      </c>
      <c r="N185" s="347">
        <f t="shared" si="22"/>
        <v>562870</v>
      </c>
      <c r="O185" s="326">
        <f t="shared" si="21"/>
        <v>1</v>
      </c>
    </row>
    <row r="186" spans="1:15" x14ac:dyDescent="0.2">
      <c r="B186" s="623" t="str">
        <f>"SUBTOTAL "&amp;D181</f>
        <v>SUBTOTAL PLAN DE EMERGENCIAS</v>
      </c>
      <c r="C186" s="623"/>
      <c r="D186" s="623"/>
      <c r="E186" s="623"/>
      <c r="F186" s="623"/>
      <c r="G186" s="623"/>
      <c r="H186" s="623"/>
      <c r="I186" s="623"/>
      <c r="J186" s="623"/>
      <c r="K186" s="623"/>
      <c r="L186" s="623"/>
      <c r="M186" s="623"/>
      <c r="N186" s="357">
        <f>SUM(N183:N185)</f>
        <v>1845385</v>
      </c>
      <c r="O186" s="326">
        <f t="shared" si="21"/>
        <v>1</v>
      </c>
    </row>
    <row r="187" spans="1:15" x14ac:dyDescent="0.2">
      <c r="A187" s="329"/>
      <c r="B187" s="624"/>
      <c r="C187" s="624"/>
      <c r="D187" s="624"/>
      <c r="E187" s="624"/>
      <c r="F187" s="624"/>
      <c r="G187" s="624"/>
      <c r="H187" s="624"/>
      <c r="I187" s="624"/>
      <c r="J187" s="624"/>
      <c r="K187" s="624"/>
      <c r="L187" s="624"/>
      <c r="M187" s="624"/>
      <c r="N187" s="624"/>
      <c r="O187" s="326">
        <v>1</v>
      </c>
    </row>
    <row r="188" spans="1:15" x14ac:dyDescent="0.2">
      <c r="A188" s="329"/>
      <c r="B188" s="665" t="s">
        <v>664</v>
      </c>
      <c r="C188" s="331" t="s">
        <v>897</v>
      </c>
      <c r="D188" s="666" t="s">
        <v>898</v>
      </c>
      <c r="E188" s="651"/>
      <c r="F188" s="651"/>
      <c r="G188" s="651"/>
      <c r="H188" s="651"/>
      <c r="I188" s="651"/>
      <c r="J188" s="651"/>
      <c r="K188" s="651"/>
      <c r="L188" s="651"/>
      <c r="M188" s="651"/>
      <c r="N188" s="652"/>
      <c r="O188" s="326">
        <v>1</v>
      </c>
    </row>
    <row r="189" spans="1:15" x14ac:dyDescent="0.2">
      <c r="A189" s="329"/>
      <c r="B189" s="665"/>
      <c r="C189" s="332" t="s">
        <v>449</v>
      </c>
      <c r="D189" s="667" t="s">
        <v>43</v>
      </c>
      <c r="E189" s="667"/>
      <c r="F189" s="667" t="s">
        <v>711</v>
      </c>
      <c r="G189" s="667"/>
      <c r="H189" s="667"/>
      <c r="I189" s="667"/>
      <c r="J189" s="332" t="s">
        <v>712</v>
      </c>
      <c r="K189" s="665" t="s">
        <v>46</v>
      </c>
      <c r="L189" s="665"/>
      <c r="M189" s="358" t="s">
        <v>45</v>
      </c>
      <c r="N189" s="332" t="s">
        <v>594</v>
      </c>
      <c r="O189" s="326">
        <v>1</v>
      </c>
    </row>
    <row r="190" spans="1:15" ht="27.75" customHeight="1" x14ac:dyDescent="0.2">
      <c r="A190" s="329"/>
      <c r="B190" s="78"/>
      <c r="C190" s="349" t="s">
        <v>899</v>
      </c>
      <c r="D190" s="660" t="s">
        <v>900</v>
      </c>
      <c r="E190" s="661"/>
      <c r="F190" s="662" t="s">
        <v>901</v>
      </c>
      <c r="G190" s="663"/>
      <c r="H190" s="663"/>
      <c r="I190" s="664"/>
      <c r="J190" s="349" t="s">
        <v>32</v>
      </c>
      <c r="K190" s="637">
        <v>0</v>
      </c>
      <c r="L190" s="638"/>
      <c r="M190" s="349"/>
      <c r="N190" s="347">
        <f>ROUND(K190*M190,0)</f>
        <v>0</v>
      </c>
      <c r="O190" s="326">
        <v>1</v>
      </c>
    </row>
    <row r="191" spans="1:15" ht="27.75" customHeight="1" x14ac:dyDescent="0.2">
      <c r="A191" s="329"/>
      <c r="B191" s="78"/>
      <c r="C191" s="349" t="s">
        <v>902</v>
      </c>
      <c r="D191" s="660" t="s">
        <v>903</v>
      </c>
      <c r="E191" s="661"/>
      <c r="F191" s="662" t="s">
        <v>904</v>
      </c>
      <c r="G191" s="663"/>
      <c r="H191" s="663"/>
      <c r="I191" s="664"/>
      <c r="J191" s="349" t="s">
        <v>32</v>
      </c>
      <c r="K191" s="637">
        <v>0</v>
      </c>
      <c r="L191" s="638"/>
      <c r="M191" s="349"/>
      <c r="N191" s="347">
        <f t="shared" ref="N191:N196" si="23">ROUND(K191*M191,0)</f>
        <v>0</v>
      </c>
      <c r="O191" s="326">
        <v>1</v>
      </c>
    </row>
    <row r="192" spans="1:15" ht="27.75" customHeight="1" x14ac:dyDescent="0.2">
      <c r="A192" s="329"/>
      <c r="B192" s="78"/>
      <c r="C192" s="349" t="s">
        <v>905</v>
      </c>
      <c r="D192" s="660" t="s">
        <v>906</v>
      </c>
      <c r="E192" s="661"/>
      <c r="F192" s="662" t="s">
        <v>901</v>
      </c>
      <c r="G192" s="663"/>
      <c r="H192" s="663"/>
      <c r="I192" s="664"/>
      <c r="J192" s="349" t="s">
        <v>32</v>
      </c>
      <c r="K192" s="637">
        <v>0</v>
      </c>
      <c r="L192" s="638"/>
      <c r="M192" s="349"/>
      <c r="N192" s="347">
        <f t="shared" si="23"/>
        <v>0</v>
      </c>
      <c r="O192" s="326">
        <v>1</v>
      </c>
    </row>
    <row r="193" spans="1:15" ht="27.75" customHeight="1" x14ac:dyDescent="0.2">
      <c r="A193" s="329"/>
      <c r="B193" s="78"/>
      <c r="C193" s="349" t="s">
        <v>907</v>
      </c>
      <c r="D193" s="660" t="s">
        <v>908</v>
      </c>
      <c r="E193" s="661"/>
      <c r="F193" s="662" t="s">
        <v>901</v>
      </c>
      <c r="G193" s="663"/>
      <c r="H193" s="663"/>
      <c r="I193" s="664"/>
      <c r="J193" s="349" t="s">
        <v>32</v>
      </c>
      <c r="K193" s="637">
        <v>0</v>
      </c>
      <c r="L193" s="638"/>
      <c r="M193" s="349"/>
      <c r="N193" s="347">
        <f t="shared" si="23"/>
        <v>0</v>
      </c>
      <c r="O193" s="326">
        <v>1</v>
      </c>
    </row>
    <row r="194" spans="1:15" ht="27.75" customHeight="1" x14ac:dyDescent="0.2">
      <c r="B194" s="78"/>
      <c r="C194" s="349" t="s">
        <v>909</v>
      </c>
      <c r="D194" s="660" t="s">
        <v>910</v>
      </c>
      <c r="E194" s="661"/>
      <c r="F194" s="662" t="s">
        <v>911</v>
      </c>
      <c r="G194" s="663"/>
      <c r="H194" s="663"/>
      <c r="I194" s="664"/>
      <c r="J194" s="349" t="s">
        <v>32</v>
      </c>
      <c r="K194" s="637">
        <v>0</v>
      </c>
      <c r="L194" s="638"/>
      <c r="M194" s="349"/>
      <c r="N194" s="347">
        <f t="shared" si="23"/>
        <v>0</v>
      </c>
      <c r="O194" s="326">
        <v>1</v>
      </c>
    </row>
    <row r="195" spans="1:15" ht="27.75" customHeight="1" x14ac:dyDescent="0.2">
      <c r="B195" s="78"/>
      <c r="C195" s="349" t="s">
        <v>912</v>
      </c>
      <c r="D195" s="660" t="s">
        <v>913</v>
      </c>
      <c r="E195" s="661"/>
      <c r="F195" s="662" t="s">
        <v>901</v>
      </c>
      <c r="G195" s="663"/>
      <c r="H195" s="663"/>
      <c r="I195" s="664"/>
      <c r="J195" s="349" t="s">
        <v>32</v>
      </c>
      <c r="K195" s="637">
        <v>0</v>
      </c>
      <c r="L195" s="638"/>
      <c r="M195" s="349"/>
      <c r="N195" s="347">
        <f t="shared" si="23"/>
        <v>0</v>
      </c>
      <c r="O195" s="326">
        <v>1</v>
      </c>
    </row>
    <row r="196" spans="1:15" ht="27.75" customHeight="1" x14ac:dyDescent="0.2">
      <c r="B196" s="78"/>
      <c r="C196" s="349" t="s">
        <v>914</v>
      </c>
      <c r="D196" s="660" t="s">
        <v>915</v>
      </c>
      <c r="E196" s="661"/>
      <c r="F196" s="662" t="s">
        <v>901</v>
      </c>
      <c r="G196" s="663"/>
      <c r="H196" s="663"/>
      <c r="I196" s="664"/>
      <c r="J196" s="349" t="s">
        <v>32</v>
      </c>
      <c r="K196" s="637">
        <v>0</v>
      </c>
      <c r="L196" s="638"/>
      <c r="M196" s="349"/>
      <c r="N196" s="347">
        <f t="shared" si="23"/>
        <v>0</v>
      </c>
      <c r="O196" s="326">
        <v>1</v>
      </c>
    </row>
    <row r="197" spans="1:15" x14ac:dyDescent="0.2">
      <c r="B197" s="623" t="str">
        <f>"SUBTOTAL "&amp;D188</f>
        <v xml:space="preserve">SUBTOTAL ROGRAMA MANEJO DE MAQUINARIA, EQUIPOS Y VEHICULOS </v>
      </c>
      <c r="C197" s="623"/>
      <c r="D197" s="623"/>
      <c r="E197" s="623"/>
      <c r="F197" s="623"/>
      <c r="G197" s="623"/>
      <c r="H197" s="623"/>
      <c r="I197" s="623"/>
      <c r="J197" s="623"/>
      <c r="K197" s="623"/>
      <c r="L197" s="623"/>
      <c r="M197" s="623"/>
      <c r="N197" s="357">
        <f>SUM(N190:N196)</f>
        <v>0</v>
      </c>
      <c r="O197" s="326">
        <v>1</v>
      </c>
    </row>
    <row r="198" spans="1:15" ht="10.5" customHeight="1" x14ac:dyDescent="0.2">
      <c r="B198" s="624"/>
      <c r="C198" s="624"/>
      <c r="D198" s="624"/>
      <c r="E198" s="624"/>
      <c r="F198" s="624"/>
      <c r="G198" s="624"/>
      <c r="H198" s="624"/>
      <c r="I198" s="624"/>
      <c r="J198" s="624"/>
      <c r="K198" s="624"/>
      <c r="L198" s="624"/>
      <c r="M198" s="624"/>
      <c r="N198" s="624"/>
      <c r="O198" s="326">
        <v>1</v>
      </c>
    </row>
    <row r="199" spans="1:15" ht="15" x14ac:dyDescent="0.2">
      <c r="B199" s="625" t="str">
        <f>"SUBTOTAL "&amp;B146</f>
        <v>SUBTOTAL COMPONENTE D. GESTIÓN EN SEGURIDAD Y SALUD EN EL TRABAJO</v>
      </c>
      <c r="C199" s="626"/>
      <c r="D199" s="626"/>
      <c r="E199" s="626"/>
      <c r="F199" s="626"/>
      <c r="G199" s="626"/>
      <c r="H199" s="626"/>
      <c r="I199" s="626"/>
      <c r="J199" s="626"/>
      <c r="K199" s="626"/>
      <c r="L199" s="626"/>
      <c r="M199" s="627"/>
      <c r="N199" s="359">
        <f>+N179+N155+N186+N197</f>
        <v>18049493</v>
      </c>
      <c r="O199" s="326">
        <v>1</v>
      </c>
    </row>
    <row r="200" spans="1:15" ht="12.4" customHeight="1" x14ac:dyDescent="0.2">
      <c r="B200" s="628"/>
      <c r="C200" s="628"/>
      <c r="D200" s="628"/>
      <c r="E200" s="628"/>
      <c r="F200" s="628"/>
      <c r="G200" s="628"/>
      <c r="H200" s="628"/>
      <c r="I200" s="628"/>
      <c r="J200" s="628"/>
      <c r="K200" s="628"/>
      <c r="L200" s="628"/>
      <c r="M200" s="628"/>
      <c r="N200" s="628"/>
      <c r="O200" s="326">
        <v>1</v>
      </c>
    </row>
    <row r="201" spans="1:15" x14ac:dyDescent="0.2">
      <c r="B201" s="650" t="s">
        <v>916</v>
      </c>
      <c r="C201" s="651"/>
      <c r="D201" s="651"/>
      <c r="E201" s="651"/>
      <c r="F201" s="651"/>
      <c r="G201" s="651"/>
      <c r="H201" s="651"/>
      <c r="I201" s="651"/>
      <c r="J201" s="651"/>
      <c r="K201" s="651"/>
      <c r="L201" s="651"/>
      <c r="M201" s="651"/>
      <c r="N201" s="652"/>
      <c r="O201" s="326">
        <v>1</v>
      </c>
    </row>
    <row r="202" spans="1:15" x14ac:dyDescent="0.2">
      <c r="B202" s="653" t="s">
        <v>664</v>
      </c>
      <c r="C202" s="331" t="s">
        <v>917</v>
      </c>
      <c r="D202" s="650" t="s">
        <v>918</v>
      </c>
      <c r="E202" s="651"/>
      <c r="F202" s="651"/>
      <c r="G202" s="651"/>
      <c r="H202" s="651"/>
      <c r="I202" s="651"/>
      <c r="J202" s="651"/>
      <c r="K202" s="651"/>
      <c r="L202" s="651"/>
      <c r="M202" s="651"/>
      <c r="N202" s="652"/>
      <c r="O202" s="326">
        <v>1</v>
      </c>
    </row>
    <row r="203" spans="1:15" ht="12.75" customHeight="1" x14ac:dyDescent="0.2">
      <c r="B203" s="654"/>
      <c r="C203" s="332" t="s">
        <v>449</v>
      </c>
      <c r="D203" s="655" t="s">
        <v>43</v>
      </c>
      <c r="E203" s="656"/>
      <c r="F203" s="655" t="s">
        <v>711</v>
      </c>
      <c r="G203" s="657"/>
      <c r="H203" s="657"/>
      <c r="I203" s="656"/>
      <c r="J203" s="332" t="s">
        <v>712</v>
      </c>
      <c r="K203" s="658" t="s">
        <v>46</v>
      </c>
      <c r="L203" s="659"/>
      <c r="M203" s="358" t="s">
        <v>45</v>
      </c>
      <c r="N203" s="332" t="s">
        <v>594</v>
      </c>
      <c r="O203" s="326">
        <v>1</v>
      </c>
    </row>
    <row r="204" spans="1:15" ht="27" customHeight="1" x14ac:dyDescent="0.2">
      <c r="B204" s="371">
        <v>9985</v>
      </c>
      <c r="C204" s="372" t="s">
        <v>919</v>
      </c>
      <c r="D204" s="632" t="s">
        <v>920</v>
      </c>
      <c r="E204" s="633"/>
      <c r="F204" s="645" t="s">
        <v>921</v>
      </c>
      <c r="G204" s="646"/>
      <c r="H204" s="646"/>
      <c r="I204" s="647"/>
      <c r="J204" s="349" t="s">
        <v>68</v>
      </c>
      <c r="K204" s="637">
        <v>68425</v>
      </c>
      <c r="L204" s="638"/>
      <c r="M204" s="349">
        <f>M183</f>
        <v>5</v>
      </c>
      <c r="N204" s="347">
        <f t="shared" ref="N204:N240" si="24">ROUND(K204*M204,0)</f>
        <v>342125</v>
      </c>
      <c r="O204" s="326">
        <f t="shared" ref="O204:O242" si="25">IF(N204=0,0,1)</f>
        <v>1</v>
      </c>
    </row>
    <row r="205" spans="1:15" ht="27" customHeight="1" x14ac:dyDescent="0.2">
      <c r="B205" s="371">
        <v>9985</v>
      </c>
      <c r="C205" s="372" t="s">
        <v>922</v>
      </c>
      <c r="D205" s="632" t="s">
        <v>923</v>
      </c>
      <c r="E205" s="633"/>
      <c r="F205" s="645" t="s">
        <v>921</v>
      </c>
      <c r="G205" s="646"/>
      <c r="H205" s="646"/>
      <c r="I205" s="647"/>
      <c r="J205" s="349" t="s">
        <v>68</v>
      </c>
      <c r="K205" s="637">
        <v>68425</v>
      </c>
      <c r="L205" s="638"/>
      <c r="M205" s="349">
        <f>M184</f>
        <v>5</v>
      </c>
      <c r="N205" s="347">
        <f t="shared" si="24"/>
        <v>342125</v>
      </c>
      <c r="O205" s="326">
        <f t="shared" si="25"/>
        <v>1</v>
      </c>
    </row>
    <row r="206" spans="1:15" ht="27" customHeight="1" x14ac:dyDescent="0.2">
      <c r="B206" s="371">
        <v>9985</v>
      </c>
      <c r="C206" s="372" t="s">
        <v>924</v>
      </c>
      <c r="D206" s="648" t="s">
        <v>925</v>
      </c>
      <c r="E206" s="649"/>
      <c r="F206" s="645" t="s">
        <v>921</v>
      </c>
      <c r="G206" s="646"/>
      <c r="H206" s="646"/>
      <c r="I206" s="647"/>
      <c r="J206" s="349" t="s">
        <v>68</v>
      </c>
      <c r="K206" s="637">
        <v>68425</v>
      </c>
      <c r="L206" s="638"/>
      <c r="M206" s="349">
        <f>M37/ROUNDUP($E$6,0)</f>
        <v>2</v>
      </c>
      <c r="N206" s="347">
        <f t="shared" si="24"/>
        <v>136850</v>
      </c>
      <c r="O206" s="326">
        <f t="shared" si="25"/>
        <v>1</v>
      </c>
    </row>
    <row r="207" spans="1:15" ht="27" customHeight="1" x14ac:dyDescent="0.2">
      <c r="B207" s="371">
        <v>9985</v>
      </c>
      <c r="C207" s="372" t="s">
        <v>926</v>
      </c>
      <c r="D207" s="632" t="s">
        <v>927</v>
      </c>
      <c r="E207" s="633"/>
      <c r="F207" s="645" t="s">
        <v>921</v>
      </c>
      <c r="G207" s="646"/>
      <c r="H207" s="646"/>
      <c r="I207" s="647"/>
      <c r="J207" s="349" t="s">
        <v>68</v>
      </c>
      <c r="K207" s="637">
        <v>68425</v>
      </c>
      <c r="L207" s="638"/>
      <c r="M207" s="349">
        <v>5</v>
      </c>
      <c r="N207" s="347">
        <f t="shared" si="24"/>
        <v>342125</v>
      </c>
      <c r="O207" s="326">
        <f t="shared" si="25"/>
        <v>1</v>
      </c>
    </row>
    <row r="208" spans="1:15" ht="27" customHeight="1" x14ac:dyDescent="0.2">
      <c r="B208" s="371">
        <v>9985</v>
      </c>
      <c r="C208" s="372" t="s">
        <v>928</v>
      </c>
      <c r="D208" s="632" t="s">
        <v>929</v>
      </c>
      <c r="E208" s="633"/>
      <c r="F208" s="645" t="s">
        <v>921</v>
      </c>
      <c r="G208" s="646"/>
      <c r="H208" s="646"/>
      <c r="I208" s="647"/>
      <c r="J208" s="349" t="s">
        <v>68</v>
      </c>
      <c r="K208" s="637">
        <v>68425</v>
      </c>
      <c r="L208" s="638"/>
      <c r="M208" s="349">
        <v>4</v>
      </c>
      <c r="N208" s="347">
        <f t="shared" si="24"/>
        <v>273700</v>
      </c>
      <c r="O208" s="326">
        <f t="shared" si="25"/>
        <v>1</v>
      </c>
    </row>
    <row r="209" spans="2:15" ht="27" customHeight="1" x14ac:dyDescent="0.2">
      <c r="B209" s="371">
        <v>9985</v>
      </c>
      <c r="C209" s="372" t="s">
        <v>930</v>
      </c>
      <c r="D209" s="632" t="s">
        <v>931</v>
      </c>
      <c r="E209" s="633"/>
      <c r="F209" s="645" t="s">
        <v>921</v>
      </c>
      <c r="G209" s="646"/>
      <c r="H209" s="646"/>
      <c r="I209" s="647"/>
      <c r="J209" s="349" t="s">
        <v>68</v>
      </c>
      <c r="K209" s="637">
        <v>68425</v>
      </c>
      <c r="L209" s="638"/>
      <c r="M209" s="349">
        <v>4</v>
      </c>
      <c r="N209" s="347">
        <f>ROUND(K209*M209,0)</f>
        <v>273700</v>
      </c>
      <c r="O209" s="326">
        <f t="shared" si="25"/>
        <v>1</v>
      </c>
    </row>
    <row r="210" spans="2:15" ht="27" customHeight="1" x14ac:dyDescent="0.2">
      <c r="B210" s="371">
        <v>9985</v>
      </c>
      <c r="C210" s="372" t="s">
        <v>932</v>
      </c>
      <c r="D210" s="632" t="s">
        <v>933</v>
      </c>
      <c r="E210" s="633"/>
      <c r="F210" s="634" t="s">
        <v>921</v>
      </c>
      <c r="G210" s="635"/>
      <c r="H210" s="635"/>
      <c r="I210" s="636"/>
      <c r="J210" s="349" t="s">
        <v>68</v>
      </c>
      <c r="K210" s="637">
        <v>68425</v>
      </c>
      <c r="L210" s="638"/>
      <c r="M210" s="349">
        <v>5</v>
      </c>
      <c r="N210" s="347">
        <f t="shared" ref="N210:N214" si="26">ROUND(K210*M210,0)</f>
        <v>342125</v>
      </c>
      <c r="O210" s="326">
        <f t="shared" si="25"/>
        <v>1</v>
      </c>
    </row>
    <row r="211" spans="2:15" ht="27" customHeight="1" x14ac:dyDescent="0.2">
      <c r="B211" s="371">
        <v>9985</v>
      </c>
      <c r="C211" s="372" t="s">
        <v>934</v>
      </c>
      <c r="D211" s="632" t="s">
        <v>935</v>
      </c>
      <c r="E211" s="633"/>
      <c r="F211" s="645" t="s">
        <v>921</v>
      </c>
      <c r="G211" s="646"/>
      <c r="H211" s="646"/>
      <c r="I211" s="647"/>
      <c r="J211" s="349" t="s">
        <v>68</v>
      </c>
      <c r="K211" s="637">
        <v>68425</v>
      </c>
      <c r="L211" s="638"/>
      <c r="M211" s="349">
        <v>10</v>
      </c>
      <c r="N211" s="347">
        <f>ROUND(K211*M211,0)</f>
        <v>684250</v>
      </c>
      <c r="O211" s="326">
        <f t="shared" si="25"/>
        <v>1</v>
      </c>
    </row>
    <row r="212" spans="2:15" ht="27" customHeight="1" x14ac:dyDescent="0.2">
      <c r="B212" s="371">
        <v>9985</v>
      </c>
      <c r="C212" s="372" t="s">
        <v>936</v>
      </c>
      <c r="D212" s="632" t="s">
        <v>937</v>
      </c>
      <c r="E212" s="633"/>
      <c r="F212" s="645" t="s">
        <v>921</v>
      </c>
      <c r="G212" s="646"/>
      <c r="H212" s="646"/>
      <c r="I212" s="647"/>
      <c r="J212" s="349" t="s">
        <v>68</v>
      </c>
      <c r="K212" s="637">
        <v>68425</v>
      </c>
      <c r="L212" s="638"/>
      <c r="M212" s="349">
        <v>5</v>
      </c>
      <c r="N212" s="347">
        <f t="shared" si="26"/>
        <v>342125</v>
      </c>
      <c r="O212" s="326">
        <f t="shared" si="25"/>
        <v>1</v>
      </c>
    </row>
    <row r="213" spans="2:15" ht="27" customHeight="1" x14ac:dyDescent="0.2">
      <c r="B213" s="371">
        <v>9985</v>
      </c>
      <c r="C213" s="372" t="s">
        <v>938</v>
      </c>
      <c r="D213" s="632" t="s">
        <v>939</v>
      </c>
      <c r="E213" s="633"/>
      <c r="F213" s="645" t="s">
        <v>921</v>
      </c>
      <c r="G213" s="646"/>
      <c r="H213" s="646"/>
      <c r="I213" s="647"/>
      <c r="J213" s="349" t="s">
        <v>68</v>
      </c>
      <c r="K213" s="637">
        <v>68425</v>
      </c>
      <c r="L213" s="638"/>
      <c r="M213" s="349">
        <v>5</v>
      </c>
      <c r="N213" s="347">
        <f t="shared" si="26"/>
        <v>342125</v>
      </c>
      <c r="O213" s="326">
        <f t="shared" si="25"/>
        <v>1</v>
      </c>
    </row>
    <row r="214" spans="2:15" ht="27" customHeight="1" x14ac:dyDescent="0.2">
      <c r="B214" s="371">
        <v>9985</v>
      </c>
      <c r="C214" s="372" t="s">
        <v>940</v>
      </c>
      <c r="D214" s="632" t="s">
        <v>941</v>
      </c>
      <c r="E214" s="633"/>
      <c r="F214" s="645" t="s">
        <v>921</v>
      </c>
      <c r="G214" s="646"/>
      <c r="H214" s="646"/>
      <c r="I214" s="647"/>
      <c r="J214" s="349" t="s">
        <v>68</v>
      </c>
      <c r="K214" s="637">
        <v>68425</v>
      </c>
      <c r="L214" s="638"/>
      <c r="M214" s="349">
        <v>5</v>
      </c>
      <c r="N214" s="347">
        <f t="shared" si="26"/>
        <v>342125</v>
      </c>
      <c r="O214" s="326">
        <f t="shared" si="25"/>
        <v>1</v>
      </c>
    </row>
    <row r="215" spans="2:15" ht="27" customHeight="1" x14ac:dyDescent="0.2">
      <c r="B215" s="371">
        <v>9985</v>
      </c>
      <c r="C215" s="372" t="s">
        <v>942</v>
      </c>
      <c r="D215" s="632" t="s">
        <v>943</v>
      </c>
      <c r="E215" s="633"/>
      <c r="F215" s="634" t="s">
        <v>921</v>
      </c>
      <c r="G215" s="635"/>
      <c r="H215" s="635"/>
      <c r="I215" s="636"/>
      <c r="J215" s="349" t="s">
        <v>68</v>
      </c>
      <c r="K215" s="637">
        <v>68425</v>
      </c>
      <c r="L215" s="638"/>
      <c r="M215" s="349">
        <v>5</v>
      </c>
      <c r="N215" s="347">
        <f>ROUND(K215*M215,0)</f>
        <v>342125</v>
      </c>
      <c r="O215" s="326">
        <f t="shared" si="25"/>
        <v>1</v>
      </c>
    </row>
    <row r="216" spans="2:15" ht="27" customHeight="1" x14ac:dyDescent="0.2">
      <c r="B216" s="371">
        <v>9985</v>
      </c>
      <c r="C216" s="372" t="s">
        <v>944</v>
      </c>
      <c r="D216" s="632" t="s">
        <v>945</v>
      </c>
      <c r="E216" s="633"/>
      <c r="F216" s="634" t="s">
        <v>921</v>
      </c>
      <c r="G216" s="635"/>
      <c r="H216" s="635"/>
      <c r="I216" s="636"/>
      <c r="J216" s="349" t="s">
        <v>68</v>
      </c>
      <c r="K216" s="637">
        <v>68425</v>
      </c>
      <c r="L216" s="638"/>
      <c r="M216" s="349">
        <v>5</v>
      </c>
      <c r="N216" s="347">
        <f t="shared" ref="N216:N220" si="27">ROUND(K216*M216,0)</f>
        <v>342125</v>
      </c>
      <c r="O216" s="326">
        <f t="shared" si="25"/>
        <v>1</v>
      </c>
    </row>
    <row r="217" spans="2:15" ht="27" customHeight="1" x14ac:dyDescent="0.2">
      <c r="B217" s="371">
        <v>9985</v>
      </c>
      <c r="C217" s="372" t="s">
        <v>946</v>
      </c>
      <c r="D217" s="632" t="s">
        <v>947</v>
      </c>
      <c r="E217" s="633"/>
      <c r="F217" s="645" t="s">
        <v>921</v>
      </c>
      <c r="G217" s="646"/>
      <c r="H217" s="646"/>
      <c r="I217" s="647"/>
      <c r="J217" s="349" t="s">
        <v>68</v>
      </c>
      <c r="K217" s="637">
        <v>68425</v>
      </c>
      <c r="L217" s="638"/>
      <c r="M217" s="349">
        <v>5</v>
      </c>
      <c r="N217" s="347">
        <f t="shared" si="27"/>
        <v>342125</v>
      </c>
      <c r="O217" s="326">
        <f t="shared" si="25"/>
        <v>1</v>
      </c>
    </row>
    <row r="218" spans="2:15" ht="27" customHeight="1" x14ac:dyDescent="0.2">
      <c r="B218" s="371">
        <v>9985</v>
      </c>
      <c r="C218" s="372" t="s">
        <v>948</v>
      </c>
      <c r="D218" s="632" t="s">
        <v>949</v>
      </c>
      <c r="E218" s="633"/>
      <c r="F218" s="645" t="s">
        <v>921</v>
      </c>
      <c r="G218" s="646"/>
      <c r="H218" s="646"/>
      <c r="I218" s="647"/>
      <c r="J218" s="349" t="s">
        <v>68</v>
      </c>
      <c r="K218" s="637">
        <v>68425</v>
      </c>
      <c r="L218" s="638"/>
      <c r="M218" s="349">
        <v>5</v>
      </c>
      <c r="N218" s="347">
        <f t="shared" si="27"/>
        <v>342125</v>
      </c>
      <c r="O218" s="326">
        <f t="shared" si="25"/>
        <v>1</v>
      </c>
    </row>
    <row r="219" spans="2:15" ht="27" customHeight="1" x14ac:dyDescent="0.2">
      <c r="B219" s="371">
        <v>9985</v>
      </c>
      <c r="C219" s="372" t="s">
        <v>950</v>
      </c>
      <c r="D219" s="632" t="s">
        <v>951</v>
      </c>
      <c r="E219" s="633"/>
      <c r="F219" s="645" t="s">
        <v>921</v>
      </c>
      <c r="G219" s="646"/>
      <c r="H219" s="646"/>
      <c r="I219" s="647"/>
      <c r="J219" s="349" t="s">
        <v>68</v>
      </c>
      <c r="K219" s="637">
        <v>68425</v>
      </c>
      <c r="L219" s="638"/>
      <c r="M219" s="349">
        <v>5</v>
      </c>
      <c r="N219" s="347">
        <f t="shared" si="27"/>
        <v>342125</v>
      </c>
      <c r="O219" s="326">
        <f t="shared" si="25"/>
        <v>1</v>
      </c>
    </row>
    <row r="220" spans="2:15" ht="27" customHeight="1" x14ac:dyDescent="0.2">
      <c r="B220" s="371">
        <v>9985</v>
      </c>
      <c r="C220" s="372" t="s">
        <v>952</v>
      </c>
      <c r="D220" s="632" t="s">
        <v>953</v>
      </c>
      <c r="E220" s="633"/>
      <c r="F220" s="645" t="s">
        <v>921</v>
      </c>
      <c r="G220" s="646"/>
      <c r="H220" s="646"/>
      <c r="I220" s="647"/>
      <c r="J220" s="349" t="s">
        <v>68</v>
      </c>
      <c r="K220" s="637">
        <v>68425</v>
      </c>
      <c r="L220" s="638"/>
      <c r="M220" s="349">
        <v>5</v>
      </c>
      <c r="N220" s="347">
        <f t="shared" si="27"/>
        <v>342125</v>
      </c>
      <c r="O220" s="326">
        <f t="shared" si="25"/>
        <v>1</v>
      </c>
    </row>
    <row r="221" spans="2:15" ht="27" customHeight="1" x14ac:dyDescent="0.2">
      <c r="B221" s="371">
        <v>9985</v>
      </c>
      <c r="C221" s="372" t="s">
        <v>954</v>
      </c>
      <c r="D221" s="632" t="s">
        <v>955</v>
      </c>
      <c r="E221" s="633"/>
      <c r="F221" s="634" t="s">
        <v>921</v>
      </c>
      <c r="G221" s="635"/>
      <c r="H221" s="635"/>
      <c r="I221" s="636"/>
      <c r="J221" s="349" t="s">
        <v>68</v>
      </c>
      <c r="K221" s="637">
        <v>68425</v>
      </c>
      <c r="L221" s="638"/>
      <c r="M221" s="349">
        <v>5</v>
      </c>
      <c r="N221" s="347">
        <f>ROUND(K221*M221,0)</f>
        <v>342125</v>
      </c>
      <c r="O221" s="326">
        <f t="shared" si="25"/>
        <v>1</v>
      </c>
    </row>
    <row r="222" spans="2:15" ht="27" customHeight="1" x14ac:dyDescent="0.2">
      <c r="B222" s="371">
        <v>9985</v>
      </c>
      <c r="C222" s="372" t="s">
        <v>956</v>
      </c>
      <c r="D222" s="632" t="s">
        <v>957</v>
      </c>
      <c r="E222" s="633"/>
      <c r="F222" s="634" t="s">
        <v>921</v>
      </c>
      <c r="G222" s="635"/>
      <c r="H222" s="635"/>
      <c r="I222" s="636"/>
      <c r="J222" s="349" t="s">
        <v>68</v>
      </c>
      <c r="K222" s="637">
        <v>68425</v>
      </c>
      <c r="L222" s="638"/>
      <c r="M222" s="349">
        <v>5</v>
      </c>
      <c r="N222" s="347">
        <f t="shared" ref="N222" si="28">ROUND(K222*M222,0)</f>
        <v>342125</v>
      </c>
      <c r="O222" s="326">
        <f t="shared" si="25"/>
        <v>1</v>
      </c>
    </row>
    <row r="223" spans="2:15" ht="27" customHeight="1" x14ac:dyDescent="0.2">
      <c r="B223" s="371">
        <v>9985</v>
      </c>
      <c r="C223" s="372" t="s">
        <v>958</v>
      </c>
      <c r="D223" s="632" t="s">
        <v>959</v>
      </c>
      <c r="E223" s="633"/>
      <c r="F223" s="645" t="s">
        <v>921</v>
      </c>
      <c r="G223" s="646"/>
      <c r="H223" s="646"/>
      <c r="I223" s="647"/>
      <c r="J223" s="349" t="s">
        <v>68</v>
      </c>
      <c r="K223" s="637">
        <v>68425</v>
      </c>
      <c r="L223" s="638"/>
      <c r="M223" s="349">
        <v>5</v>
      </c>
      <c r="N223" s="347">
        <f t="shared" si="24"/>
        <v>342125</v>
      </c>
      <c r="O223" s="326">
        <f t="shared" si="25"/>
        <v>1</v>
      </c>
    </row>
    <row r="224" spans="2:15" ht="27" customHeight="1" x14ac:dyDescent="0.2">
      <c r="B224" s="371">
        <v>9985</v>
      </c>
      <c r="C224" s="372" t="s">
        <v>960</v>
      </c>
      <c r="D224" s="632" t="s">
        <v>961</v>
      </c>
      <c r="E224" s="633"/>
      <c r="F224" s="645" t="s">
        <v>921</v>
      </c>
      <c r="G224" s="646"/>
      <c r="H224" s="646"/>
      <c r="I224" s="647"/>
      <c r="J224" s="349" t="s">
        <v>68</v>
      </c>
      <c r="K224" s="637">
        <v>68425</v>
      </c>
      <c r="L224" s="638"/>
      <c r="M224" s="349">
        <v>5</v>
      </c>
      <c r="N224" s="347">
        <f t="shared" si="24"/>
        <v>342125</v>
      </c>
      <c r="O224" s="326">
        <f t="shared" si="25"/>
        <v>1</v>
      </c>
    </row>
    <row r="225" spans="2:15" ht="27" customHeight="1" x14ac:dyDescent="0.2">
      <c r="B225" s="371">
        <v>9985</v>
      </c>
      <c r="C225" s="372" t="s">
        <v>962</v>
      </c>
      <c r="D225" s="632" t="s">
        <v>963</v>
      </c>
      <c r="E225" s="633"/>
      <c r="F225" s="645" t="s">
        <v>921</v>
      </c>
      <c r="G225" s="646"/>
      <c r="H225" s="646"/>
      <c r="I225" s="647"/>
      <c r="J225" s="349" t="s">
        <v>68</v>
      </c>
      <c r="K225" s="637">
        <v>68425</v>
      </c>
      <c r="L225" s="638"/>
      <c r="M225" s="349">
        <v>5</v>
      </c>
      <c r="N225" s="347">
        <f t="shared" si="24"/>
        <v>342125</v>
      </c>
      <c r="O225" s="326">
        <f t="shared" si="25"/>
        <v>1</v>
      </c>
    </row>
    <row r="226" spans="2:15" ht="27" customHeight="1" x14ac:dyDescent="0.2">
      <c r="B226" s="371">
        <v>9985</v>
      </c>
      <c r="C226" s="372" t="s">
        <v>964</v>
      </c>
      <c r="D226" s="632" t="s">
        <v>965</v>
      </c>
      <c r="E226" s="633"/>
      <c r="F226" s="645" t="s">
        <v>921</v>
      </c>
      <c r="G226" s="646"/>
      <c r="H226" s="646"/>
      <c r="I226" s="647"/>
      <c r="J226" s="349" t="s">
        <v>68</v>
      </c>
      <c r="K226" s="637">
        <v>68425</v>
      </c>
      <c r="L226" s="638"/>
      <c r="M226" s="349">
        <v>0</v>
      </c>
      <c r="N226" s="347">
        <f t="shared" si="24"/>
        <v>0</v>
      </c>
      <c r="O226" s="326">
        <f t="shared" si="25"/>
        <v>0</v>
      </c>
    </row>
    <row r="227" spans="2:15" ht="27" customHeight="1" x14ac:dyDescent="0.2">
      <c r="B227" s="371">
        <v>9985</v>
      </c>
      <c r="C227" s="372" t="s">
        <v>966</v>
      </c>
      <c r="D227" s="632" t="s">
        <v>967</v>
      </c>
      <c r="E227" s="633"/>
      <c r="F227" s="634" t="s">
        <v>921</v>
      </c>
      <c r="G227" s="635"/>
      <c r="H227" s="635"/>
      <c r="I227" s="636"/>
      <c r="J227" s="349" t="s">
        <v>68</v>
      </c>
      <c r="K227" s="637">
        <v>68425</v>
      </c>
      <c r="L227" s="638"/>
      <c r="M227" s="349">
        <v>5</v>
      </c>
      <c r="N227" s="347">
        <f>ROUND(K227*M227,0)</f>
        <v>342125</v>
      </c>
      <c r="O227" s="326">
        <f t="shared" si="25"/>
        <v>1</v>
      </c>
    </row>
    <row r="228" spans="2:15" ht="27" customHeight="1" x14ac:dyDescent="0.2">
      <c r="B228" s="371">
        <v>9985</v>
      </c>
      <c r="C228" s="372" t="s">
        <v>968</v>
      </c>
      <c r="D228" s="645" t="s">
        <v>969</v>
      </c>
      <c r="E228" s="647"/>
      <c r="F228" s="634" t="s">
        <v>921</v>
      </c>
      <c r="G228" s="635"/>
      <c r="H228" s="635"/>
      <c r="I228" s="636"/>
      <c r="J228" s="349" t="s">
        <v>68</v>
      </c>
      <c r="K228" s="637">
        <v>68425</v>
      </c>
      <c r="L228" s="638"/>
      <c r="M228" s="349">
        <v>1</v>
      </c>
      <c r="N228" s="347">
        <f t="shared" ref="N228:N231" si="29">ROUND(K228*M228,0)</f>
        <v>68425</v>
      </c>
      <c r="O228" s="326">
        <f t="shared" si="25"/>
        <v>1</v>
      </c>
    </row>
    <row r="229" spans="2:15" ht="27" customHeight="1" x14ac:dyDescent="0.2">
      <c r="B229" s="371">
        <v>9985</v>
      </c>
      <c r="C229" s="372" t="s">
        <v>970</v>
      </c>
      <c r="D229" s="632" t="s">
        <v>971</v>
      </c>
      <c r="E229" s="633"/>
      <c r="F229" s="645" t="s">
        <v>921</v>
      </c>
      <c r="G229" s="646"/>
      <c r="H229" s="646"/>
      <c r="I229" s="647"/>
      <c r="J229" s="349" t="s">
        <v>68</v>
      </c>
      <c r="K229" s="637">
        <v>68425</v>
      </c>
      <c r="L229" s="638"/>
      <c r="M229" s="349">
        <v>1</v>
      </c>
      <c r="N229" s="347">
        <f t="shared" si="29"/>
        <v>68425</v>
      </c>
      <c r="O229" s="326">
        <f t="shared" si="25"/>
        <v>1</v>
      </c>
    </row>
    <row r="230" spans="2:15" ht="27" customHeight="1" x14ac:dyDescent="0.2">
      <c r="B230" s="371">
        <v>9985</v>
      </c>
      <c r="C230" s="372" t="s">
        <v>972</v>
      </c>
      <c r="D230" s="632" t="s">
        <v>973</v>
      </c>
      <c r="E230" s="633"/>
      <c r="F230" s="645" t="s">
        <v>921</v>
      </c>
      <c r="G230" s="646"/>
      <c r="H230" s="646"/>
      <c r="I230" s="647"/>
      <c r="J230" s="349" t="s">
        <v>68</v>
      </c>
      <c r="K230" s="637">
        <v>68425</v>
      </c>
      <c r="L230" s="638"/>
      <c r="M230" s="349">
        <v>1</v>
      </c>
      <c r="N230" s="347">
        <f t="shared" si="29"/>
        <v>68425</v>
      </c>
      <c r="O230" s="326">
        <f t="shared" si="25"/>
        <v>1</v>
      </c>
    </row>
    <row r="231" spans="2:15" ht="27" customHeight="1" x14ac:dyDescent="0.2">
      <c r="B231" s="371">
        <v>9985</v>
      </c>
      <c r="C231" s="372" t="s">
        <v>974</v>
      </c>
      <c r="D231" s="632" t="s">
        <v>975</v>
      </c>
      <c r="E231" s="633"/>
      <c r="F231" s="645" t="s">
        <v>921</v>
      </c>
      <c r="G231" s="646"/>
      <c r="H231" s="646"/>
      <c r="I231" s="647"/>
      <c r="J231" s="349" t="s">
        <v>68</v>
      </c>
      <c r="K231" s="637">
        <v>68425</v>
      </c>
      <c r="L231" s="638"/>
      <c r="M231" s="349">
        <v>1</v>
      </c>
      <c r="N231" s="347">
        <f t="shared" si="29"/>
        <v>68425</v>
      </c>
      <c r="O231" s="326">
        <f t="shared" si="25"/>
        <v>1</v>
      </c>
    </row>
    <row r="232" spans="2:15" ht="27" customHeight="1" x14ac:dyDescent="0.2">
      <c r="B232" s="371">
        <v>9985</v>
      </c>
      <c r="C232" s="372" t="s">
        <v>976</v>
      </c>
      <c r="D232" s="632" t="s">
        <v>977</v>
      </c>
      <c r="E232" s="633"/>
      <c r="F232" s="634" t="s">
        <v>921</v>
      </c>
      <c r="G232" s="635"/>
      <c r="H232" s="635"/>
      <c r="I232" s="636"/>
      <c r="J232" s="349" t="s">
        <v>68</v>
      </c>
      <c r="K232" s="637">
        <v>68425</v>
      </c>
      <c r="L232" s="638"/>
      <c r="M232" s="349">
        <v>1</v>
      </c>
      <c r="N232" s="347">
        <f>ROUND(K232*M232,0)</f>
        <v>68425</v>
      </c>
      <c r="O232" s="326">
        <f t="shared" si="25"/>
        <v>1</v>
      </c>
    </row>
    <row r="233" spans="2:15" ht="27" customHeight="1" x14ac:dyDescent="0.2">
      <c r="B233" s="371">
        <v>9985</v>
      </c>
      <c r="C233" s="372" t="s">
        <v>978</v>
      </c>
      <c r="D233" s="632" t="s">
        <v>979</v>
      </c>
      <c r="E233" s="633"/>
      <c r="F233" s="634" t="s">
        <v>921</v>
      </c>
      <c r="G233" s="635"/>
      <c r="H233" s="635"/>
      <c r="I233" s="636"/>
      <c r="J233" s="349" t="s">
        <v>68</v>
      </c>
      <c r="K233" s="637">
        <v>68425</v>
      </c>
      <c r="L233" s="638"/>
      <c r="M233" s="349">
        <v>0</v>
      </c>
      <c r="N233" s="347">
        <f t="shared" ref="N233:N236" si="30">ROUND(K233*M233,0)</f>
        <v>0</v>
      </c>
      <c r="O233" s="326">
        <f t="shared" si="25"/>
        <v>0</v>
      </c>
    </row>
    <row r="234" spans="2:15" ht="27" customHeight="1" x14ac:dyDescent="0.2">
      <c r="B234" s="371">
        <v>9985</v>
      </c>
      <c r="C234" s="372" t="s">
        <v>980</v>
      </c>
      <c r="D234" s="632" t="s">
        <v>981</v>
      </c>
      <c r="E234" s="633"/>
      <c r="F234" s="645" t="s">
        <v>921</v>
      </c>
      <c r="G234" s="646"/>
      <c r="H234" s="646"/>
      <c r="I234" s="647"/>
      <c r="J234" s="349" t="s">
        <v>68</v>
      </c>
      <c r="K234" s="637">
        <v>68425</v>
      </c>
      <c r="L234" s="638"/>
      <c r="M234" s="349">
        <v>1</v>
      </c>
      <c r="N234" s="347">
        <f t="shared" si="30"/>
        <v>68425</v>
      </c>
      <c r="O234" s="326">
        <f t="shared" si="25"/>
        <v>1</v>
      </c>
    </row>
    <row r="235" spans="2:15" ht="27" customHeight="1" x14ac:dyDescent="0.2">
      <c r="B235" s="371">
        <v>9985</v>
      </c>
      <c r="C235" s="372" t="s">
        <v>982</v>
      </c>
      <c r="D235" s="632" t="s">
        <v>983</v>
      </c>
      <c r="E235" s="633"/>
      <c r="F235" s="645" t="s">
        <v>921</v>
      </c>
      <c r="G235" s="646"/>
      <c r="H235" s="646"/>
      <c r="I235" s="647"/>
      <c r="J235" s="349" t="s">
        <v>68</v>
      </c>
      <c r="K235" s="637">
        <v>68425</v>
      </c>
      <c r="L235" s="638"/>
      <c r="M235" s="349">
        <v>1</v>
      </c>
      <c r="N235" s="347">
        <f t="shared" si="30"/>
        <v>68425</v>
      </c>
      <c r="O235" s="326">
        <f t="shared" si="25"/>
        <v>1</v>
      </c>
    </row>
    <row r="236" spans="2:15" ht="27" customHeight="1" x14ac:dyDescent="0.2">
      <c r="B236" s="371">
        <v>9985</v>
      </c>
      <c r="C236" s="372" t="s">
        <v>984</v>
      </c>
      <c r="D236" s="632" t="s">
        <v>985</v>
      </c>
      <c r="E236" s="633"/>
      <c r="F236" s="645" t="s">
        <v>921</v>
      </c>
      <c r="G236" s="646"/>
      <c r="H236" s="646"/>
      <c r="I236" s="647"/>
      <c r="J236" s="349" t="s">
        <v>68</v>
      </c>
      <c r="K236" s="637">
        <v>68425</v>
      </c>
      <c r="L236" s="638"/>
      <c r="M236" s="349">
        <v>1</v>
      </c>
      <c r="N236" s="347">
        <f t="shared" si="30"/>
        <v>68425</v>
      </c>
      <c r="O236" s="326">
        <f t="shared" si="25"/>
        <v>1</v>
      </c>
    </row>
    <row r="237" spans="2:15" ht="27" customHeight="1" x14ac:dyDescent="0.2">
      <c r="B237" s="371">
        <v>9985</v>
      </c>
      <c r="C237" s="372" t="s">
        <v>986</v>
      </c>
      <c r="D237" s="632" t="s">
        <v>987</v>
      </c>
      <c r="E237" s="633"/>
      <c r="F237" s="634" t="s">
        <v>921</v>
      </c>
      <c r="G237" s="635"/>
      <c r="H237" s="635"/>
      <c r="I237" s="636"/>
      <c r="J237" s="349" t="s">
        <v>68</v>
      </c>
      <c r="K237" s="637">
        <v>68425</v>
      </c>
      <c r="L237" s="638"/>
      <c r="M237" s="349">
        <v>1</v>
      </c>
      <c r="N237" s="347">
        <f>ROUND(K237*M237,0)</f>
        <v>68425</v>
      </c>
      <c r="O237" s="326">
        <f t="shared" si="25"/>
        <v>1</v>
      </c>
    </row>
    <row r="238" spans="2:15" ht="27" customHeight="1" x14ac:dyDescent="0.2">
      <c r="B238" s="371">
        <v>9985</v>
      </c>
      <c r="C238" s="372" t="s">
        <v>988</v>
      </c>
      <c r="D238" s="632" t="s">
        <v>989</v>
      </c>
      <c r="E238" s="633"/>
      <c r="F238" s="634" t="s">
        <v>921</v>
      </c>
      <c r="G238" s="635"/>
      <c r="H238" s="635"/>
      <c r="I238" s="636"/>
      <c r="J238" s="349" t="s">
        <v>68</v>
      </c>
      <c r="K238" s="637">
        <v>68425</v>
      </c>
      <c r="L238" s="638"/>
      <c r="M238" s="349">
        <f>M235+1</f>
        <v>2</v>
      </c>
      <c r="N238" s="347">
        <f t="shared" ref="N238" si="31">ROUND(K238*M238,0)</f>
        <v>136850</v>
      </c>
      <c r="O238" s="326">
        <f t="shared" si="25"/>
        <v>1</v>
      </c>
    </row>
    <row r="239" spans="2:15" ht="15" x14ac:dyDescent="0.2">
      <c r="B239" s="371">
        <v>7555</v>
      </c>
      <c r="C239" s="372" t="s">
        <v>990</v>
      </c>
      <c r="D239" s="639"/>
      <c r="E239" s="640"/>
      <c r="F239" s="645" t="s">
        <v>742</v>
      </c>
      <c r="G239" s="646"/>
      <c r="H239" s="646"/>
      <c r="I239" s="647"/>
      <c r="J239" s="349" t="s">
        <v>68</v>
      </c>
      <c r="K239" s="637">
        <v>37188</v>
      </c>
      <c r="L239" s="638"/>
      <c r="M239" s="349">
        <v>1</v>
      </c>
      <c r="N239" s="347">
        <f t="shared" si="24"/>
        <v>37188</v>
      </c>
      <c r="O239" s="326">
        <f t="shared" si="25"/>
        <v>1</v>
      </c>
    </row>
    <row r="240" spans="2:15" ht="15" x14ac:dyDescent="0.2">
      <c r="B240" s="371">
        <v>7571</v>
      </c>
      <c r="C240" s="372" t="s">
        <v>991</v>
      </c>
      <c r="D240" s="641"/>
      <c r="E240" s="642"/>
      <c r="F240" s="645" t="s">
        <v>992</v>
      </c>
      <c r="G240" s="646"/>
      <c r="H240" s="646"/>
      <c r="I240" s="647"/>
      <c r="J240" s="349" t="s">
        <v>68</v>
      </c>
      <c r="K240" s="637">
        <v>89250</v>
      </c>
      <c r="L240" s="638"/>
      <c r="M240" s="349">
        <v>5</v>
      </c>
      <c r="N240" s="347">
        <f t="shared" si="24"/>
        <v>446250</v>
      </c>
      <c r="O240" s="326">
        <f t="shared" si="25"/>
        <v>1</v>
      </c>
    </row>
    <row r="241" spans="1:15" ht="52.5" customHeight="1" x14ac:dyDescent="0.2">
      <c r="B241" s="373">
        <v>5166</v>
      </c>
      <c r="C241" s="372" t="s">
        <v>993</v>
      </c>
      <c r="D241" s="643"/>
      <c r="E241" s="644"/>
      <c r="F241" s="634" t="s">
        <v>994</v>
      </c>
      <c r="G241" s="635"/>
      <c r="H241" s="635"/>
      <c r="I241" s="636"/>
      <c r="J241" s="349" t="s">
        <v>995</v>
      </c>
      <c r="K241" s="637">
        <v>6003</v>
      </c>
      <c r="L241" s="638"/>
      <c r="M241" s="349">
        <f>M240*5*ROUNDUP($E$6,0)</f>
        <v>150</v>
      </c>
      <c r="N241" s="347">
        <f>ROUND(K241*M241,0)</f>
        <v>900450</v>
      </c>
      <c r="O241" s="326">
        <f t="shared" si="25"/>
        <v>1</v>
      </c>
    </row>
    <row r="242" spans="1:15" x14ac:dyDescent="0.2">
      <c r="B242" s="623" t="str">
        <f>"SUBTOTAL "&amp;D202</f>
        <v xml:space="preserve">SUBTOTAL PROGRAMACION DE SEÑALIZACION DE SEGURIDAD </v>
      </c>
      <c r="C242" s="623"/>
      <c r="D242" s="623"/>
      <c r="E242" s="623"/>
      <c r="F242" s="623"/>
      <c r="G242" s="623"/>
      <c r="H242" s="623"/>
      <c r="I242" s="623"/>
      <c r="J242" s="623"/>
      <c r="K242" s="623"/>
      <c r="L242" s="623"/>
      <c r="M242" s="623"/>
      <c r="N242" s="357">
        <f>SUM(N204:N241)</f>
        <v>10005438</v>
      </c>
      <c r="O242" s="326">
        <f t="shared" si="25"/>
        <v>1</v>
      </c>
    </row>
    <row r="243" spans="1:15" ht="10.5" customHeight="1" x14ac:dyDescent="0.2">
      <c r="B243" s="624"/>
      <c r="C243" s="624"/>
      <c r="D243" s="624"/>
      <c r="E243" s="624"/>
      <c r="F243" s="624"/>
      <c r="G243" s="624"/>
      <c r="H243" s="624"/>
      <c r="I243" s="624"/>
      <c r="J243" s="624"/>
      <c r="K243" s="624"/>
      <c r="L243" s="624"/>
      <c r="M243" s="624"/>
      <c r="N243" s="624"/>
      <c r="O243" s="326">
        <v>1</v>
      </c>
    </row>
    <row r="244" spans="1:15" ht="15" x14ac:dyDescent="0.2">
      <c r="B244" s="625" t="str">
        <f>"SUBTOTAL "&amp;B201</f>
        <v xml:space="preserve">SUBTOTAL COMPONENTE E. PROGRAMA DE SEÑALIZACION DE SEGURIDAD </v>
      </c>
      <c r="C244" s="626"/>
      <c r="D244" s="626"/>
      <c r="E244" s="626"/>
      <c r="F244" s="626"/>
      <c r="G244" s="626"/>
      <c r="H244" s="626"/>
      <c r="I244" s="626"/>
      <c r="J244" s="626"/>
      <c r="K244" s="626"/>
      <c r="L244" s="626"/>
      <c r="M244" s="627"/>
      <c r="N244" s="359">
        <f>N242</f>
        <v>10005438</v>
      </c>
      <c r="O244" s="326">
        <v>1</v>
      </c>
    </row>
    <row r="245" spans="1:15" ht="10.5" customHeight="1" x14ac:dyDescent="0.2">
      <c r="B245" s="628"/>
      <c r="C245" s="628"/>
      <c r="D245" s="628"/>
      <c r="E245" s="628"/>
      <c r="F245" s="628"/>
      <c r="G245" s="628"/>
      <c r="H245" s="628"/>
      <c r="I245" s="628"/>
      <c r="J245" s="628"/>
      <c r="K245" s="628"/>
      <c r="L245" s="628"/>
      <c r="M245" s="628"/>
      <c r="N245" s="628"/>
      <c r="O245" s="326">
        <v>1</v>
      </c>
    </row>
    <row r="246" spans="1:15" x14ac:dyDescent="0.2">
      <c r="A246" s="369" t="s">
        <v>718</v>
      </c>
      <c r="B246" s="629" t="str">
        <f>"SUBTOTAL COSTO DIRECTO "&amp;$D$2</f>
        <v xml:space="preserve">SUBTOTAL COSTO DIRECTO </v>
      </c>
      <c r="C246" s="629"/>
      <c r="D246" s="629"/>
      <c r="E246" s="629"/>
      <c r="F246" s="629"/>
      <c r="G246" s="629"/>
      <c r="H246" s="629"/>
      <c r="I246" s="629"/>
      <c r="J246" s="629"/>
      <c r="K246" s="629"/>
      <c r="L246" s="629"/>
      <c r="M246" s="629"/>
      <c r="N246" s="357">
        <f>N32+N93+N144+N244+N199</f>
        <v>188012177</v>
      </c>
      <c r="O246" s="326">
        <v>1</v>
      </c>
    </row>
    <row r="247" spans="1:15" x14ac:dyDescent="0.2">
      <c r="A247" s="369"/>
      <c r="B247" s="630"/>
      <c r="C247" s="631"/>
      <c r="D247" s="631"/>
      <c r="E247" s="631"/>
      <c r="F247" s="631"/>
      <c r="G247" s="631"/>
      <c r="H247" s="631"/>
      <c r="I247" s="631"/>
      <c r="J247" s="631"/>
      <c r="K247" s="631"/>
      <c r="L247" s="631"/>
      <c r="M247" s="631"/>
      <c r="N247" s="631"/>
      <c r="O247" s="326">
        <v>1</v>
      </c>
    </row>
    <row r="248" spans="1:15" x14ac:dyDescent="0.2">
      <c r="A248" s="369" t="s">
        <v>996</v>
      </c>
      <c r="B248" s="615" t="s">
        <v>633</v>
      </c>
      <c r="C248" s="616"/>
      <c r="D248" s="616"/>
      <c r="E248" s="616"/>
      <c r="F248" s="616"/>
      <c r="G248" s="616"/>
      <c r="H248" s="616"/>
      <c r="I248" s="616"/>
      <c r="J248" s="616"/>
      <c r="K248" s="617"/>
      <c r="L248" s="618">
        <f>AIU!K129</f>
        <v>0.128</v>
      </c>
      <c r="M248" s="619"/>
      <c r="N248" s="374">
        <f>ROUND(L248*$N$246,0)</f>
        <v>24065559</v>
      </c>
      <c r="O248" s="326">
        <v>1</v>
      </c>
    </row>
    <row r="249" spans="1:15" x14ac:dyDescent="0.2">
      <c r="A249" s="369" t="s">
        <v>997</v>
      </c>
      <c r="B249" s="615" t="s">
        <v>634</v>
      </c>
      <c r="C249" s="616"/>
      <c r="D249" s="616"/>
      <c r="E249" s="616"/>
      <c r="F249" s="616"/>
      <c r="G249" s="616"/>
      <c r="H249" s="616"/>
      <c r="I249" s="616"/>
      <c r="J249" s="616"/>
      <c r="K249" s="617"/>
      <c r="L249" s="618">
        <f>AIU!K130</f>
        <v>0.01</v>
      </c>
      <c r="M249" s="619"/>
      <c r="N249" s="374">
        <f t="shared" ref="N249:N251" si="32">ROUND(L249*$N$246,0)</f>
        <v>1880122</v>
      </c>
      <c r="O249" s="326">
        <v>1</v>
      </c>
    </row>
    <row r="250" spans="1:15" x14ac:dyDescent="0.2">
      <c r="A250" s="369" t="s">
        <v>998</v>
      </c>
      <c r="B250" s="615" t="s">
        <v>635</v>
      </c>
      <c r="C250" s="616"/>
      <c r="D250" s="616"/>
      <c r="E250" s="616"/>
      <c r="F250" s="616"/>
      <c r="G250" s="616"/>
      <c r="H250" s="616"/>
      <c r="I250" s="616"/>
      <c r="J250" s="616"/>
      <c r="K250" s="617"/>
      <c r="L250" s="618">
        <f>AIU!K131</f>
        <v>4.4999999999999998E-2</v>
      </c>
      <c r="M250" s="619"/>
      <c r="N250" s="374">
        <f t="shared" si="32"/>
        <v>8460548</v>
      </c>
      <c r="O250" s="326">
        <v>1</v>
      </c>
    </row>
    <row r="251" spans="1:15" x14ac:dyDescent="0.2">
      <c r="A251" s="369"/>
      <c r="B251" s="615" t="s">
        <v>636</v>
      </c>
      <c r="C251" s="616"/>
      <c r="D251" s="616"/>
      <c r="E251" s="616"/>
      <c r="F251" s="616"/>
      <c r="G251" s="616"/>
      <c r="H251" s="616"/>
      <c r="I251" s="616"/>
      <c r="J251" s="616"/>
      <c r="K251" s="617"/>
      <c r="L251" s="618">
        <f>SUM(L248:L250)</f>
        <v>0.183</v>
      </c>
      <c r="M251" s="619"/>
      <c r="N251" s="374">
        <f t="shared" si="32"/>
        <v>34406228</v>
      </c>
      <c r="O251" s="326">
        <v>1</v>
      </c>
    </row>
    <row r="252" spans="1:15" ht="10.5" customHeight="1" x14ac:dyDescent="0.2">
      <c r="A252" s="369"/>
      <c r="B252" s="620"/>
      <c r="C252" s="620"/>
      <c r="D252" s="620"/>
      <c r="E252" s="620"/>
      <c r="F252" s="620"/>
      <c r="G252" s="620"/>
      <c r="H252" s="620"/>
      <c r="I252" s="620"/>
      <c r="J252" s="620"/>
      <c r="K252" s="620"/>
      <c r="L252" s="620"/>
      <c r="M252" s="620"/>
      <c r="N252" s="621"/>
      <c r="O252" s="326">
        <v>1</v>
      </c>
    </row>
    <row r="253" spans="1:15" x14ac:dyDescent="0.2">
      <c r="A253" s="369" t="s">
        <v>999</v>
      </c>
      <c r="B253" s="622" t="s">
        <v>1000</v>
      </c>
      <c r="C253" s="622"/>
      <c r="D253" s="622"/>
      <c r="E253" s="622"/>
      <c r="F253" s="622"/>
      <c r="G253" s="622"/>
      <c r="H253" s="622"/>
      <c r="I253" s="622"/>
      <c r="J253" s="622"/>
      <c r="K253" s="622"/>
      <c r="L253" s="618">
        <v>0</v>
      </c>
      <c r="M253" s="619"/>
      <c r="N253" s="375">
        <f>ROUND(L253*N250,0)</f>
        <v>0</v>
      </c>
      <c r="O253" s="326">
        <v>1</v>
      </c>
    </row>
    <row r="254" spans="1:15" ht="12.4" customHeight="1" x14ac:dyDescent="0.2">
      <c r="A254" s="369"/>
      <c r="B254" s="620"/>
      <c r="C254" s="620"/>
      <c r="D254" s="620"/>
      <c r="E254" s="620"/>
      <c r="F254" s="620"/>
      <c r="G254" s="620"/>
      <c r="H254" s="620"/>
      <c r="I254" s="620"/>
      <c r="J254" s="620"/>
      <c r="K254" s="620"/>
      <c r="L254" s="620"/>
      <c r="M254" s="620"/>
      <c r="N254" s="620"/>
      <c r="O254" s="326">
        <v>1</v>
      </c>
    </row>
    <row r="255" spans="1:15" x14ac:dyDescent="0.2">
      <c r="A255" s="376"/>
      <c r="B255" s="614" t="str">
        <f>"TOTAL REDONDEADO "&amp;$D$2</f>
        <v xml:space="preserve">TOTAL REDONDEADO </v>
      </c>
      <c r="C255" s="614"/>
      <c r="D255" s="614"/>
      <c r="E255" s="614"/>
      <c r="F255" s="614"/>
      <c r="G255" s="614"/>
      <c r="H255" s="614"/>
      <c r="I255" s="614"/>
      <c r="J255" s="614"/>
      <c r="K255" s="614"/>
      <c r="L255" s="614"/>
      <c r="M255" s="614"/>
      <c r="N255" s="377">
        <f>ROUND(N253+N251+N246,0)</f>
        <v>222418405</v>
      </c>
      <c r="O255" s="326">
        <v>1</v>
      </c>
    </row>
    <row r="256" spans="1:15" x14ac:dyDescent="0.2">
      <c r="A256" s="369" t="s">
        <v>688</v>
      </c>
      <c r="B256" s="378"/>
      <c r="C256" s="340"/>
      <c r="D256" s="340"/>
      <c r="E256" s="340"/>
      <c r="F256" s="340"/>
      <c r="G256" s="340"/>
      <c r="H256" s="340"/>
      <c r="I256" s="340"/>
      <c r="J256" s="340"/>
      <c r="K256" s="340"/>
      <c r="L256" s="340"/>
      <c r="M256" s="340"/>
      <c r="N256" s="379" t="e">
        <f>COUNTIF(#REF!,"&lt;&gt;"&amp;0)+COUNTIF(#REF!,"&lt;&gt;"&amp;0)+COUNTIF(#REF!,"&lt;&gt;"&amp;0)</f>
        <v>#REF!</v>
      </c>
      <c r="O256" s="326">
        <v>1</v>
      </c>
    </row>
    <row r="257" spans="1:15" x14ac:dyDescent="0.2">
      <c r="A257" s="369" t="s">
        <v>691</v>
      </c>
      <c r="B257" s="378"/>
      <c r="C257" s="340"/>
      <c r="D257" s="340"/>
      <c r="E257" s="340"/>
      <c r="F257" s="340"/>
      <c r="G257" s="340"/>
      <c r="H257" s="340"/>
      <c r="I257" s="340"/>
      <c r="J257" s="340"/>
      <c r="K257" s="340"/>
      <c r="L257" s="340"/>
      <c r="M257" s="340"/>
      <c r="N257" s="379" t="e">
        <f>COUNTIF(#REF!,"&lt;&gt;"&amp;0)+COUNTIF(#REF!,"&lt;&gt;"&amp;0)+COUNTIF(#REF!,"&lt;&gt;"&amp;0)</f>
        <v>#REF!</v>
      </c>
      <c r="O257" s="326">
        <v>1</v>
      </c>
    </row>
    <row r="258" spans="1:15" x14ac:dyDescent="0.2">
      <c r="A258" s="369" t="s">
        <v>1001</v>
      </c>
      <c r="B258" s="378"/>
      <c r="C258" s="340"/>
      <c r="D258" s="340"/>
      <c r="E258" s="340"/>
      <c r="F258" s="340"/>
      <c r="G258" s="340"/>
      <c r="H258" s="340"/>
      <c r="I258" s="340"/>
      <c r="J258" s="340"/>
      <c r="K258" s="340"/>
      <c r="L258" s="340"/>
      <c r="M258" s="340"/>
      <c r="N258" s="340"/>
      <c r="O258" s="380" t="s">
        <v>1002</v>
      </c>
    </row>
  </sheetData>
  <autoFilter ref="A1:O258"/>
  <mergeCells count="524">
    <mergeCell ref="B2:N2"/>
    <mergeCell ref="B3:N3"/>
    <mergeCell ref="B4:N4"/>
    <mergeCell ref="B5:D5"/>
    <mergeCell ref="F5:G5"/>
    <mergeCell ref="B6:D6"/>
    <mergeCell ref="F6:G6"/>
    <mergeCell ref="D14:G14"/>
    <mergeCell ref="D15:G15"/>
    <mergeCell ref="D16:G16"/>
    <mergeCell ref="D17:G17"/>
    <mergeCell ref="D18:G18"/>
    <mergeCell ref="D19:G19"/>
    <mergeCell ref="B7:D7"/>
    <mergeCell ref="F7:G7"/>
    <mergeCell ref="B8:D8"/>
    <mergeCell ref="F8:G8"/>
    <mergeCell ref="B9:N9"/>
    <mergeCell ref="B10:B13"/>
    <mergeCell ref="C10:N10"/>
    <mergeCell ref="D11:N11"/>
    <mergeCell ref="C12:C13"/>
    <mergeCell ref="D12:G13"/>
    <mergeCell ref="C28:C29"/>
    <mergeCell ref="D28:E29"/>
    <mergeCell ref="F28:I28"/>
    <mergeCell ref="K28:L28"/>
    <mergeCell ref="F29:I29"/>
    <mergeCell ref="K29:L29"/>
    <mergeCell ref="D21:G21"/>
    <mergeCell ref="D22:H22"/>
    <mergeCell ref="D23:G23"/>
    <mergeCell ref="B24:M24"/>
    <mergeCell ref="B25:N25"/>
    <mergeCell ref="B26:B27"/>
    <mergeCell ref="D26:N26"/>
    <mergeCell ref="D27:E27"/>
    <mergeCell ref="F27:I27"/>
    <mergeCell ref="K27:L27"/>
    <mergeCell ref="B30:M30"/>
    <mergeCell ref="B31:N31"/>
    <mergeCell ref="B32:M32"/>
    <mergeCell ref="B33:N33"/>
    <mergeCell ref="B34:N34"/>
    <mergeCell ref="B35:B36"/>
    <mergeCell ref="D35:N35"/>
    <mergeCell ref="D36:E36"/>
    <mergeCell ref="F36:I36"/>
    <mergeCell ref="K36:L36"/>
    <mergeCell ref="F41:I41"/>
    <mergeCell ref="K41:L41"/>
    <mergeCell ref="F42:I42"/>
    <mergeCell ref="K42:L42"/>
    <mergeCell ref="B43:M43"/>
    <mergeCell ref="B44:N44"/>
    <mergeCell ref="D37:E37"/>
    <mergeCell ref="F37:I37"/>
    <mergeCell ref="K37:L37"/>
    <mergeCell ref="D38:E42"/>
    <mergeCell ref="F38:I38"/>
    <mergeCell ref="K38:L38"/>
    <mergeCell ref="F39:I39"/>
    <mergeCell ref="K39:L39"/>
    <mergeCell ref="F40:I40"/>
    <mergeCell ref="K40:L40"/>
    <mergeCell ref="B45:B46"/>
    <mergeCell ref="D45:N45"/>
    <mergeCell ref="D46:E46"/>
    <mergeCell ref="F46:I46"/>
    <mergeCell ref="K46:L46"/>
    <mergeCell ref="C47:C50"/>
    <mergeCell ref="D47:E50"/>
    <mergeCell ref="F47:I47"/>
    <mergeCell ref="K47:L47"/>
    <mergeCell ref="F48:I48"/>
    <mergeCell ref="B52:N52"/>
    <mergeCell ref="B53:B54"/>
    <mergeCell ref="D53:N53"/>
    <mergeCell ref="D54:E54"/>
    <mergeCell ref="F54:I54"/>
    <mergeCell ref="K54:L54"/>
    <mergeCell ref="K48:L48"/>
    <mergeCell ref="F49:I49"/>
    <mergeCell ref="K49:L49"/>
    <mergeCell ref="F50:I50"/>
    <mergeCell ref="K50:L50"/>
    <mergeCell ref="B51:M51"/>
    <mergeCell ref="D55:E58"/>
    <mergeCell ref="F55:I55"/>
    <mergeCell ref="K55:L55"/>
    <mergeCell ref="F56:I56"/>
    <mergeCell ref="K56:L56"/>
    <mergeCell ref="F57:I57"/>
    <mergeCell ref="K57:L57"/>
    <mergeCell ref="F58:I58"/>
    <mergeCell ref="K58:L58"/>
    <mergeCell ref="D59:E65"/>
    <mergeCell ref="F59:I59"/>
    <mergeCell ref="K59:L59"/>
    <mergeCell ref="F60:I60"/>
    <mergeCell ref="K60:L60"/>
    <mergeCell ref="F61:I61"/>
    <mergeCell ref="K61:L61"/>
    <mergeCell ref="F62:I62"/>
    <mergeCell ref="K62:L62"/>
    <mergeCell ref="F63:I63"/>
    <mergeCell ref="K63:L63"/>
    <mergeCell ref="F64:I64"/>
    <mergeCell ref="K64:L64"/>
    <mergeCell ref="F65:I65"/>
    <mergeCell ref="K65:L65"/>
    <mergeCell ref="F66:I66"/>
    <mergeCell ref="K66:L66"/>
    <mergeCell ref="F67:I67"/>
    <mergeCell ref="K67:L67"/>
    <mergeCell ref="D76:E76"/>
    <mergeCell ref="F76:I76"/>
    <mergeCell ref="K76:L76"/>
    <mergeCell ref="D77:E77"/>
    <mergeCell ref="F77:I77"/>
    <mergeCell ref="K77:L77"/>
    <mergeCell ref="F71:I71"/>
    <mergeCell ref="K71:L71"/>
    <mergeCell ref="B72:M72"/>
    <mergeCell ref="B73:N73"/>
    <mergeCell ref="B74:B75"/>
    <mergeCell ref="D74:N74"/>
    <mergeCell ref="D75:E75"/>
    <mergeCell ref="F75:I75"/>
    <mergeCell ref="K75:L75"/>
    <mergeCell ref="D66:E71"/>
    <mergeCell ref="F68:I68"/>
    <mergeCell ref="K68:L68"/>
    <mergeCell ref="F69:I69"/>
    <mergeCell ref="K69:L69"/>
    <mergeCell ref="F70:I70"/>
    <mergeCell ref="K70:L70"/>
    <mergeCell ref="D82:E82"/>
    <mergeCell ref="F82:I82"/>
    <mergeCell ref="K82:L82"/>
    <mergeCell ref="D83:E83"/>
    <mergeCell ref="F83:I83"/>
    <mergeCell ref="K83:L83"/>
    <mergeCell ref="B78:M78"/>
    <mergeCell ref="B79:N79"/>
    <mergeCell ref="B80:B81"/>
    <mergeCell ref="D80:N80"/>
    <mergeCell ref="D81:E81"/>
    <mergeCell ref="F81:I81"/>
    <mergeCell ref="K81:L81"/>
    <mergeCell ref="D88:E88"/>
    <mergeCell ref="F88:I88"/>
    <mergeCell ref="K88:L88"/>
    <mergeCell ref="D89:E89"/>
    <mergeCell ref="F89:I89"/>
    <mergeCell ref="K89:L89"/>
    <mergeCell ref="B84:M84"/>
    <mergeCell ref="B85:N85"/>
    <mergeCell ref="B86:B87"/>
    <mergeCell ref="D86:N86"/>
    <mergeCell ref="D87:E87"/>
    <mergeCell ref="F87:I87"/>
    <mergeCell ref="K87:L87"/>
    <mergeCell ref="B94:N94"/>
    <mergeCell ref="B95:N95"/>
    <mergeCell ref="B96:B97"/>
    <mergeCell ref="D96:N96"/>
    <mergeCell ref="D97:E97"/>
    <mergeCell ref="F97:I97"/>
    <mergeCell ref="K97:L97"/>
    <mergeCell ref="D90:E90"/>
    <mergeCell ref="F90:I90"/>
    <mergeCell ref="K90:L90"/>
    <mergeCell ref="B91:M91"/>
    <mergeCell ref="B92:N92"/>
    <mergeCell ref="B93:M93"/>
    <mergeCell ref="D103:E103"/>
    <mergeCell ref="F103:I103"/>
    <mergeCell ref="K103:L103"/>
    <mergeCell ref="D104:E104"/>
    <mergeCell ref="F104:I104"/>
    <mergeCell ref="K104:L104"/>
    <mergeCell ref="D98:E98"/>
    <mergeCell ref="F98:I98"/>
    <mergeCell ref="K98:L98"/>
    <mergeCell ref="B99:M99"/>
    <mergeCell ref="B100:N100"/>
    <mergeCell ref="B101:B102"/>
    <mergeCell ref="D101:N101"/>
    <mergeCell ref="D102:E102"/>
    <mergeCell ref="F102:I102"/>
    <mergeCell ref="K102:L102"/>
    <mergeCell ref="D105:E105"/>
    <mergeCell ref="F105:I105"/>
    <mergeCell ref="K105:L105"/>
    <mergeCell ref="B106:M106"/>
    <mergeCell ref="B107:N107"/>
    <mergeCell ref="B108:B109"/>
    <mergeCell ref="D108:N108"/>
    <mergeCell ref="D109:E109"/>
    <mergeCell ref="F109:I109"/>
    <mergeCell ref="K109:L109"/>
    <mergeCell ref="B112:M112"/>
    <mergeCell ref="B113:N113"/>
    <mergeCell ref="B114:B115"/>
    <mergeCell ref="D114:N114"/>
    <mergeCell ref="D115:E115"/>
    <mergeCell ref="F115:I115"/>
    <mergeCell ref="K115:L115"/>
    <mergeCell ref="D110:E110"/>
    <mergeCell ref="F110:I110"/>
    <mergeCell ref="K110:L110"/>
    <mergeCell ref="D111:E111"/>
    <mergeCell ref="F111:I111"/>
    <mergeCell ref="K111:L111"/>
    <mergeCell ref="D116:E116"/>
    <mergeCell ref="F116:I116"/>
    <mergeCell ref="K116:L116"/>
    <mergeCell ref="B117:M117"/>
    <mergeCell ref="B118:N118"/>
    <mergeCell ref="B119:B120"/>
    <mergeCell ref="D119:N119"/>
    <mergeCell ref="D120:E120"/>
    <mergeCell ref="F120:I120"/>
    <mergeCell ref="K120:L120"/>
    <mergeCell ref="D121:E121"/>
    <mergeCell ref="F121:I121"/>
    <mergeCell ref="K121:L121"/>
    <mergeCell ref="B122:M122"/>
    <mergeCell ref="B123:N123"/>
    <mergeCell ref="B124:B125"/>
    <mergeCell ref="D124:N124"/>
    <mergeCell ref="D125:E125"/>
    <mergeCell ref="F125:I125"/>
    <mergeCell ref="K125:L125"/>
    <mergeCell ref="D126:E126"/>
    <mergeCell ref="F126:I126"/>
    <mergeCell ref="K126:L126"/>
    <mergeCell ref="B127:M127"/>
    <mergeCell ref="B128:N128"/>
    <mergeCell ref="B129:B130"/>
    <mergeCell ref="D129:N129"/>
    <mergeCell ref="D130:E130"/>
    <mergeCell ref="F130:I130"/>
    <mergeCell ref="K130:L130"/>
    <mergeCell ref="D131:E131"/>
    <mergeCell ref="F131:I131"/>
    <mergeCell ref="K131:L131"/>
    <mergeCell ref="B132:M132"/>
    <mergeCell ref="B133:N133"/>
    <mergeCell ref="B134:B135"/>
    <mergeCell ref="D134:N134"/>
    <mergeCell ref="D135:E135"/>
    <mergeCell ref="F135:I135"/>
    <mergeCell ref="K135:L135"/>
    <mergeCell ref="D136:E136"/>
    <mergeCell ref="F136:I136"/>
    <mergeCell ref="K136:L136"/>
    <mergeCell ref="B137:M137"/>
    <mergeCell ref="B138:N138"/>
    <mergeCell ref="B139:B140"/>
    <mergeCell ref="D139:N139"/>
    <mergeCell ref="D140:E140"/>
    <mergeCell ref="F140:I140"/>
    <mergeCell ref="K140:L140"/>
    <mergeCell ref="B145:N145"/>
    <mergeCell ref="B146:N146"/>
    <mergeCell ref="B148:B149"/>
    <mergeCell ref="D148:N148"/>
    <mergeCell ref="D149:E149"/>
    <mergeCell ref="F149:I149"/>
    <mergeCell ref="K149:L149"/>
    <mergeCell ref="D141:E141"/>
    <mergeCell ref="F141:I141"/>
    <mergeCell ref="K141:L141"/>
    <mergeCell ref="B142:M142"/>
    <mergeCell ref="B143:N143"/>
    <mergeCell ref="B144:M144"/>
    <mergeCell ref="K161:L161"/>
    <mergeCell ref="F162:I162"/>
    <mergeCell ref="K162:L162"/>
    <mergeCell ref="K154:L154"/>
    <mergeCell ref="B155:M155"/>
    <mergeCell ref="B156:N156"/>
    <mergeCell ref="B157:B158"/>
    <mergeCell ref="D157:N157"/>
    <mergeCell ref="D158:E158"/>
    <mergeCell ref="F158:I158"/>
    <mergeCell ref="K158:L158"/>
    <mergeCell ref="D150:E154"/>
    <mergeCell ref="F150:I150"/>
    <mergeCell ref="K150:L150"/>
    <mergeCell ref="F151:I151"/>
    <mergeCell ref="K151:L151"/>
    <mergeCell ref="F152:I152"/>
    <mergeCell ref="K152:L152"/>
    <mergeCell ref="F153:I153"/>
    <mergeCell ref="K153:L153"/>
    <mergeCell ref="F154:I154"/>
    <mergeCell ref="F166:I166"/>
    <mergeCell ref="K166:L166"/>
    <mergeCell ref="F167:I167"/>
    <mergeCell ref="K167:L167"/>
    <mergeCell ref="F168:I168"/>
    <mergeCell ref="K168:L168"/>
    <mergeCell ref="F163:I163"/>
    <mergeCell ref="K163:L163"/>
    <mergeCell ref="F164:I164"/>
    <mergeCell ref="K164:L164"/>
    <mergeCell ref="F165:I165"/>
    <mergeCell ref="K165:L165"/>
    <mergeCell ref="F172:I172"/>
    <mergeCell ref="K172:L172"/>
    <mergeCell ref="F173:I173"/>
    <mergeCell ref="K173:L173"/>
    <mergeCell ref="F174:I174"/>
    <mergeCell ref="K174:L174"/>
    <mergeCell ref="F169:I169"/>
    <mergeCell ref="K169:L169"/>
    <mergeCell ref="F170:I170"/>
    <mergeCell ref="K170:L170"/>
    <mergeCell ref="F171:I171"/>
    <mergeCell ref="K171:L171"/>
    <mergeCell ref="B179:M179"/>
    <mergeCell ref="B180:N180"/>
    <mergeCell ref="B181:B182"/>
    <mergeCell ref="D181:N181"/>
    <mergeCell ref="D182:E182"/>
    <mergeCell ref="F182:I182"/>
    <mergeCell ref="K182:L182"/>
    <mergeCell ref="F175:I175"/>
    <mergeCell ref="K175:L175"/>
    <mergeCell ref="C176:C178"/>
    <mergeCell ref="D176:E178"/>
    <mergeCell ref="F176:I176"/>
    <mergeCell ref="K176:L176"/>
    <mergeCell ref="F177:I177"/>
    <mergeCell ref="K177:L177"/>
    <mergeCell ref="F178:I178"/>
    <mergeCell ref="K178:L178"/>
    <mergeCell ref="C159:C175"/>
    <mergeCell ref="D159:E175"/>
    <mergeCell ref="F159:I159"/>
    <mergeCell ref="K159:L159"/>
    <mergeCell ref="F160:I160"/>
    <mergeCell ref="K160:L160"/>
    <mergeCell ref="F161:I161"/>
    <mergeCell ref="B186:M186"/>
    <mergeCell ref="B187:N187"/>
    <mergeCell ref="B188:B189"/>
    <mergeCell ref="D188:N188"/>
    <mergeCell ref="D189:E189"/>
    <mergeCell ref="F189:I189"/>
    <mergeCell ref="K189:L189"/>
    <mergeCell ref="C183:C185"/>
    <mergeCell ref="D183:E185"/>
    <mergeCell ref="F183:I183"/>
    <mergeCell ref="K183:L183"/>
    <mergeCell ref="F184:I184"/>
    <mergeCell ref="K184:L184"/>
    <mergeCell ref="F185:I185"/>
    <mergeCell ref="K185:L185"/>
    <mergeCell ref="D192:E192"/>
    <mergeCell ref="F192:I192"/>
    <mergeCell ref="K192:L192"/>
    <mergeCell ref="D193:E193"/>
    <mergeCell ref="F193:I193"/>
    <mergeCell ref="K193:L193"/>
    <mergeCell ref="D190:E190"/>
    <mergeCell ref="F190:I190"/>
    <mergeCell ref="K190:L190"/>
    <mergeCell ref="D191:E191"/>
    <mergeCell ref="F191:I191"/>
    <mergeCell ref="K191:L191"/>
    <mergeCell ref="D196:E196"/>
    <mergeCell ref="F196:I196"/>
    <mergeCell ref="K196:L196"/>
    <mergeCell ref="B197:M197"/>
    <mergeCell ref="B198:N198"/>
    <mergeCell ref="B199:M199"/>
    <mergeCell ref="D194:E194"/>
    <mergeCell ref="F194:I194"/>
    <mergeCell ref="K194:L194"/>
    <mergeCell ref="D195:E195"/>
    <mergeCell ref="F195:I195"/>
    <mergeCell ref="K195:L195"/>
    <mergeCell ref="D204:E204"/>
    <mergeCell ref="F204:I204"/>
    <mergeCell ref="K204:L204"/>
    <mergeCell ref="D205:E205"/>
    <mergeCell ref="F205:I205"/>
    <mergeCell ref="K205:L205"/>
    <mergeCell ref="B200:N200"/>
    <mergeCell ref="B201:N201"/>
    <mergeCell ref="B202:B203"/>
    <mergeCell ref="D202:N202"/>
    <mergeCell ref="D203:E203"/>
    <mergeCell ref="F203:I203"/>
    <mergeCell ref="K203:L203"/>
    <mergeCell ref="D208:E208"/>
    <mergeCell ref="F208:I208"/>
    <mergeCell ref="K208:L208"/>
    <mergeCell ref="D209:E209"/>
    <mergeCell ref="F209:I209"/>
    <mergeCell ref="K209:L209"/>
    <mergeCell ref="D206:E206"/>
    <mergeCell ref="F206:I206"/>
    <mergeCell ref="K206:L206"/>
    <mergeCell ref="D207:E207"/>
    <mergeCell ref="F207:I207"/>
    <mergeCell ref="K207:L207"/>
    <mergeCell ref="D212:E212"/>
    <mergeCell ref="F212:I212"/>
    <mergeCell ref="K212:L212"/>
    <mergeCell ref="D213:E213"/>
    <mergeCell ref="F213:I213"/>
    <mergeCell ref="K213:L213"/>
    <mergeCell ref="D210:E210"/>
    <mergeCell ref="F210:I210"/>
    <mergeCell ref="K210:L210"/>
    <mergeCell ref="D211:E211"/>
    <mergeCell ref="F211:I211"/>
    <mergeCell ref="K211:L211"/>
    <mergeCell ref="D216:E216"/>
    <mergeCell ref="F216:I216"/>
    <mergeCell ref="K216:L216"/>
    <mergeCell ref="D217:E217"/>
    <mergeCell ref="F217:I217"/>
    <mergeCell ref="K217:L217"/>
    <mergeCell ref="D214:E214"/>
    <mergeCell ref="F214:I214"/>
    <mergeCell ref="K214:L214"/>
    <mergeCell ref="D215:E215"/>
    <mergeCell ref="F215:I215"/>
    <mergeCell ref="K215:L215"/>
    <mergeCell ref="D220:E220"/>
    <mergeCell ref="F220:I220"/>
    <mergeCell ref="K220:L220"/>
    <mergeCell ref="D221:E221"/>
    <mergeCell ref="F221:I221"/>
    <mergeCell ref="K221:L221"/>
    <mergeCell ref="D218:E218"/>
    <mergeCell ref="F218:I218"/>
    <mergeCell ref="K218:L218"/>
    <mergeCell ref="D219:E219"/>
    <mergeCell ref="F219:I219"/>
    <mergeCell ref="K219:L219"/>
    <mergeCell ref="D224:E224"/>
    <mergeCell ref="F224:I224"/>
    <mergeCell ref="K224:L224"/>
    <mergeCell ref="D225:E225"/>
    <mergeCell ref="F225:I225"/>
    <mergeCell ref="K225:L225"/>
    <mergeCell ref="D222:E222"/>
    <mergeCell ref="F222:I222"/>
    <mergeCell ref="K222:L222"/>
    <mergeCell ref="D223:E223"/>
    <mergeCell ref="F223:I223"/>
    <mergeCell ref="K223:L223"/>
    <mergeCell ref="D228:E228"/>
    <mergeCell ref="F228:I228"/>
    <mergeCell ref="K228:L228"/>
    <mergeCell ref="D229:E229"/>
    <mergeCell ref="F229:I229"/>
    <mergeCell ref="K229:L229"/>
    <mergeCell ref="D226:E226"/>
    <mergeCell ref="F226:I226"/>
    <mergeCell ref="K226:L226"/>
    <mergeCell ref="D227:E227"/>
    <mergeCell ref="F227:I227"/>
    <mergeCell ref="K227:L227"/>
    <mergeCell ref="D232:E232"/>
    <mergeCell ref="F232:I232"/>
    <mergeCell ref="K232:L232"/>
    <mergeCell ref="D233:E233"/>
    <mergeCell ref="F233:I233"/>
    <mergeCell ref="K233:L233"/>
    <mergeCell ref="D230:E230"/>
    <mergeCell ref="F230:I230"/>
    <mergeCell ref="K230:L230"/>
    <mergeCell ref="D231:E231"/>
    <mergeCell ref="F231:I231"/>
    <mergeCell ref="K231:L231"/>
    <mergeCell ref="D236:E236"/>
    <mergeCell ref="F236:I236"/>
    <mergeCell ref="K236:L236"/>
    <mergeCell ref="D237:E237"/>
    <mergeCell ref="F237:I237"/>
    <mergeCell ref="K237:L237"/>
    <mergeCell ref="D234:E234"/>
    <mergeCell ref="F234:I234"/>
    <mergeCell ref="K234:L234"/>
    <mergeCell ref="D235:E235"/>
    <mergeCell ref="F235:I235"/>
    <mergeCell ref="K235:L235"/>
    <mergeCell ref="B242:M242"/>
    <mergeCell ref="B243:N243"/>
    <mergeCell ref="B244:M244"/>
    <mergeCell ref="B245:N245"/>
    <mergeCell ref="B246:M246"/>
    <mergeCell ref="B247:N247"/>
    <mergeCell ref="D238:E238"/>
    <mergeCell ref="F238:I238"/>
    <mergeCell ref="K238:L238"/>
    <mergeCell ref="D239:E241"/>
    <mergeCell ref="F239:I239"/>
    <mergeCell ref="K239:L239"/>
    <mergeCell ref="F240:I240"/>
    <mergeCell ref="K240:L240"/>
    <mergeCell ref="F241:I241"/>
    <mergeCell ref="K241:L241"/>
    <mergeCell ref="B255:M255"/>
    <mergeCell ref="B251:K251"/>
    <mergeCell ref="L251:M251"/>
    <mergeCell ref="B252:N252"/>
    <mergeCell ref="B253:K253"/>
    <mergeCell ref="L253:M253"/>
    <mergeCell ref="B254:N254"/>
    <mergeCell ref="B248:K248"/>
    <mergeCell ref="L248:M248"/>
    <mergeCell ref="B249:K249"/>
    <mergeCell ref="L249:M249"/>
    <mergeCell ref="B250:K250"/>
    <mergeCell ref="L250:M250"/>
  </mergeCells>
  <dataValidations count="1">
    <dataValidation type="whole" allowBlank="1" showInputMessage="1" showErrorMessage="1" sqref="O96:O257 O2:O94">
      <formula1>0</formula1>
      <formula2>1</formula2>
    </dataValidation>
  </dataValidations>
  <pageMargins left="0.7" right="0.7" top="0.75" bottom="0.75" header="0.3" footer="0.3"/>
  <pageSetup paperSize="119" scale="63" fitToHeight="0" orientation="landscape" r:id="rId1"/>
  <rowBreaks count="2" manualBreakCount="2">
    <brk id="85" min="1" max="13" man="1"/>
    <brk id="155" min="1" max="1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5" id="{D60FCDE4-7F93-4DEC-B2DF-3738FC494A3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O2:O14</xm:sqref>
        </x14:conditionalFormatting>
        <x14:conditionalFormatting xmlns:xm="http://schemas.microsoft.com/office/excel/2006/main">
          <x14:cfRule type="iconSet" priority="78" id="{998F0015-C51A-4881-92E7-AFF91DC9171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O15:O19 O77</xm:sqref>
        </x14:conditionalFormatting>
        <x14:conditionalFormatting xmlns:xm="http://schemas.microsoft.com/office/excel/2006/main">
          <x14:cfRule type="iconSet" priority="82" id="{CCB05EA6-3569-40E7-9F26-034338F39A6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O20</xm:sqref>
        </x14:conditionalFormatting>
        <x14:conditionalFormatting xmlns:xm="http://schemas.microsoft.com/office/excel/2006/main">
          <x14:cfRule type="iconSet" priority="53" id="{41842D4F-8460-440A-A841-CB56CBFD1EB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O21</xm:sqref>
        </x14:conditionalFormatting>
        <x14:conditionalFormatting xmlns:xm="http://schemas.microsoft.com/office/excel/2006/main">
          <x14:cfRule type="iconSet" priority="81" id="{3660F12A-2664-4D50-AA47-621EBA0003B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O22</xm:sqref>
        </x14:conditionalFormatting>
        <x14:conditionalFormatting xmlns:xm="http://schemas.microsoft.com/office/excel/2006/main">
          <x14:cfRule type="iconSet" priority="79" id="{7AFC35C5-FEC1-457F-ACB3-60F39717785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O23</xm:sqref>
        </x14:conditionalFormatting>
        <x14:conditionalFormatting xmlns:xm="http://schemas.microsoft.com/office/excel/2006/main">
          <x14:cfRule type="iconSet" priority="80" id="{2156EF6D-6655-4CDD-9F27-FB40A5DD841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O24:O26</xm:sqref>
        </x14:conditionalFormatting>
        <x14:conditionalFormatting xmlns:xm="http://schemas.microsoft.com/office/excel/2006/main">
          <x14:cfRule type="iconSet" priority="83" id="{33E5E4E7-B831-46EE-BE58-48AE0B6F5BD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O27</xm:sqref>
        </x14:conditionalFormatting>
        <x14:conditionalFormatting xmlns:xm="http://schemas.microsoft.com/office/excel/2006/main">
          <x14:cfRule type="iconSet" priority="87" id="{2709894D-3663-43C0-A444-86D629C6088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O28:O30</xm:sqref>
        </x14:conditionalFormatting>
        <x14:conditionalFormatting xmlns:xm="http://schemas.microsoft.com/office/excel/2006/main">
          <x14:cfRule type="iconSet" priority="20" id="{7E710D66-495E-4A97-AA85-11E8CADE5B3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O31</xm:sqref>
        </x14:conditionalFormatting>
        <x14:conditionalFormatting xmlns:xm="http://schemas.microsoft.com/office/excel/2006/main">
          <x14:cfRule type="iconSet" priority="77" id="{DAF85EA4-0114-4380-B037-D2376221F6D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O32</xm:sqref>
        </x14:conditionalFormatting>
        <x14:conditionalFormatting xmlns:xm="http://schemas.microsoft.com/office/excel/2006/main">
          <x14:cfRule type="iconSet" priority="90" id="{DF0A132D-C4E8-4942-9614-69FDFC7CB3D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O33:O36 O38:O43 O45</xm:sqref>
        </x14:conditionalFormatting>
        <x14:conditionalFormatting xmlns:xm="http://schemas.microsoft.com/office/excel/2006/main">
          <x14:cfRule type="iconSet" priority="37" id="{5038C0A9-DA4D-48F2-B7EB-79928F92F39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O37</xm:sqref>
        </x14:conditionalFormatting>
        <x14:conditionalFormatting xmlns:xm="http://schemas.microsoft.com/office/excel/2006/main">
          <x14:cfRule type="iconSet" priority="30" id="{B7314627-5755-4CC2-858E-C9E6DCB3E32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O44</xm:sqref>
        </x14:conditionalFormatting>
        <x14:conditionalFormatting xmlns:xm="http://schemas.microsoft.com/office/excel/2006/main">
          <x14:cfRule type="iconSet" priority="76" id="{92BDDA1F-796B-451C-84EB-77B03735EFE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O46</xm:sqref>
        </x14:conditionalFormatting>
        <x14:conditionalFormatting xmlns:xm="http://schemas.microsoft.com/office/excel/2006/main">
          <x14:cfRule type="iconSet" priority="91" id="{56AE8243-57AF-4FB2-A4CC-68696111E50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O47:O50</xm:sqref>
        </x14:conditionalFormatting>
        <x14:conditionalFormatting xmlns:xm="http://schemas.microsoft.com/office/excel/2006/main">
          <x14:cfRule type="iconSet" priority="75" id="{21FF50AF-B619-4F0B-9322-D5DA13E50B2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O51</xm:sqref>
        </x14:conditionalFormatting>
        <x14:conditionalFormatting xmlns:xm="http://schemas.microsoft.com/office/excel/2006/main">
          <x14:cfRule type="iconSet" priority="71" id="{F31166B9-A4DC-4394-8B6B-7B878E5EC9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O52</xm:sqref>
        </x14:conditionalFormatting>
        <x14:conditionalFormatting xmlns:xm="http://schemas.microsoft.com/office/excel/2006/main">
          <x14:cfRule type="iconSet" priority="49" id="{7A845438-8C0C-4B13-AD47-3B906BB628A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O53</xm:sqref>
        </x14:conditionalFormatting>
        <x14:conditionalFormatting xmlns:xm="http://schemas.microsoft.com/office/excel/2006/main">
          <x14:cfRule type="iconSet" priority="50" id="{8C1D45A8-6E50-4643-BBBD-721C30A63F3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O54</xm:sqref>
        </x14:conditionalFormatting>
        <x14:conditionalFormatting xmlns:xm="http://schemas.microsoft.com/office/excel/2006/main">
          <x14:cfRule type="iconSet" priority="51" id="{8B1EA758-7A40-48C3-926F-509BE46F300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O55</xm:sqref>
        </x14:conditionalFormatting>
        <x14:conditionalFormatting xmlns:xm="http://schemas.microsoft.com/office/excel/2006/main">
          <x14:cfRule type="iconSet" priority="23" id="{D743EFD3-B0AE-4FBC-B33B-657E4B822A5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O56</xm:sqref>
        </x14:conditionalFormatting>
        <x14:conditionalFormatting xmlns:xm="http://schemas.microsoft.com/office/excel/2006/main">
          <x14:cfRule type="iconSet" priority="22" id="{116AB11D-9CBC-439B-A1F7-2FF469498CE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O57</xm:sqref>
        </x14:conditionalFormatting>
        <x14:conditionalFormatting xmlns:xm="http://schemas.microsoft.com/office/excel/2006/main">
          <x14:cfRule type="iconSet" priority="24" id="{3C9BB5F2-8C72-4063-8E14-3F6953907A3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O58:O60</xm:sqref>
        </x14:conditionalFormatting>
        <x14:conditionalFormatting xmlns:xm="http://schemas.microsoft.com/office/excel/2006/main">
          <x14:cfRule type="iconSet" priority="26" id="{A0A25D63-B3B5-4823-9E71-2C322EE2BCB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O61</xm:sqref>
        </x14:conditionalFormatting>
        <x14:conditionalFormatting xmlns:xm="http://schemas.microsoft.com/office/excel/2006/main">
          <x14:cfRule type="iconSet" priority="25" id="{D7366422-0BEE-40D7-94C0-2D1AE7EC12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O62</xm:sqref>
        </x14:conditionalFormatting>
        <x14:conditionalFormatting xmlns:xm="http://schemas.microsoft.com/office/excel/2006/main">
          <x14:cfRule type="iconSet" priority="96" id="{8CB58DFD-4683-42CB-B46E-2AD088F6A52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O63:O64</xm:sqref>
        </x14:conditionalFormatting>
        <x14:conditionalFormatting xmlns:xm="http://schemas.microsoft.com/office/excel/2006/main">
          <x14:cfRule type="iconSet" priority="28" id="{60CB3A9D-C7E5-4F8A-8461-43937696BEF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O65</xm:sqref>
        </x14:conditionalFormatting>
        <x14:conditionalFormatting xmlns:xm="http://schemas.microsoft.com/office/excel/2006/main">
          <x14:cfRule type="iconSet" priority="27" id="{230BE783-73BC-46AD-AA64-24CF3857865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O66</xm:sqref>
        </x14:conditionalFormatting>
        <x14:conditionalFormatting xmlns:xm="http://schemas.microsoft.com/office/excel/2006/main">
          <x14:cfRule type="iconSet" priority="29" id="{139E8BFA-99DD-4C8E-98E2-84416AC5CAF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O67:O69</xm:sqref>
        </x14:conditionalFormatting>
        <x14:conditionalFormatting xmlns:xm="http://schemas.microsoft.com/office/excel/2006/main">
          <x14:cfRule type="iconSet" priority="52" id="{C30ED256-8C68-417A-8727-1B16E82B306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O70</xm:sqref>
        </x14:conditionalFormatting>
        <x14:conditionalFormatting xmlns:xm="http://schemas.microsoft.com/office/excel/2006/main">
          <x14:cfRule type="iconSet" priority="47" id="{D3F15258-FAE3-4F72-AC84-74A55588703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O71</xm:sqref>
        </x14:conditionalFormatting>
        <x14:conditionalFormatting xmlns:xm="http://schemas.microsoft.com/office/excel/2006/main">
          <x14:cfRule type="iconSet" priority="93" id="{58F8BF2F-4011-40E6-BB6F-826A2F2EECE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O72</xm:sqref>
        </x14:conditionalFormatting>
        <x14:conditionalFormatting xmlns:xm="http://schemas.microsoft.com/office/excel/2006/main">
          <x14:cfRule type="iconSet" priority="48" id="{9019DCA5-79B8-47FF-8F3A-083475EE062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O73</xm:sqref>
        </x14:conditionalFormatting>
        <x14:conditionalFormatting xmlns:xm="http://schemas.microsoft.com/office/excel/2006/main">
          <x14:cfRule type="iconSet" priority="40" id="{6B15A8A2-ED14-4BFF-94B2-8FA5E88EE50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O74</xm:sqref>
        </x14:conditionalFormatting>
        <x14:conditionalFormatting xmlns:xm="http://schemas.microsoft.com/office/excel/2006/main">
          <x14:cfRule type="iconSet" priority="41" id="{9F8F20A4-AB82-4E9F-8888-76E91E7CABF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O75</xm:sqref>
        </x14:conditionalFormatting>
        <x14:conditionalFormatting xmlns:xm="http://schemas.microsoft.com/office/excel/2006/main">
          <x14:cfRule type="iconSet" priority="42" id="{8EDB9BFB-E8AF-4B53-858F-853AA39A7FF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O76</xm:sqref>
        </x14:conditionalFormatting>
        <x14:conditionalFormatting xmlns:xm="http://schemas.microsoft.com/office/excel/2006/main">
          <x14:cfRule type="iconSet" priority="39" id="{8114416D-F01E-4226-9AE8-20A268D5548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O78</xm:sqref>
        </x14:conditionalFormatting>
        <x14:conditionalFormatting xmlns:xm="http://schemas.microsoft.com/office/excel/2006/main">
          <x14:cfRule type="iconSet" priority="38" id="{64FA372F-15FD-4BED-8754-C0DBC5EEE7B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O79</xm:sqref>
        </x14:conditionalFormatting>
        <x14:conditionalFormatting xmlns:xm="http://schemas.microsoft.com/office/excel/2006/main">
          <x14:cfRule type="iconSet" priority="45" id="{5E0A564F-6476-4176-B67C-E5CFBC86656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O80</xm:sqref>
        </x14:conditionalFormatting>
        <x14:conditionalFormatting xmlns:xm="http://schemas.microsoft.com/office/excel/2006/main">
          <x14:cfRule type="iconSet" priority="46" id="{79CD9B63-0AC5-4F02-B809-4CBA684A35E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O81</xm:sqref>
        </x14:conditionalFormatting>
        <x14:conditionalFormatting xmlns:xm="http://schemas.microsoft.com/office/excel/2006/main">
          <x14:cfRule type="iconSet" priority="88" id="{EC2BD1E7-4AF7-46FA-A58E-67A22FC09B7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O82:O83</xm:sqref>
        </x14:conditionalFormatting>
        <x14:conditionalFormatting xmlns:xm="http://schemas.microsoft.com/office/excel/2006/main">
          <x14:cfRule type="iconSet" priority="44" id="{08B37194-1426-44FE-A654-F1D234A0DB4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O84</xm:sqref>
        </x14:conditionalFormatting>
        <x14:conditionalFormatting xmlns:xm="http://schemas.microsoft.com/office/excel/2006/main">
          <x14:cfRule type="iconSet" priority="43" id="{D0E06B8F-EEB8-4780-B0F1-2125AEDD127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O85</xm:sqref>
        </x14:conditionalFormatting>
        <x14:conditionalFormatting xmlns:xm="http://schemas.microsoft.com/office/excel/2006/main">
          <x14:cfRule type="iconSet" priority="73" id="{E2D00CAE-D416-4984-B7B6-2F729AF4E08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O86</xm:sqref>
        </x14:conditionalFormatting>
        <x14:conditionalFormatting xmlns:xm="http://schemas.microsoft.com/office/excel/2006/main">
          <x14:cfRule type="iconSet" priority="74" id="{551AE184-D803-4F8C-8602-EA82C26AD4B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O87</xm:sqref>
        </x14:conditionalFormatting>
        <x14:conditionalFormatting xmlns:xm="http://schemas.microsoft.com/office/excel/2006/main">
          <x14:cfRule type="iconSet" priority="70" id="{D8C89E33-54D7-4B1C-A2DE-4410B4B372B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O88</xm:sqref>
        </x14:conditionalFormatting>
        <x14:conditionalFormatting xmlns:xm="http://schemas.microsoft.com/office/excel/2006/main">
          <x14:cfRule type="iconSet" priority="92" id="{02F95008-032A-43FD-880C-76DA46B5F43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O89:O90</xm:sqref>
        </x14:conditionalFormatting>
        <x14:conditionalFormatting xmlns:xm="http://schemas.microsoft.com/office/excel/2006/main">
          <x14:cfRule type="iconSet" priority="72" id="{5B18FB29-CA8E-4690-AFD0-D18EF45E05D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O91</xm:sqref>
        </x14:conditionalFormatting>
        <x14:conditionalFormatting xmlns:xm="http://schemas.microsoft.com/office/excel/2006/main">
          <x14:cfRule type="iconSet" priority="89" id="{3B4AF40C-1167-4777-93E2-7C0A80CE08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O92:O106 O144:O146 O181:O187 O201:O204 O223 O239:O245</xm:sqref>
        </x14:conditionalFormatting>
        <x14:conditionalFormatting xmlns:xm="http://schemas.microsoft.com/office/excel/2006/main">
          <x14:cfRule type="iconSet" priority="21" id="{8DFDB048-723E-45CC-ADA0-487BF13309F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O107:O113</xm:sqref>
        </x14:conditionalFormatting>
        <x14:conditionalFormatting xmlns:xm="http://schemas.microsoft.com/office/excel/2006/main">
          <x14:cfRule type="iconSet" priority="94" id="{B71A186B-9AE9-453E-BFF7-94683D2EC13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O114:O118</xm:sqref>
        </x14:conditionalFormatting>
        <x14:conditionalFormatting xmlns:xm="http://schemas.microsoft.com/office/excel/2006/main">
          <x14:cfRule type="iconSet" priority="7" id="{A1EF7429-4D1E-48C8-A81A-587F576C08F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O119:O123</xm:sqref>
        </x14:conditionalFormatting>
        <x14:conditionalFormatting xmlns:xm="http://schemas.microsoft.com/office/excel/2006/main">
          <x14:cfRule type="iconSet" priority="6" id="{9B73E484-3243-4821-B6C4-7D1C2CBACFC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O124:O128</xm:sqref>
        </x14:conditionalFormatting>
        <x14:conditionalFormatting xmlns:xm="http://schemas.microsoft.com/office/excel/2006/main">
          <x14:cfRule type="iconSet" priority="5" id="{3056B9D9-AC91-4F6E-8C32-90402804B29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O129:O132 O138</xm:sqref>
        </x14:conditionalFormatting>
        <x14:conditionalFormatting xmlns:xm="http://schemas.microsoft.com/office/excel/2006/main">
          <x14:cfRule type="iconSet" priority="3" id="{F011D3B3-3C42-4503-8449-D67BFBA0EDD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O133</xm:sqref>
        </x14:conditionalFormatting>
        <x14:conditionalFormatting xmlns:xm="http://schemas.microsoft.com/office/excel/2006/main">
          <x14:cfRule type="iconSet" priority="4" id="{4F7945AD-F020-4E51-BFB7-2403C1F9C0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O134:O137</xm:sqref>
        </x14:conditionalFormatting>
        <x14:conditionalFormatting xmlns:xm="http://schemas.microsoft.com/office/excel/2006/main">
          <x14:cfRule type="iconSet" priority="1" id="{181C2A0F-537C-45FB-946F-8CF5A841405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O139:O142</xm:sqref>
        </x14:conditionalFormatting>
        <x14:conditionalFormatting xmlns:xm="http://schemas.microsoft.com/office/excel/2006/main">
          <x14:cfRule type="iconSet" priority="2" id="{82DA52B7-815D-4680-AC8F-B53404CC640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O143</xm:sqref>
        </x14:conditionalFormatting>
        <x14:conditionalFormatting xmlns:xm="http://schemas.microsoft.com/office/excel/2006/main">
          <x14:cfRule type="iconSet" priority="19" id="{D7C0149C-0C4C-462D-8BE1-ECC295F0F17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O147</xm:sqref>
        </x14:conditionalFormatting>
        <x14:conditionalFormatting xmlns:xm="http://schemas.microsoft.com/office/excel/2006/main">
          <x14:cfRule type="iconSet" priority="58" id="{6A97A5EE-7F30-4A7C-8B10-E6CAA58025C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O148</xm:sqref>
        </x14:conditionalFormatting>
        <x14:conditionalFormatting xmlns:xm="http://schemas.microsoft.com/office/excel/2006/main">
          <x14:cfRule type="iconSet" priority="59" id="{D7D012F1-7623-4657-B4AA-2ACF739A987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O149</xm:sqref>
        </x14:conditionalFormatting>
        <x14:conditionalFormatting xmlns:xm="http://schemas.microsoft.com/office/excel/2006/main">
          <x14:cfRule type="iconSet" priority="60" id="{FDEA2998-9EF8-4E02-B340-E3D9E9191F7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O150</xm:sqref>
        </x14:conditionalFormatting>
        <x14:conditionalFormatting xmlns:xm="http://schemas.microsoft.com/office/excel/2006/main">
          <x14:cfRule type="iconSet" priority="55" id="{70065404-F7C8-4E45-9F56-23B4C4D1B36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O151</xm:sqref>
        </x14:conditionalFormatting>
        <x14:conditionalFormatting xmlns:xm="http://schemas.microsoft.com/office/excel/2006/main">
          <x14:cfRule type="iconSet" priority="54" id="{5B697535-7825-4AD7-A147-9C80190CB92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O152</xm:sqref>
        </x14:conditionalFormatting>
        <x14:conditionalFormatting xmlns:xm="http://schemas.microsoft.com/office/excel/2006/main">
          <x14:cfRule type="iconSet" priority="62" id="{0C379C64-1352-48C3-90A2-D30DDFDB88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O153</xm:sqref>
        </x14:conditionalFormatting>
        <x14:conditionalFormatting xmlns:xm="http://schemas.microsoft.com/office/excel/2006/main">
          <x14:cfRule type="iconSet" priority="56" id="{F469C415-8D93-46AC-8552-A8950095980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O154</xm:sqref>
        </x14:conditionalFormatting>
        <x14:conditionalFormatting xmlns:xm="http://schemas.microsoft.com/office/excel/2006/main">
          <x14:cfRule type="iconSet" priority="57" id="{D868EE88-5560-40C7-BBDD-F0B0C0D147F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O155</xm:sqref>
        </x14:conditionalFormatting>
        <x14:conditionalFormatting xmlns:xm="http://schemas.microsoft.com/office/excel/2006/main">
          <x14:cfRule type="iconSet" priority="61" id="{CEA8AFD2-C8D7-4132-BB4C-BFFC463507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O156</xm:sqref>
        </x14:conditionalFormatting>
        <x14:conditionalFormatting xmlns:xm="http://schemas.microsoft.com/office/excel/2006/main">
          <x14:cfRule type="iconSet" priority="66" id="{B2113443-0A67-4C47-86A4-ACDDCD6BC6D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O157</xm:sqref>
        </x14:conditionalFormatting>
        <x14:conditionalFormatting xmlns:xm="http://schemas.microsoft.com/office/excel/2006/main">
          <x14:cfRule type="iconSet" priority="67" id="{8F8A4811-DEE2-4E7F-834F-D99D021FA2F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O158</xm:sqref>
        </x14:conditionalFormatting>
        <x14:conditionalFormatting xmlns:xm="http://schemas.microsoft.com/office/excel/2006/main">
          <x14:cfRule type="iconSet" priority="69" id="{EE11EFF0-60EC-44B5-8238-A5AFFD69B09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O159 O161 O163 O165 O167 O169 O171:O172 O174 O179</xm:sqref>
        </x14:conditionalFormatting>
        <x14:conditionalFormatting xmlns:xm="http://schemas.microsoft.com/office/excel/2006/main">
          <x14:cfRule type="iconSet" priority="84" id="{2C6F8A76-3D3F-434A-B807-59BA10BFAEC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O160 O162 O164 O166 O168 O170 O173 O175</xm:sqref>
        </x14:conditionalFormatting>
        <x14:conditionalFormatting xmlns:xm="http://schemas.microsoft.com/office/excel/2006/main">
          <x14:cfRule type="iconSet" priority="63" id="{D4A67CAA-267A-40C1-8EBC-D9D3F3B4718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O176 O178</xm:sqref>
        </x14:conditionalFormatting>
        <x14:conditionalFormatting xmlns:xm="http://schemas.microsoft.com/office/excel/2006/main">
          <x14:cfRule type="iconSet" priority="85" id="{A05ECB1D-781A-4169-BF8A-C14CD259CB4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O177</xm:sqref>
        </x14:conditionalFormatting>
        <x14:conditionalFormatting xmlns:xm="http://schemas.microsoft.com/office/excel/2006/main">
          <x14:cfRule type="iconSet" priority="65" id="{E98EC5F4-9E6F-4A59-8383-902E7C42E2D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O180</xm:sqref>
        </x14:conditionalFormatting>
        <x14:conditionalFormatting xmlns:xm="http://schemas.microsoft.com/office/excel/2006/main">
          <x14:cfRule type="iconSet" priority="14" id="{B961BB06-C3EA-4D1D-97AF-D603626DA57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O188</xm:sqref>
        </x14:conditionalFormatting>
        <x14:conditionalFormatting xmlns:xm="http://schemas.microsoft.com/office/excel/2006/main">
          <x14:cfRule type="iconSet" priority="15" id="{3B4E8B03-7724-4177-A0EE-4F4EBA83104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O189</xm:sqref>
        </x14:conditionalFormatting>
        <x14:conditionalFormatting xmlns:xm="http://schemas.microsoft.com/office/excel/2006/main">
          <x14:cfRule type="iconSet" priority="16" id="{49B1831E-0015-41E2-9528-C3CBFC515D1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O190</xm:sqref>
        </x14:conditionalFormatting>
        <x14:conditionalFormatting xmlns:xm="http://schemas.microsoft.com/office/excel/2006/main">
          <x14:cfRule type="iconSet" priority="12" id="{C795CC26-6FB9-4B45-9E0B-8ECCFED41BE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O191</xm:sqref>
        </x14:conditionalFormatting>
        <x14:conditionalFormatting xmlns:xm="http://schemas.microsoft.com/office/excel/2006/main">
          <x14:cfRule type="iconSet" priority="11" id="{EF8B0B79-EA7F-4062-B6D7-85F5362CA07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O192</xm:sqref>
        </x14:conditionalFormatting>
        <x14:conditionalFormatting xmlns:xm="http://schemas.microsoft.com/office/excel/2006/main">
          <x14:cfRule type="iconSet" priority="18" id="{E7995DB2-B488-434C-BF47-8754231632B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O193</xm:sqref>
        </x14:conditionalFormatting>
        <x14:conditionalFormatting xmlns:xm="http://schemas.microsoft.com/office/excel/2006/main">
          <x14:cfRule type="iconSet" priority="8" id="{A69341D1-9372-4EB2-820A-AE50E0073DF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O194</xm:sqref>
        </x14:conditionalFormatting>
        <x14:conditionalFormatting xmlns:xm="http://schemas.microsoft.com/office/excel/2006/main">
          <x14:cfRule type="iconSet" priority="9" id="{BCE02A05-BF4D-4453-A400-A9F59F160C8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O195</xm:sqref>
        </x14:conditionalFormatting>
        <x14:conditionalFormatting xmlns:xm="http://schemas.microsoft.com/office/excel/2006/main">
          <x14:cfRule type="iconSet" priority="10" id="{2BFBBB5A-0D52-4FE4-BE3E-77BBD088EDF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O196</xm:sqref>
        </x14:conditionalFormatting>
        <x14:conditionalFormatting xmlns:xm="http://schemas.microsoft.com/office/excel/2006/main">
          <x14:cfRule type="iconSet" priority="13" id="{F680ECB8-770B-49C4-9DF1-69812AA2E9A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O197</xm:sqref>
        </x14:conditionalFormatting>
        <x14:conditionalFormatting xmlns:xm="http://schemas.microsoft.com/office/excel/2006/main">
          <x14:cfRule type="iconSet" priority="17" id="{E50D7242-899D-4E0F-AE4C-2637217D837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O198</xm:sqref>
        </x14:conditionalFormatting>
        <x14:conditionalFormatting xmlns:xm="http://schemas.microsoft.com/office/excel/2006/main">
          <x14:cfRule type="iconSet" priority="68" id="{DC30240B-64DB-4386-9324-D9CE7A1BC66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O199</xm:sqref>
        </x14:conditionalFormatting>
        <x14:conditionalFormatting xmlns:xm="http://schemas.microsoft.com/office/excel/2006/main">
          <x14:cfRule type="iconSet" priority="64" id="{967A8788-9FD2-48C3-B0E4-3EBDB2CE09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O200</xm:sqref>
        </x14:conditionalFormatting>
        <x14:conditionalFormatting xmlns:xm="http://schemas.microsoft.com/office/excel/2006/main">
          <x14:cfRule type="iconSet" priority="34" id="{1B5EEC68-17D6-4F99-8762-842F04BE0B7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O205:O210</xm:sqref>
        </x14:conditionalFormatting>
        <x14:conditionalFormatting xmlns:xm="http://schemas.microsoft.com/office/excel/2006/main">
          <x14:cfRule type="iconSet" priority="35" id="{D82841FC-2D25-4A1A-A55D-5E221224906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O211:O216</xm:sqref>
        </x14:conditionalFormatting>
        <x14:conditionalFormatting xmlns:xm="http://schemas.microsoft.com/office/excel/2006/main">
          <x14:cfRule type="iconSet" priority="36" id="{21037377-D4F4-4083-A3F2-3F5A550CA79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O217:O222</xm:sqref>
        </x14:conditionalFormatting>
        <x14:conditionalFormatting xmlns:xm="http://schemas.microsoft.com/office/excel/2006/main">
          <x14:cfRule type="iconSet" priority="31" id="{02F080AB-2FD7-4B10-B5BA-6871506C10C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O224:O228</xm:sqref>
        </x14:conditionalFormatting>
        <x14:conditionalFormatting xmlns:xm="http://schemas.microsoft.com/office/excel/2006/main">
          <x14:cfRule type="iconSet" priority="32" id="{1B7E9B74-0FEC-413A-AC61-01CD663AE66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O229:O233</xm:sqref>
        </x14:conditionalFormatting>
        <x14:conditionalFormatting xmlns:xm="http://schemas.microsoft.com/office/excel/2006/main">
          <x14:cfRule type="iconSet" priority="33" id="{0D189986-07B7-4A3D-BF06-A1B71FE173B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O234:O238</xm:sqref>
        </x14:conditionalFormatting>
        <x14:conditionalFormatting xmlns:xm="http://schemas.microsoft.com/office/excel/2006/main">
          <x14:cfRule type="iconSet" priority="86" id="{8923D59B-16D9-48DF-8CB3-084EAF618F8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O246:O257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3">
    <tabColor theme="4"/>
    <pageSetUpPr fitToPage="1"/>
  </sheetPr>
  <dimension ref="A1:O71"/>
  <sheetViews>
    <sheetView view="pageBreakPreview" topLeftCell="A4" zoomScale="85" zoomScaleNormal="100" zoomScaleSheetLayoutView="85" workbookViewId="0">
      <selection activeCell="B9" sqref="B9:N13"/>
    </sheetView>
  </sheetViews>
  <sheetFormatPr baseColWidth="10" defaultColWidth="11" defaultRowHeight="12.75" x14ac:dyDescent="0.2"/>
  <cols>
    <col min="1" max="1" width="11" style="325"/>
    <col min="2" max="2" width="10" style="381" customWidth="1"/>
    <col min="3" max="3" width="11" style="325"/>
    <col min="4" max="4" width="39.28515625" style="325" customWidth="1"/>
    <col min="5" max="5" width="11" style="325"/>
    <col min="6" max="7" width="13.7109375" style="325" customWidth="1"/>
    <col min="8" max="9" width="11" style="325"/>
    <col min="10" max="10" width="15.42578125" style="325" bestFit="1" customWidth="1"/>
    <col min="11" max="11" width="13.85546875" style="325" bestFit="1" customWidth="1"/>
    <col min="12" max="13" width="11" style="325"/>
    <col min="14" max="14" width="20.28515625" style="325" customWidth="1"/>
    <col min="15" max="16384" width="11" style="325"/>
  </cols>
  <sheetData>
    <row r="1" spans="1:15" x14ac:dyDescent="0.2">
      <c r="A1" s="324" t="s">
        <v>644</v>
      </c>
      <c r="B1" s="324" t="s">
        <v>645</v>
      </c>
      <c r="C1" s="324" t="s">
        <v>646</v>
      </c>
      <c r="D1" s="324" t="s">
        <v>647</v>
      </c>
      <c r="E1" s="324" t="s">
        <v>648</v>
      </c>
      <c r="F1" s="324" t="s">
        <v>649</v>
      </c>
      <c r="G1" s="324" t="s">
        <v>650</v>
      </c>
      <c r="H1" s="324" t="s">
        <v>651</v>
      </c>
      <c r="I1" s="324" t="s">
        <v>652</v>
      </c>
      <c r="J1" s="324" t="s">
        <v>653</v>
      </c>
      <c r="K1" s="324" t="s">
        <v>654</v>
      </c>
      <c r="L1" s="324" t="s">
        <v>655</v>
      </c>
      <c r="M1" s="324" t="s">
        <v>656</v>
      </c>
      <c r="N1" s="324" t="s">
        <v>657</v>
      </c>
      <c r="O1" s="324" t="s">
        <v>658</v>
      </c>
    </row>
    <row r="2" spans="1:15" ht="17.649999999999999" customHeight="1" x14ac:dyDescent="0.2">
      <c r="B2" s="696" t="str">
        <f>Base!$C$7</f>
        <v>FONDO DE DESARROLLO LOCAL DE SUBA</v>
      </c>
      <c r="C2" s="697"/>
      <c r="D2" s="697"/>
      <c r="E2" s="697"/>
      <c r="F2" s="697"/>
      <c r="G2" s="697"/>
      <c r="H2" s="697"/>
      <c r="I2" s="697"/>
      <c r="J2" s="697"/>
      <c r="K2" s="697"/>
      <c r="L2" s="697"/>
      <c r="M2" s="697"/>
      <c r="N2" s="698"/>
      <c r="O2" s="326">
        <v>1</v>
      </c>
    </row>
    <row r="3" spans="1:15" ht="17.649999999999999" customHeight="1" x14ac:dyDescent="0.2">
      <c r="B3" s="699"/>
      <c r="C3" s="700"/>
      <c r="D3" s="700"/>
      <c r="E3" s="700"/>
      <c r="F3" s="700"/>
      <c r="G3" s="700"/>
      <c r="H3" s="700"/>
      <c r="I3" s="700"/>
      <c r="J3" s="700"/>
      <c r="K3" s="700"/>
      <c r="L3" s="700"/>
      <c r="M3" s="700"/>
      <c r="N3" s="701"/>
      <c r="O3" s="326">
        <v>1</v>
      </c>
    </row>
    <row r="4" spans="1:15" ht="18.75" customHeight="1" x14ac:dyDescent="0.2">
      <c r="B4" s="722" t="s">
        <v>1003</v>
      </c>
      <c r="C4" s="723"/>
      <c r="D4" s="723"/>
      <c r="E4" s="723"/>
      <c r="F4" s="723"/>
      <c r="G4" s="723"/>
      <c r="H4" s="723"/>
      <c r="I4" s="723"/>
      <c r="J4" s="723"/>
      <c r="K4" s="723"/>
      <c r="L4" s="723"/>
      <c r="M4" s="723"/>
      <c r="N4" s="724"/>
      <c r="O4" s="326">
        <v>1</v>
      </c>
    </row>
    <row r="5" spans="1:15" ht="15" x14ac:dyDescent="0.2">
      <c r="A5" s="327" t="s">
        <v>660</v>
      </c>
      <c r="B5" s="553" t="s">
        <v>568</v>
      </c>
      <c r="C5" s="554"/>
      <c r="D5" s="554"/>
      <c r="E5" s="216">
        <f>DedicProfObr!$V$6</f>
        <v>6</v>
      </c>
      <c r="F5" s="690" t="s">
        <v>566</v>
      </c>
      <c r="G5" s="690"/>
      <c r="H5" s="328"/>
      <c r="N5" s="329"/>
      <c r="O5" s="326">
        <v>1</v>
      </c>
    </row>
    <row r="6" spans="1:15" ht="15" x14ac:dyDescent="0.2">
      <c r="A6" s="327" t="s">
        <v>661</v>
      </c>
      <c r="B6" s="553" t="s">
        <v>565</v>
      </c>
      <c r="C6" s="554"/>
      <c r="D6" s="554"/>
      <c r="E6" s="216">
        <f>DedicProfObr!$U$6</f>
        <v>1</v>
      </c>
      <c r="F6" s="690" t="s">
        <v>566</v>
      </c>
      <c r="G6" s="690"/>
      <c r="H6" s="328"/>
      <c r="N6" s="329"/>
      <c r="O6" s="326">
        <v>1</v>
      </c>
    </row>
    <row r="7" spans="1:15" ht="15.75" thickBot="1" x14ac:dyDescent="0.25">
      <c r="A7" s="327" t="s">
        <v>662</v>
      </c>
      <c r="B7" s="560" t="s">
        <v>569</v>
      </c>
      <c r="C7" s="561"/>
      <c r="D7" s="561"/>
      <c r="E7" s="225">
        <f>DedicProfObr!$W$6</f>
        <v>0</v>
      </c>
      <c r="F7" s="690" t="s">
        <v>566</v>
      </c>
      <c r="G7" s="690"/>
      <c r="N7" s="329"/>
      <c r="O7" s="326">
        <v>1</v>
      </c>
    </row>
    <row r="8" spans="1:15" ht="15" x14ac:dyDescent="0.2">
      <c r="A8" s="78"/>
      <c r="B8" s="691" t="s">
        <v>663</v>
      </c>
      <c r="C8" s="691"/>
      <c r="D8" s="691"/>
      <c r="E8" s="330">
        <f>SUM(E5:E7)</f>
        <v>7</v>
      </c>
      <c r="F8" s="690" t="s">
        <v>566</v>
      </c>
      <c r="G8" s="690"/>
      <c r="N8" s="329"/>
      <c r="O8" s="326">
        <v>1</v>
      </c>
    </row>
    <row r="9" spans="1:15" ht="11.25" customHeight="1" x14ac:dyDescent="0.2">
      <c r="B9" s="692"/>
      <c r="C9" s="693"/>
      <c r="D9" s="693"/>
      <c r="E9" s="693"/>
      <c r="F9" s="693"/>
      <c r="G9" s="693"/>
      <c r="H9" s="693"/>
      <c r="I9" s="693"/>
      <c r="J9" s="693"/>
      <c r="K9" s="693"/>
      <c r="L9" s="693"/>
      <c r="M9" s="693"/>
      <c r="N9" s="694"/>
      <c r="O9" s="326">
        <v>1</v>
      </c>
    </row>
    <row r="10" spans="1:15" ht="12.75" customHeight="1" x14ac:dyDescent="0.2">
      <c r="B10" s="651" t="s">
        <v>1004</v>
      </c>
      <c r="C10" s="651"/>
      <c r="D10" s="651"/>
      <c r="E10" s="651"/>
      <c r="F10" s="651"/>
      <c r="G10" s="651"/>
      <c r="H10" s="651"/>
      <c r="I10" s="651"/>
      <c r="J10" s="651"/>
      <c r="K10" s="651"/>
      <c r="L10" s="651"/>
      <c r="M10" s="651"/>
      <c r="N10" s="652"/>
      <c r="O10" s="326">
        <v>1</v>
      </c>
    </row>
    <row r="11" spans="1:15" ht="28.9" customHeight="1" x14ac:dyDescent="0.2">
      <c r="B11" s="653" t="s">
        <v>664</v>
      </c>
      <c r="C11" s="653" t="s">
        <v>449</v>
      </c>
      <c r="D11" s="665" t="s">
        <v>451</v>
      </c>
      <c r="E11" s="665"/>
      <c r="F11" s="665"/>
      <c r="G11" s="665"/>
      <c r="H11" s="334" t="s">
        <v>45</v>
      </c>
      <c r="I11" s="725" t="s">
        <v>453</v>
      </c>
      <c r="J11" s="335" t="s">
        <v>668</v>
      </c>
      <c r="K11" s="335" t="s">
        <v>577</v>
      </c>
      <c r="L11" s="335" t="s">
        <v>1005</v>
      </c>
      <c r="M11" s="335" t="s">
        <v>1006</v>
      </c>
      <c r="N11" s="335" t="s">
        <v>579</v>
      </c>
      <c r="O11" s="326">
        <v>1</v>
      </c>
    </row>
    <row r="12" spans="1:15" x14ac:dyDescent="0.2">
      <c r="B12" s="654"/>
      <c r="C12" s="654"/>
      <c r="D12" s="665"/>
      <c r="E12" s="665"/>
      <c r="F12" s="665"/>
      <c r="G12" s="665"/>
      <c r="H12" s="382" t="s">
        <v>443</v>
      </c>
      <c r="I12" s="726"/>
      <c r="J12" s="339" t="s">
        <v>447</v>
      </c>
      <c r="K12" s="339" t="s">
        <v>674</v>
      </c>
      <c r="L12" s="339" t="s">
        <v>675</v>
      </c>
      <c r="M12" s="339" t="s">
        <v>676</v>
      </c>
      <c r="N12" s="339" t="s">
        <v>677</v>
      </c>
      <c r="O12" s="326">
        <v>1</v>
      </c>
    </row>
    <row r="13" spans="1:15" x14ac:dyDescent="0.2">
      <c r="B13" s="341"/>
      <c r="C13" s="342" t="s">
        <v>666</v>
      </c>
      <c r="D13" s="689" t="s">
        <v>474</v>
      </c>
      <c r="E13" s="689"/>
      <c r="F13" s="689"/>
      <c r="G13" s="689"/>
      <c r="H13" s="343"/>
      <c r="I13" s="343"/>
      <c r="J13" s="343"/>
      <c r="K13" s="343"/>
      <c r="L13" s="343"/>
      <c r="M13" s="343"/>
      <c r="N13" s="344"/>
      <c r="O13" s="326">
        <v>1</v>
      </c>
    </row>
    <row r="14" spans="1:15" ht="15" x14ac:dyDescent="0.2">
      <c r="A14" s="78">
        <f>H14</f>
        <v>1</v>
      </c>
      <c r="B14" s="78">
        <f>INDEX(DedicProfObr!$A$4:$X$51,MATCH($C14,DedicProfObr!$A$4:$A$51,0),MATCH(DedicProfObr!$B$4,DedicProfObr!$A$4:$W$4,0))</f>
        <v>9112</v>
      </c>
      <c r="C14" s="345" t="s">
        <v>540</v>
      </c>
      <c r="D14" s="686" t="str">
        <f>INDEX(DedicProfObr!$A$4:$X$51,MATCH($C14,DedicProfObr!$A$4:$A$51,0),MATCH(DedicProfObr!$D$4,DedicProfObr!$A$4:$W$4,0))</f>
        <v>RESIDENTE SOCIAL</v>
      </c>
      <c r="E14" s="687"/>
      <c r="F14" s="687"/>
      <c r="G14" s="688"/>
      <c r="H14" s="346">
        <f>INDEX(DedicProfObr!$A$4:$X$51,MATCH($C14,DedicProfObr!$A$4:$A$51,0),MATCH(DedicProfObr!$E$4,DedicProfObr!$A$4:$W$4,0))</f>
        <v>1</v>
      </c>
      <c r="I14" s="78">
        <f>INDEX(DedicProfObr!$A$4:$X$51,MATCH($C14,DedicProfObr!$A$4:$A$51,0),MATCH(DedicProfObr!$F$4,DedicProfObr!$A$4:$W$4,0))</f>
        <v>6</v>
      </c>
      <c r="J14" s="347">
        <f>INDEX(DedicProfObr!$A$4:$X$51,MATCH($C14,DedicProfObr!$A$4:$A$51,0),MATCH(DedicProfObr!$G$4,DedicProfObr!$A$4:$W$4,0))</f>
        <v>6339000</v>
      </c>
      <c r="K14" s="348">
        <f>INDEX(DedicProfObr!$A$4:$X$51,MATCH($C14,DedicProfObr!$A$4:$A$51,0),MATCH(DedicProfObr!$H$4,DedicProfObr!$A$4:$W$4,0))</f>
        <v>1.4524999999999999</v>
      </c>
      <c r="L14" s="349">
        <f>INDEX(DedicProfObr!$A$4:$W$51,MATCH($C14,DedicProfObr!$A$4:$A$51,0),MATCH(DedicProfObr!$V$4,DedicProfObr!$A$4:$W$4,0))</f>
        <v>6</v>
      </c>
      <c r="M14" s="349">
        <f>INDEX(DedicProfObr!$A$4:$W$51,MATCH($C14,DedicProfObr!$A$4:$A$51,0),MATCH(DedicProfObr!$W$4,DedicProfObr!$A$4:$W$4,0))</f>
        <v>0</v>
      </c>
      <c r="N14" s="350">
        <f>ROUND(IF(B14="",0,H14*J14*K14*(L14+M14)),0)</f>
        <v>55244385</v>
      </c>
      <c r="O14" s="326">
        <f t="shared" ref="O14" si="0">IF(N14=0,0,1)</f>
        <v>1</v>
      </c>
    </row>
    <row r="15" spans="1:15" s="384" customFormat="1" x14ac:dyDescent="0.2">
      <c r="A15" s="78"/>
      <c r="B15" s="78"/>
      <c r="C15" s="342" t="s">
        <v>709</v>
      </c>
      <c r="D15" s="689" t="s">
        <v>543</v>
      </c>
      <c r="E15" s="689"/>
      <c r="F15" s="689"/>
      <c r="G15" s="689"/>
      <c r="H15" s="343"/>
      <c r="I15" s="343"/>
      <c r="J15" s="343"/>
      <c r="K15" s="343"/>
      <c r="L15" s="343"/>
      <c r="M15" s="343"/>
      <c r="N15" s="344"/>
      <c r="O15" s="383">
        <v>1</v>
      </c>
    </row>
    <row r="16" spans="1:15" ht="37.5" customHeight="1" x14ac:dyDescent="0.2">
      <c r="A16" s="78">
        <f>H16</f>
        <v>2</v>
      </c>
      <c r="B16" s="78">
        <f>INDEX(DedicProfObr!$A$4:$X$51,MATCH($C16,DedicProfObr!$A$4:$A$51,0),MATCH(DedicProfObr!$B$4,DedicProfObr!$A$4:$W$4,0))</f>
        <v>9455</v>
      </c>
      <c r="C16" s="385" t="s">
        <v>542</v>
      </c>
      <c r="D16" s="634" t="str">
        <f>INDEX(DedicProfObr!$A$4:$X$51,MATCH($C16,DedicProfObr!$A$4:$A$51,0),MATCH(DedicProfObr!$D$4,DedicProfObr!$A$4:$W$4,0))</f>
        <v>PERSONAL TÉCNICO Y PERSONAL AUXILIAR - GUIA CIVICO</v>
      </c>
      <c r="E16" s="635"/>
      <c r="F16" s="635"/>
      <c r="G16" s="636"/>
      <c r="H16" s="346">
        <f>INDEX(DedicProfObr!$A$4:$X$51,MATCH($C16,DedicProfObr!$A$4:$A$51,0),MATCH(DedicProfObr!$E$4,DedicProfObr!$A$4:$W$4,0))</f>
        <v>2</v>
      </c>
      <c r="I16" s="78" t="str">
        <f>INDEX(DedicProfObr!$A$4:$X$51,MATCH($C16,DedicProfObr!$A$4:$A$51,0),MATCH(DedicProfObr!$F$4,DedicProfObr!$A$4:$W$4,0))</f>
        <v>N/A</v>
      </c>
      <c r="J16" s="347">
        <f>INDEX(DedicProfObr!$A$4:$X$51,MATCH($C16,DedicProfObr!$A$4:$A$51,0),MATCH(DedicProfObr!$G$4,DedicProfObr!$A$4:$W$4,0))</f>
        <v>1160000</v>
      </c>
      <c r="K16" s="348">
        <f>INDEX(DedicProfObr!$A$4:$X$51,MATCH($C16,DedicProfObr!$A$4:$A$51,0),MATCH(DedicProfObr!$H$4,DedicProfObr!$A$4:$W$4,0))</f>
        <v>1.6479999999999999</v>
      </c>
      <c r="L16" s="349">
        <f>INDEX(DedicProfObr!$A$4:$W$51,MATCH($C16,DedicProfObr!$A$4:$A$51,0),MATCH(DedicProfObr!$V$4,DedicProfObr!$A$4:$W$4,0))</f>
        <v>6</v>
      </c>
      <c r="M16" s="349">
        <f>INDEX(DedicProfObr!$A$4:$W$51,MATCH($C16,DedicProfObr!$A$4:$A$51,0),MATCH(DedicProfObr!$W$4,DedicProfObr!$A$4:$W$4,0))</f>
        <v>0</v>
      </c>
      <c r="N16" s="350">
        <f>ROUND(IF(B16="",0,H16*J16*K16*(L16+M16)),0)</f>
        <v>22940160</v>
      </c>
      <c r="O16" s="326">
        <f t="shared" ref="O16" si="1">IF(N16=0,0,1)</f>
        <v>1</v>
      </c>
    </row>
    <row r="17" spans="2:15" ht="15" x14ac:dyDescent="0.2">
      <c r="B17" s="714"/>
      <c r="C17" s="715"/>
      <c r="D17" s="715"/>
      <c r="E17" s="715"/>
      <c r="F17" s="715"/>
      <c r="G17" s="715"/>
      <c r="H17" s="715"/>
      <c r="I17" s="715"/>
      <c r="J17" s="715"/>
      <c r="K17" s="715"/>
      <c r="L17" s="715"/>
      <c r="M17" s="715"/>
      <c r="N17" s="716"/>
      <c r="O17" s="326">
        <v>1</v>
      </c>
    </row>
    <row r="18" spans="2:15" ht="15" x14ac:dyDescent="0.2">
      <c r="B18" s="625" t="str">
        <f>"SUBTOTAL "&amp;B10</f>
        <v>SUBTOTAL COMPONENTE A. PERSONAL TÉCNICO Y PROFESIONAL</v>
      </c>
      <c r="C18" s="626"/>
      <c r="D18" s="626"/>
      <c r="E18" s="626"/>
      <c r="F18" s="626"/>
      <c r="G18" s="626"/>
      <c r="H18" s="626"/>
      <c r="I18" s="626"/>
      <c r="J18" s="626"/>
      <c r="K18" s="626"/>
      <c r="L18" s="626"/>
      <c r="M18" s="627"/>
      <c r="N18" s="359">
        <f>SUM(N14:N16)</f>
        <v>78184545</v>
      </c>
      <c r="O18" s="326">
        <v>1</v>
      </c>
    </row>
    <row r="19" spans="2:15" ht="15" x14ac:dyDescent="0.2">
      <c r="B19" s="628"/>
      <c r="C19" s="628"/>
      <c r="D19" s="628"/>
      <c r="E19" s="628"/>
      <c r="F19" s="628"/>
      <c r="G19" s="628"/>
      <c r="H19" s="628"/>
      <c r="I19" s="628"/>
      <c r="J19" s="628"/>
      <c r="K19" s="628"/>
      <c r="L19" s="628"/>
      <c r="M19" s="628"/>
      <c r="N19" s="628"/>
      <c r="O19" s="326">
        <v>1</v>
      </c>
    </row>
    <row r="20" spans="2:15" x14ac:dyDescent="0.2">
      <c r="B20" s="679" t="s">
        <v>1007</v>
      </c>
      <c r="C20" s="680"/>
      <c r="D20" s="680"/>
      <c r="E20" s="680"/>
      <c r="F20" s="680"/>
      <c r="G20" s="680"/>
      <c r="H20" s="680"/>
      <c r="I20" s="680"/>
      <c r="J20" s="680"/>
      <c r="K20" s="680"/>
      <c r="L20" s="680"/>
      <c r="M20" s="680"/>
      <c r="N20" s="680"/>
      <c r="O20" s="326">
        <v>1</v>
      </c>
    </row>
    <row r="21" spans="2:15" x14ac:dyDescent="0.2">
      <c r="B21" s="386" t="s">
        <v>718</v>
      </c>
      <c r="C21" s="360" t="s">
        <v>1008</v>
      </c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26">
        <v>1</v>
      </c>
    </row>
    <row r="22" spans="2:15" x14ac:dyDescent="0.2">
      <c r="B22" s="387" t="s">
        <v>664</v>
      </c>
      <c r="C22" s="387" t="s">
        <v>449</v>
      </c>
      <c r="D22" s="717" t="s">
        <v>43</v>
      </c>
      <c r="E22" s="717"/>
      <c r="F22" s="717" t="s">
        <v>711</v>
      </c>
      <c r="G22" s="717"/>
      <c r="H22" s="717"/>
      <c r="I22" s="717"/>
      <c r="J22" s="387" t="s">
        <v>712</v>
      </c>
      <c r="K22" s="718" t="s">
        <v>46</v>
      </c>
      <c r="L22" s="718"/>
      <c r="M22" s="388" t="s">
        <v>45</v>
      </c>
      <c r="N22" s="387" t="s">
        <v>594</v>
      </c>
      <c r="O22" s="326">
        <v>1</v>
      </c>
    </row>
    <row r="23" spans="2:15" ht="15" x14ac:dyDescent="0.2">
      <c r="B23" s="78">
        <v>7870</v>
      </c>
      <c r="C23" s="349" t="s">
        <v>720</v>
      </c>
      <c r="D23" s="648" t="s">
        <v>1009</v>
      </c>
      <c r="E23" s="649"/>
      <c r="F23" s="634" t="s">
        <v>714</v>
      </c>
      <c r="G23" s="635"/>
      <c r="H23" s="635"/>
      <c r="I23" s="636"/>
      <c r="J23" s="349" t="s">
        <v>715</v>
      </c>
      <c r="K23" s="637">
        <v>107100</v>
      </c>
      <c r="L23" s="638"/>
      <c r="M23" s="349">
        <f>(ROUNDUP($E$6,0)+2)/2</f>
        <v>1.5</v>
      </c>
      <c r="N23" s="347">
        <f>ROUND(K23*M23,0)</f>
        <v>160650</v>
      </c>
      <c r="O23" s="326">
        <f t="shared" ref="O23" si="2">IF(N23=0,0,1)</f>
        <v>1</v>
      </c>
    </row>
    <row r="24" spans="2:15" ht="15" x14ac:dyDescent="0.2">
      <c r="B24" s="711" t="str">
        <f>"SUBTOTAL "&amp;B21&amp;" "&amp;C21</f>
        <v>SUBTOTAL B1 PROGRAMA DE INFORMACIÓN</v>
      </c>
      <c r="C24" s="712"/>
      <c r="D24" s="712"/>
      <c r="E24" s="712"/>
      <c r="F24" s="712"/>
      <c r="G24" s="712"/>
      <c r="H24" s="712"/>
      <c r="I24" s="712"/>
      <c r="J24" s="712"/>
      <c r="K24" s="712"/>
      <c r="L24" s="712"/>
      <c r="M24" s="713"/>
      <c r="N24" s="389">
        <f>SUM(N23)</f>
        <v>160650</v>
      </c>
      <c r="O24" s="326">
        <v>1</v>
      </c>
    </row>
    <row r="25" spans="2:15" ht="15" x14ac:dyDescent="0.2">
      <c r="B25" s="714"/>
      <c r="C25" s="715"/>
      <c r="D25" s="715"/>
      <c r="E25" s="715"/>
      <c r="F25" s="715"/>
      <c r="G25" s="715"/>
      <c r="H25" s="715"/>
      <c r="I25" s="715"/>
      <c r="J25" s="715"/>
      <c r="K25" s="715"/>
      <c r="L25" s="715"/>
      <c r="M25" s="715"/>
      <c r="N25" s="716"/>
      <c r="O25" s="326">
        <v>1</v>
      </c>
    </row>
    <row r="26" spans="2:15" x14ac:dyDescent="0.2">
      <c r="B26" s="370" t="s">
        <v>735</v>
      </c>
      <c r="C26" s="352" t="s">
        <v>1010</v>
      </c>
      <c r="D26" s="360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26">
        <v>1</v>
      </c>
    </row>
    <row r="27" spans="2:15" x14ac:dyDescent="0.2">
      <c r="B27" s="387" t="s">
        <v>664</v>
      </c>
      <c r="C27" s="387" t="s">
        <v>449</v>
      </c>
      <c r="D27" s="630" t="s">
        <v>43</v>
      </c>
      <c r="E27" s="719"/>
      <c r="F27" s="630" t="s">
        <v>711</v>
      </c>
      <c r="G27" s="631"/>
      <c r="H27" s="631"/>
      <c r="I27" s="719"/>
      <c r="J27" s="387" t="s">
        <v>712</v>
      </c>
      <c r="K27" s="720" t="s">
        <v>46</v>
      </c>
      <c r="L27" s="721"/>
      <c r="M27" s="388" t="s">
        <v>45</v>
      </c>
      <c r="N27" s="387" t="s">
        <v>594</v>
      </c>
      <c r="O27" s="326">
        <v>1</v>
      </c>
    </row>
    <row r="28" spans="2:15" ht="38.25" customHeight="1" x14ac:dyDescent="0.2">
      <c r="B28" s="78">
        <v>7901</v>
      </c>
      <c r="C28" s="349" t="s">
        <v>737</v>
      </c>
      <c r="D28" s="634" t="s">
        <v>1011</v>
      </c>
      <c r="E28" s="636"/>
      <c r="F28" s="634" t="s">
        <v>1012</v>
      </c>
      <c r="G28" s="635"/>
      <c r="H28" s="635"/>
      <c r="I28" s="636"/>
      <c r="J28" s="349" t="s">
        <v>68</v>
      </c>
      <c r="K28" s="637">
        <v>83</v>
      </c>
      <c r="L28" s="638"/>
      <c r="M28" s="349">
        <f>20*49</f>
        <v>980</v>
      </c>
      <c r="N28" s="347">
        <f>ROUND(K28*M28,0)</f>
        <v>81340</v>
      </c>
      <c r="O28" s="326">
        <f t="shared" ref="O28:O36" si="3">IF(N28=0,0,1)</f>
        <v>1</v>
      </c>
    </row>
    <row r="29" spans="2:15" ht="38.25" customHeight="1" x14ac:dyDescent="0.2">
      <c r="B29" s="78">
        <v>7900</v>
      </c>
      <c r="C29" s="349" t="s">
        <v>1013</v>
      </c>
      <c r="D29" s="634" t="s">
        <v>1014</v>
      </c>
      <c r="E29" s="636"/>
      <c r="F29" s="634" t="s">
        <v>1015</v>
      </c>
      <c r="G29" s="635"/>
      <c r="H29" s="635"/>
      <c r="I29" s="636"/>
      <c r="J29" s="349" t="s">
        <v>68</v>
      </c>
      <c r="K29" s="637">
        <v>167</v>
      </c>
      <c r="L29" s="638"/>
      <c r="M29" s="349">
        <f>M28</f>
        <v>980</v>
      </c>
      <c r="N29" s="347">
        <f t="shared" ref="N29:N36" si="4">ROUND(K29*M29,0)</f>
        <v>163660</v>
      </c>
      <c r="O29" s="326">
        <f t="shared" si="3"/>
        <v>1</v>
      </c>
    </row>
    <row r="30" spans="2:15" ht="38.25" customHeight="1" x14ac:dyDescent="0.2">
      <c r="B30" s="78">
        <v>7900</v>
      </c>
      <c r="C30" s="349" t="s">
        <v>1016</v>
      </c>
      <c r="D30" s="634" t="s">
        <v>1017</v>
      </c>
      <c r="E30" s="636"/>
      <c r="F30" s="634" t="s">
        <v>1015</v>
      </c>
      <c r="G30" s="635"/>
      <c r="H30" s="635"/>
      <c r="I30" s="636"/>
      <c r="J30" s="349" t="s">
        <v>68</v>
      </c>
      <c r="K30" s="637">
        <v>167</v>
      </c>
      <c r="L30" s="638"/>
      <c r="M30" s="349">
        <f t="shared" ref="M30:M31" si="5">M29</f>
        <v>980</v>
      </c>
      <c r="N30" s="347">
        <f t="shared" si="4"/>
        <v>163660</v>
      </c>
      <c r="O30" s="326">
        <f t="shared" si="3"/>
        <v>1</v>
      </c>
    </row>
    <row r="31" spans="2:15" ht="38.25" customHeight="1" x14ac:dyDescent="0.2">
      <c r="B31" s="78">
        <v>7901</v>
      </c>
      <c r="C31" s="349" t="s">
        <v>1018</v>
      </c>
      <c r="D31" s="634" t="s">
        <v>1019</v>
      </c>
      <c r="E31" s="636"/>
      <c r="F31" s="634" t="s">
        <v>1012</v>
      </c>
      <c r="G31" s="635"/>
      <c r="H31" s="635"/>
      <c r="I31" s="636"/>
      <c r="J31" s="349" t="s">
        <v>68</v>
      </c>
      <c r="K31" s="637">
        <v>83</v>
      </c>
      <c r="L31" s="638"/>
      <c r="M31" s="349">
        <f t="shared" si="5"/>
        <v>980</v>
      </c>
      <c r="N31" s="347">
        <f t="shared" si="4"/>
        <v>81340</v>
      </c>
      <c r="O31" s="326">
        <f t="shared" si="3"/>
        <v>1</v>
      </c>
    </row>
    <row r="32" spans="2:15" ht="38.25" customHeight="1" x14ac:dyDescent="0.2">
      <c r="B32" s="78">
        <v>7897</v>
      </c>
      <c r="C32" s="349" t="s">
        <v>1020</v>
      </c>
      <c r="D32" s="634" t="s">
        <v>1021</v>
      </c>
      <c r="E32" s="636"/>
      <c r="F32" s="634" t="s">
        <v>1022</v>
      </c>
      <c r="G32" s="635"/>
      <c r="H32" s="635"/>
      <c r="I32" s="636"/>
      <c r="J32" s="349" t="s">
        <v>68</v>
      </c>
      <c r="K32" s="637">
        <v>1309</v>
      </c>
      <c r="L32" s="638"/>
      <c r="M32" s="349">
        <v>40</v>
      </c>
      <c r="N32" s="347">
        <f t="shared" si="4"/>
        <v>52360</v>
      </c>
      <c r="O32" s="326">
        <f t="shared" si="3"/>
        <v>1</v>
      </c>
    </row>
    <row r="33" spans="2:15" ht="61.5" customHeight="1" x14ac:dyDescent="0.2">
      <c r="B33" s="78">
        <v>11086</v>
      </c>
      <c r="C33" s="349" t="s">
        <v>1023</v>
      </c>
      <c r="D33" s="634" t="s">
        <v>1024</v>
      </c>
      <c r="E33" s="636"/>
      <c r="F33" s="634" t="s">
        <v>1025</v>
      </c>
      <c r="G33" s="635"/>
      <c r="H33" s="635"/>
      <c r="I33" s="636"/>
      <c r="J33" s="349" t="s">
        <v>68</v>
      </c>
      <c r="K33" s="637">
        <v>382737</v>
      </c>
      <c r="L33" s="638"/>
      <c r="M33" s="349">
        <v>5</v>
      </c>
      <c r="N33" s="347">
        <f t="shared" si="4"/>
        <v>1913685</v>
      </c>
      <c r="O33" s="326">
        <f t="shared" si="3"/>
        <v>1</v>
      </c>
    </row>
    <row r="34" spans="2:15" ht="38.25" customHeight="1" x14ac:dyDescent="0.2">
      <c r="B34" s="78">
        <v>7896</v>
      </c>
      <c r="C34" s="349" t="s">
        <v>1026</v>
      </c>
      <c r="D34" s="634" t="s">
        <v>1027</v>
      </c>
      <c r="E34" s="636"/>
      <c r="F34" s="634" t="s">
        <v>716</v>
      </c>
      <c r="G34" s="635"/>
      <c r="H34" s="635"/>
      <c r="I34" s="636"/>
      <c r="J34" s="349" t="s">
        <v>68</v>
      </c>
      <c r="K34" s="637">
        <v>95</v>
      </c>
      <c r="L34" s="638"/>
      <c r="M34" s="349">
        <f>51*50</f>
        <v>2550</v>
      </c>
      <c r="N34" s="347">
        <f t="shared" si="4"/>
        <v>242250</v>
      </c>
      <c r="O34" s="326">
        <f t="shared" si="3"/>
        <v>1</v>
      </c>
    </row>
    <row r="35" spans="2:15" ht="38.25" customHeight="1" x14ac:dyDescent="0.2">
      <c r="B35" s="78">
        <v>9839</v>
      </c>
      <c r="C35" s="349" t="s">
        <v>1028</v>
      </c>
      <c r="D35" s="634" t="s">
        <v>1029</v>
      </c>
      <c r="E35" s="636"/>
      <c r="F35" s="634" t="s">
        <v>1030</v>
      </c>
      <c r="G35" s="635"/>
      <c r="H35" s="635"/>
      <c r="I35" s="636"/>
      <c r="J35" s="349" t="s">
        <v>68</v>
      </c>
      <c r="K35" s="637">
        <v>11190</v>
      </c>
      <c r="L35" s="638"/>
      <c r="M35" s="349">
        <f>M31</f>
        <v>980</v>
      </c>
      <c r="N35" s="347">
        <f t="shared" si="4"/>
        <v>10966200</v>
      </c>
      <c r="O35" s="326">
        <f t="shared" si="3"/>
        <v>1</v>
      </c>
    </row>
    <row r="36" spans="2:15" ht="38.25" customHeight="1" x14ac:dyDescent="0.2">
      <c r="B36" s="78">
        <v>7898</v>
      </c>
      <c r="C36" s="349" t="s">
        <v>1031</v>
      </c>
      <c r="D36" s="634" t="s">
        <v>1032</v>
      </c>
      <c r="E36" s="636"/>
      <c r="F36" s="634" t="s">
        <v>1032</v>
      </c>
      <c r="G36" s="635"/>
      <c r="H36" s="635"/>
      <c r="I36" s="636"/>
      <c r="J36" s="349" t="s">
        <v>68</v>
      </c>
      <c r="K36" s="637">
        <v>500</v>
      </c>
      <c r="L36" s="638"/>
      <c r="M36" s="349">
        <f>M31*2</f>
        <v>1960</v>
      </c>
      <c r="N36" s="347">
        <f t="shared" si="4"/>
        <v>980000</v>
      </c>
      <c r="O36" s="326">
        <f t="shared" si="3"/>
        <v>1</v>
      </c>
    </row>
    <row r="37" spans="2:15" ht="15" x14ac:dyDescent="0.2">
      <c r="B37" s="711" t="str">
        <f>"SUBTOTAL "&amp;B26&amp;" "&amp;$C$26</f>
        <v>SUBTOTAL B2 PROGRAMA DE DIVULGACIÓN AL CIUDADANO</v>
      </c>
      <c r="C37" s="712"/>
      <c r="D37" s="712"/>
      <c r="E37" s="712"/>
      <c r="F37" s="712"/>
      <c r="G37" s="712"/>
      <c r="H37" s="712"/>
      <c r="I37" s="712"/>
      <c r="J37" s="712"/>
      <c r="K37" s="712"/>
      <c r="L37" s="712"/>
      <c r="M37" s="713"/>
      <c r="N37" s="389">
        <f>SUM(N28:N36)</f>
        <v>14644495</v>
      </c>
      <c r="O37" s="326">
        <v>1</v>
      </c>
    </row>
    <row r="38" spans="2:15" ht="11.25" customHeight="1" x14ac:dyDescent="0.2">
      <c r="B38" s="628"/>
      <c r="C38" s="628"/>
      <c r="D38" s="628"/>
      <c r="E38" s="628"/>
      <c r="F38" s="628"/>
      <c r="G38" s="628"/>
      <c r="H38" s="628"/>
      <c r="I38" s="628"/>
      <c r="J38" s="628"/>
      <c r="K38" s="628"/>
      <c r="L38" s="628"/>
      <c r="M38" s="628"/>
      <c r="N38" s="628"/>
      <c r="O38" s="326">
        <v>1</v>
      </c>
    </row>
    <row r="39" spans="2:15" x14ac:dyDescent="0.2">
      <c r="B39" s="370" t="s">
        <v>743</v>
      </c>
      <c r="C39" s="352" t="s">
        <v>1033</v>
      </c>
      <c r="D39" s="360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26">
        <v>1</v>
      </c>
    </row>
    <row r="40" spans="2:15" ht="26.65" customHeight="1" x14ac:dyDescent="0.2">
      <c r="B40" s="387" t="s">
        <v>664</v>
      </c>
      <c r="C40" s="387" t="s">
        <v>449</v>
      </c>
      <c r="D40" s="717" t="s">
        <v>43</v>
      </c>
      <c r="E40" s="717"/>
      <c r="F40" s="717" t="s">
        <v>711</v>
      </c>
      <c r="G40" s="717"/>
      <c r="H40" s="717"/>
      <c r="I40" s="717"/>
      <c r="J40" s="387" t="s">
        <v>712</v>
      </c>
      <c r="K40" s="718" t="s">
        <v>46</v>
      </c>
      <c r="L40" s="718"/>
      <c r="M40" s="388" t="s">
        <v>45</v>
      </c>
      <c r="N40" s="387" t="s">
        <v>594</v>
      </c>
      <c r="O40" s="326">
        <v>1</v>
      </c>
    </row>
    <row r="41" spans="2:15" ht="30.4" customHeight="1" x14ac:dyDescent="0.2">
      <c r="B41" s="78">
        <v>6170</v>
      </c>
      <c r="C41" s="349" t="s">
        <v>745</v>
      </c>
      <c r="D41" s="648" t="s">
        <v>1034</v>
      </c>
      <c r="E41" s="649"/>
      <c r="F41" s="634" t="s">
        <v>1035</v>
      </c>
      <c r="G41" s="635"/>
      <c r="H41" s="635"/>
      <c r="I41" s="636"/>
      <c r="J41" s="349" t="s">
        <v>723</v>
      </c>
      <c r="K41" s="637">
        <v>8795</v>
      </c>
      <c r="L41" s="638"/>
      <c r="M41" s="349">
        <f>1*(ROUNDUP(E8,0))</f>
        <v>7</v>
      </c>
      <c r="N41" s="347">
        <f>ROUND(K41*M41,0)</f>
        <v>61565</v>
      </c>
      <c r="O41" s="326">
        <v>1</v>
      </c>
    </row>
    <row r="42" spans="2:15" ht="30.4" customHeight="1" x14ac:dyDescent="0.2">
      <c r="B42" s="78">
        <v>6169</v>
      </c>
      <c r="C42" s="349" t="s">
        <v>748</v>
      </c>
      <c r="D42" s="648" t="s">
        <v>1036</v>
      </c>
      <c r="E42" s="649"/>
      <c r="F42" s="634" t="s">
        <v>1037</v>
      </c>
      <c r="G42" s="635"/>
      <c r="H42" s="635"/>
      <c r="I42" s="636"/>
      <c r="J42" s="349" t="s">
        <v>723</v>
      </c>
      <c r="K42" s="637">
        <v>9730</v>
      </c>
      <c r="L42" s="638"/>
      <c r="M42" s="349">
        <f>M41</f>
        <v>7</v>
      </c>
      <c r="N42" s="347">
        <f t="shared" ref="N42:N49" si="6">ROUND(K42*M42,0)</f>
        <v>68110</v>
      </c>
      <c r="O42" s="326">
        <v>1</v>
      </c>
    </row>
    <row r="43" spans="2:15" ht="12.75" customHeight="1" x14ac:dyDescent="0.2">
      <c r="B43" s="78">
        <v>6172</v>
      </c>
      <c r="C43" s="349" t="s">
        <v>749</v>
      </c>
      <c r="D43" s="648" t="s">
        <v>1034</v>
      </c>
      <c r="E43" s="649"/>
      <c r="F43" s="634" t="s">
        <v>1038</v>
      </c>
      <c r="G43" s="635"/>
      <c r="H43" s="635"/>
      <c r="I43" s="636"/>
      <c r="J43" s="349" t="s">
        <v>723</v>
      </c>
      <c r="K43" s="637">
        <v>1953</v>
      </c>
      <c r="L43" s="638"/>
      <c r="M43" s="349">
        <f>5*(ROUNDUP(E8,0))</f>
        <v>35</v>
      </c>
      <c r="N43" s="347">
        <f t="shared" si="6"/>
        <v>68355</v>
      </c>
      <c r="O43" s="326">
        <v>1</v>
      </c>
    </row>
    <row r="44" spans="2:15" ht="42" customHeight="1" x14ac:dyDescent="0.2">
      <c r="B44" s="78">
        <v>9048</v>
      </c>
      <c r="C44" s="349" t="s">
        <v>750</v>
      </c>
      <c r="D44" s="648" t="s">
        <v>1039</v>
      </c>
      <c r="E44" s="649"/>
      <c r="F44" s="634" t="s">
        <v>1040</v>
      </c>
      <c r="G44" s="635"/>
      <c r="H44" s="635"/>
      <c r="I44" s="636"/>
      <c r="J44" s="349" t="s">
        <v>68</v>
      </c>
      <c r="K44" s="637">
        <v>478574</v>
      </c>
      <c r="L44" s="638"/>
      <c r="M44" s="349">
        <v>1</v>
      </c>
      <c r="N44" s="347">
        <f t="shared" si="6"/>
        <v>478574</v>
      </c>
      <c r="O44" s="326">
        <v>1</v>
      </c>
    </row>
    <row r="45" spans="2:15" ht="42" customHeight="1" x14ac:dyDescent="0.2">
      <c r="B45" s="78">
        <v>7992</v>
      </c>
      <c r="C45" s="349" t="s">
        <v>751</v>
      </c>
      <c r="D45" s="648" t="s">
        <v>1041</v>
      </c>
      <c r="E45" s="649"/>
      <c r="F45" s="634" t="s">
        <v>1042</v>
      </c>
      <c r="G45" s="635"/>
      <c r="H45" s="635"/>
      <c r="I45" s="636"/>
      <c r="J45" s="349" t="s">
        <v>68</v>
      </c>
      <c r="K45" s="637">
        <v>500000</v>
      </c>
      <c r="L45" s="638"/>
      <c r="M45" s="349">
        <v>1</v>
      </c>
      <c r="N45" s="347">
        <f t="shared" si="6"/>
        <v>500000</v>
      </c>
      <c r="O45" s="326">
        <v>1</v>
      </c>
    </row>
    <row r="46" spans="2:15" ht="42" customHeight="1" x14ac:dyDescent="0.2">
      <c r="B46" s="78">
        <v>9836</v>
      </c>
      <c r="C46" s="349" t="s">
        <v>754</v>
      </c>
      <c r="D46" s="648" t="s">
        <v>1043</v>
      </c>
      <c r="E46" s="649"/>
      <c r="F46" s="634" t="s">
        <v>1044</v>
      </c>
      <c r="G46" s="635"/>
      <c r="H46" s="635"/>
      <c r="I46" s="636"/>
      <c r="J46" s="349" t="s">
        <v>1045</v>
      </c>
      <c r="K46" s="637">
        <v>152400</v>
      </c>
      <c r="L46" s="638"/>
      <c r="M46" s="349">
        <f>ROUNDUP($E$8,0)</f>
        <v>7</v>
      </c>
      <c r="N46" s="347">
        <f t="shared" si="6"/>
        <v>1066800</v>
      </c>
      <c r="O46" s="326">
        <v>1</v>
      </c>
    </row>
    <row r="47" spans="2:15" ht="66.75" customHeight="1" x14ac:dyDescent="0.2">
      <c r="B47" s="78">
        <v>9724</v>
      </c>
      <c r="C47" s="349" t="s">
        <v>756</v>
      </c>
      <c r="D47" s="648" t="s">
        <v>1046</v>
      </c>
      <c r="E47" s="649"/>
      <c r="F47" s="634" t="s">
        <v>1047</v>
      </c>
      <c r="G47" s="635"/>
      <c r="H47" s="635"/>
      <c r="I47" s="636"/>
      <c r="J47" s="349" t="s">
        <v>723</v>
      </c>
      <c r="K47" s="637">
        <v>154700</v>
      </c>
      <c r="L47" s="638"/>
      <c r="M47" s="349">
        <f>M46</f>
        <v>7</v>
      </c>
      <c r="N47" s="347">
        <f t="shared" si="6"/>
        <v>1082900</v>
      </c>
      <c r="O47" s="326">
        <v>1</v>
      </c>
    </row>
    <row r="48" spans="2:15" ht="42" customHeight="1" x14ac:dyDescent="0.2">
      <c r="B48" s="78">
        <v>9576</v>
      </c>
      <c r="C48" s="349" t="s">
        <v>758</v>
      </c>
      <c r="D48" s="648" t="s">
        <v>1048</v>
      </c>
      <c r="E48" s="649"/>
      <c r="F48" s="634" t="s">
        <v>595</v>
      </c>
      <c r="G48" s="635"/>
      <c r="H48" s="635"/>
      <c r="I48" s="636"/>
      <c r="J48" s="349" t="s">
        <v>231</v>
      </c>
      <c r="K48" s="637">
        <v>45108</v>
      </c>
      <c r="L48" s="638"/>
      <c r="M48" s="349">
        <f>15*ROUNDUP($E$8,0)</f>
        <v>105</v>
      </c>
      <c r="N48" s="347">
        <f t="shared" si="6"/>
        <v>4736340</v>
      </c>
      <c r="O48" s="326">
        <v>1</v>
      </c>
    </row>
    <row r="49" spans="1:15" ht="66.400000000000006" customHeight="1" x14ac:dyDescent="0.2">
      <c r="B49" s="78">
        <v>9840</v>
      </c>
      <c r="C49" s="349" t="s">
        <v>1049</v>
      </c>
      <c r="D49" s="648" t="s">
        <v>1050</v>
      </c>
      <c r="E49" s="649"/>
      <c r="F49" s="634" t="s">
        <v>1051</v>
      </c>
      <c r="G49" s="635"/>
      <c r="H49" s="635"/>
      <c r="I49" s="636"/>
      <c r="J49" s="349" t="s">
        <v>723</v>
      </c>
      <c r="K49" s="637">
        <v>219000</v>
      </c>
      <c r="L49" s="638"/>
      <c r="M49" s="349">
        <f>ROUNDUP($E$8,0)</f>
        <v>7</v>
      </c>
      <c r="N49" s="347">
        <f t="shared" si="6"/>
        <v>1533000</v>
      </c>
      <c r="O49" s="326">
        <v>1</v>
      </c>
    </row>
    <row r="50" spans="1:15" ht="15" x14ac:dyDescent="0.2">
      <c r="B50" s="711" t="str">
        <f>"SUBTOTAL "&amp;B39&amp;" "&amp;$C$26</f>
        <v>SUBTOTAL B3 PROGRAMA DE DIVULGACIÓN AL CIUDADANO</v>
      </c>
      <c r="C50" s="712"/>
      <c r="D50" s="712"/>
      <c r="E50" s="712"/>
      <c r="F50" s="712"/>
      <c r="G50" s="712"/>
      <c r="H50" s="712"/>
      <c r="I50" s="712"/>
      <c r="J50" s="712"/>
      <c r="K50" s="712"/>
      <c r="L50" s="712"/>
      <c r="M50" s="713"/>
      <c r="N50" s="389">
        <f>SUM(N41:N49)</f>
        <v>9595644</v>
      </c>
      <c r="O50" s="326">
        <v>1</v>
      </c>
    </row>
    <row r="51" spans="1:15" x14ac:dyDescent="0.2">
      <c r="B51" s="624"/>
      <c r="C51" s="624"/>
      <c r="D51" s="624"/>
      <c r="E51" s="624"/>
      <c r="F51" s="624"/>
      <c r="G51" s="624"/>
      <c r="H51" s="624"/>
      <c r="I51" s="624"/>
      <c r="J51" s="624"/>
      <c r="K51" s="624"/>
      <c r="L51" s="624"/>
      <c r="M51" s="624"/>
      <c r="N51" s="624"/>
      <c r="O51" s="326">
        <v>1</v>
      </c>
    </row>
    <row r="52" spans="1:15" x14ac:dyDescent="0.2">
      <c r="B52" s="386" t="s">
        <v>775</v>
      </c>
      <c r="C52" s="360" t="s">
        <v>1052</v>
      </c>
      <c r="D52" s="360"/>
      <c r="E52" s="360"/>
      <c r="F52" s="360"/>
      <c r="G52" s="360"/>
      <c r="H52" s="360"/>
      <c r="I52" s="360"/>
      <c r="J52" s="360"/>
      <c r="K52" s="360"/>
      <c r="L52" s="360"/>
      <c r="M52" s="360"/>
      <c r="N52" s="360"/>
      <c r="O52" s="326">
        <v>1</v>
      </c>
    </row>
    <row r="53" spans="1:15" x14ac:dyDescent="0.2">
      <c r="B53" s="387" t="s">
        <v>664</v>
      </c>
      <c r="C53" s="387" t="s">
        <v>449</v>
      </c>
      <c r="D53" s="717" t="s">
        <v>43</v>
      </c>
      <c r="E53" s="717"/>
      <c r="F53" s="717" t="s">
        <v>711</v>
      </c>
      <c r="G53" s="717"/>
      <c r="H53" s="717"/>
      <c r="I53" s="717"/>
      <c r="J53" s="387" t="s">
        <v>712</v>
      </c>
      <c r="K53" s="718" t="s">
        <v>46</v>
      </c>
      <c r="L53" s="718"/>
      <c r="M53" s="388" t="s">
        <v>45</v>
      </c>
      <c r="N53" s="387" t="s">
        <v>594</v>
      </c>
      <c r="O53" s="326">
        <v>1</v>
      </c>
    </row>
    <row r="54" spans="1:15" ht="75.75" customHeight="1" x14ac:dyDescent="0.2">
      <c r="B54" s="78">
        <v>10203</v>
      </c>
      <c r="C54" s="349" t="s">
        <v>777</v>
      </c>
      <c r="D54" s="648" t="s">
        <v>1053</v>
      </c>
      <c r="E54" s="649"/>
      <c r="F54" s="634" t="s">
        <v>1054</v>
      </c>
      <c r="G54" s="635"/>
      <c r="H54" s="635"/>
      <c r="I54" s="636"/>
      <c r="J54" s="349" t="s">
        <v>68</v>
      </c>
      <c r="K54" s="637">
        <v>91022</v>
      </c>
      <c r="L54" s="638"/>
      <c r="M54" s="349">
        <f>27*ROUNDUP($E$5,0)</f>
        <v>162</v>
      </c>
      <c r="N54" s="363">
        <f>ROUND(K54*M54,0)</f>
        <v>14745564</v>
      </c>
      <c r="O54" s="326">
        <f t="shared" ref="O54" si="7">IF(N54=0,0,1)</f>
        <v>1</v>
      </c>
    </row>
    <row r="55" spans="1:15" ht="15" x14ac:dyDescent="0.2">
      <c r="B55" s="711" t="str">
        <f>"SUBTOTAL "&amp;B52&amp;" "&amp;C52</f>
        <v>SUBTOTAL B4 MEDICIÓN DE PERCEPCIÓN CIUDADANA Y MONITOREO DE IMPACTO</v>
      </c>
      <c r="C55" s="712"/>
      <c r="D55" s="712"/>
      <c r="E55" s="712"/>
      <c r="F55" s="712"/>
      <c r="G55" s="712"/>
      <c r="H55" s="712"/>
      <c r="I55" s="712"/>
      <c r="J55" s="712"/>
      <c r="K55" s="712"/>
      <c r="L55" s="712"/>
      <c r="M55" s="713"/>
      <c r="N55" s="389">
        <f>SUM(N54)</f>
        <v>14745564</v>
      </c>
      <c r="O55" s="326">
        <v>1</v>
      </c>
    </row>
    <row r="56" spans="1:15" ht="15" x14ac:dyDescent="0.2">
      <c r="B56" s="714"/>
      <c r="C56" s="715"/>
      <c r="D56" s="715"/>
      <c r="E56" s="715"/>
      <c r="F56" s="715"/>
      <c r="G56" s="715"/>
      <c r="H56" s="715"/>
      <c r="I56" s="715"/>
      <c r="J56" s="715"/>
      <c r="K56" s="715"/>
      <c r="L56" s="715"/>
      <c r="M56" s="715"/>
      <c r="N56" s="716"/>
      <c r="O56" s="326">
        <v>1</v>
      </c>
    </row>
    <row r="57" spans="1:15" ht="15" x14ac:dyDescent="0.2">
      <c r="B57" s="625" t="str">
        <f>"SUBTOTAL "&amp;B20</f>
        <v>SUBTOTAL COMPONENTE B. PROGEMA PARA DIÁLOGO CIUDADANO Y COMUNICACIÓN ESTRATÉGICA PARA OBRAS DEL IDU</v>
      </c>
      <c r="C57" s="626"/>
      <c r="D57" s="626"/>
      <c r="E57" s="626"/>
      <c r="F57" s="626"/>
      <c r="G57" s="626"/>
      <c r="H57" s="626"/>
      <c r="I57" s="626"/>
      <c r="J57" s="626"/>
      <c r="K57" s="626"/>
      <c r="L57" s="626"/>
      <c r="M57" s="627"/>
      <c r="N57" s="359">
        <f>N24+N37+N50+N55</f>
        <v>39146353</v>
      </c>
      <c r="O57" s="326">
        <v>1</v>
      </c>
    </row>
    <row r="58" spans="1:15" ht="15" x14ac:dyDescent="0.2">
      <c r="B58" s="714"/>
      <c r="C58" s="715"/>
      <c r="D58" s="715"/>
      <c r="E58" s="715"/>
      <c r="F58" s="715"/>
      <c r="G58" s="715"/>
      <c r="H58" s="715"/>
      <c r="I58" s="715"/>
      <c r="J58" s="715"/>
      <c r="K58" s="715"/>
      <c r="L58" s="715"/>
      <c r="M58" s="715"/>
      <c r="N58" s="716"/>
      <c r="O58" s="326">
        <v>1</v>
      </c>
    </row>
    <row r="59" spans="1:15" x14ac:dyDescent="0.2">
      <c r="A59" s="327" t="s">
        <v>805</v>
      </c>
      <c r="B59" s="615" t="str">
        <f>"SUBTOTAL COSTO DIRECTO "&amp;$D$2</f>
        <v xml:space="preserve">SUBTOTAL COSTO DIRECTO </v>
      </c>
      <c r="C59" s="616"/>
      <c r="D59" s="616"/>
      <c r="E59" s="616"/>
      <c r="F59" s="616"/>
      <c r="G59" s="616"/>
      <c r="H59" s="616"/>
      <c r="I59" s="616"/>
      <c r="J59" s="616"/>
      <c r="K59" s="616"/>
      <c r="L59" s="616"/>
      <c r="M59" s="617"/>
      <c r="N59" s="357">
        <f>N18+N57</f>
        <v>117330898</v>
      </c>
      <c r="O59" s="326">
        <v>1</v>
      </c>
    </row>
    <row r="60" spans="1:15" x14ac:dyDescent="0.2">
      <c r="A60" s="327"/>
      <c r="B60" s="630"/>
      <c r="C60" s="631"/>
      <c r="D60" s="631"/>
      <c r="E60" s="631"/>
      <c r="F60" s="631"/>
      <c r="G60" s="631"/>
      <c r="H60" s="631"/>
      <c r="I60" s="631"/>
      <c r="J60" s="631"/>
      <c r="K60" s="631"/>
      <c r="L60" s="631"/>
      <c r="M60" s="631"/>
      <c r="N60" s="631"/>
      <c r="O60" s="326">
        <v>1</v>
      </c>
    </row>
    <row r="61" spans="1:15" x14ac:dyDescent="0.2">
      <c r="A61" s="327" t="s">
        <v>1055</v>
      </c>
      <c r="B61" s="615" t="s">
        <v>633</v>
      </c>
      <c r="C61" s="616"/>
      <c r="D61" s="616"/>
      <c r="E61" s="616"/>
      <c r="F61" s="616"/>
      <c r="G61" s="616"/>
      <c r="H61" s="616"/>
      <c r="I61" s="616"/>
      <c r="J61" s="616"/>
      <c r="K61" s="617"/>
      <c r="L61" s="618">
        <f>AIU!K171</f>
        <v>0.128</v>
      </c>
      <c r="M61" s="619"/>
      <c r="N61" s="374">
        <f>ROUND(L61*$N$59,0)</f>
        <v>15018355</v>
      </c>
      <c r="O61" s="326">
        <v>1</v>
      </c>
    </row>
    <row r="62" spans="1:15" x14ac:dyDescent="0.2">
      <c r="A62" s="327" t="s">
        <v>1056</v>
      </c>
      <c r="B62" s="615" t="s">
        <v>634</v>
      </c>
      <c r="C62" s="616"/>
      <c r="D62" s="616"/>
      <c r="E62" s="616"/>
      <c r="F62" s="616"/>
      <c r="G62" s="616"/>
      <c r="H62" s="616"/>
      <c r="I62" s="616"/>
      <c r="J62" s="616"/>
      <c r="K62" s="617"/>
      <c r="L62" s="618">
        <f>AIU!K172</f>
        <v>0.01</v>
      </c>
      <c r="M62" s="619"/>
      <c r="N62" s="374">
        <f t="shared" ref="N62:N63" si="8">ROUND(L62*$N$59,0)</f>
        <v>1173309</v>
      </c>
      <c r="O62" s="326">
        <v>1</v>
      </c>
    </row>
    <row r="63" spans="1:15" x14ac:dyDescent="0.2">
      <c r="A63" s="327" t="s">
        <v>1057</v>
      </c>
      <c r="B63" s="615" t="s">
        <v>635</v>
      </c>
      <c r="C63" s="616"/>
      <c r="D63" s="616"/>
      <c r="E63" s="616"/>
      <c r="F63" s="616"/>
      <c r="G63" s="616"/>
      <c r="H63" s="616"/>
      <c r="I63" s="616"/>
      <c r="J63" s="616"/>
      <c r="K63" s="617"/>
      <c r="L63" s="618">
        <f>AIU!K173</f>
        <v>4.4999999999999998E-2</v>
      </c>
      <c r="M63" s="619"/>
      <c r="N63" s="374">
        <f t="shared" si="8"/>
        <v>5279890</v>
      </c>
      <c r="O63" s="326">
        <v>1</v>
      </c>
    </row>
    <row r="64" spans="1:15" x14ac:dyDescent="0.2">
      <c r="A64" s="327"/>
      <c r="B64" s="615" t="s">
        <v>636</v>
      </c>
      <c r="C64" s="616"/>
      <c r="D64" s="616"/>
      <c r="E64" s="616"/>
      <c r="F64" s="616"/>
      <c r="G64" s="616"/>
      <c r="H64" s="616"/>
      <c r="I64" s="616"/>
      <c r="J64" s="616"/>
      <c r="K64" s="617"/>
      <c r="L64" s="618">
        <f>SUM(L61:M63)</f>
        <v>0.183</v>
      </c>
      <c r="M64" s="619"/>
      <c r="N64" s="374">
        <f>ROUND(L64*$N$59,0)</f>
        <v>21471554</v>
      </c>
      <c r="O64" s="326">
        <v>1</v>
      </c>
    </row>
    <row r="65" spans="1:15" x14ac:dyDescent="0.2">
      <c r="A65" s="327"/>
      <c r="B65" s="620"/>
      <c r="C65" s="620"/>
      <c r="D65" s="620"/>
      <c r="E65" s="620"/>
      <c r="F65" s="620"/>
      <c r="G65" s="620"/>
      <c r="H65" s="620"/>
      <c r="I65" s="620"/>
      <c r="J65" s="620"/>
      <c r="K65" s="620"/>
      <c r="L65" s="620"/>
      <c r="M65" s="620"/>
      <c r="N65" s="621"/>
      <c r="O65" s="326">
        <v>1</v>
      </c>
    </row>
    <row r="66" spans="1:15" x14ac:dyDescent="0.2">
      <c r="A66" s="327" t="s">
        <v>1058</v>
      </c>
      <c r="B66" s="708" t="s">
        <v>1000</v>
      </c>
      <c r="C66" s="709"/>
      <c r="D66" s="709"/>
      <c r="E66" s="709"/>
      <c r="F66" s="709"/>
      <c r="G66" s="709"/>
      <c r="H66" s="709"/>
      <c r="I66" s="709"/>
      <c r="J66" s="709"/>
      <c r="K66" s="710"/>
      <c r="L66" s="618">
        <v>0</v>
      </c>
      <c r="M66" s="619"/>
      <c r="N66" s="375">
        <f>ROUND(L66*N63,0)</f>
        <v>0</v>
      </c>
      <c r="O66" s="326">
        <v>1</v>
      </c>
    </row>
    <row r="67" spans="1:15" x14ac:dyDescent="0.2">
      <c r="A67" s="327"/>
      <c r="B67" s="620"/>
      <c r="C67" s="620"/>
      <c r="D67" s="620"/>
      <c r="E67" s="620"/>
      <c r="F67" s="620"/>
      <c r="G67" s="620"/>
      <c r="H67" s="620"/>
      <c r="I67" s="620"/>
      <c r="J67" s="620"/>
      <c r="K67" s="620"/>
      <c r="L67" s="620"/>
      <c r="M67" s="620"/>
      <c r="N67" s="620"/>
      <c r="O67" s="326">
        <v>1</v>
      </c>
    </row>
    <row r="68" spans="1:15" x14ac:dyDescent="0.2">
      <c r="A68" s="390"/>
      <c r="B68" s="705" t="str">
        <f>"TOTAL REDONDEADO "&amp;$D$2</f>
        <v xml:space="preserve">TOTAL REDONDEADO </v>
      </c>
      <c r="C68" s="706"/>
      <c r="D68" s="706"/>
      <c r="E68" s="706"/>
      <c r="F68" s="706"/>
      <c r="G68" s="706"/>
      <c r="H68" s="706"/>
      <c r="I68" s="706"/>
      <c r="J68" s="706"/>
      <c r="K68" s="706"/>
      <c r="L68" s="706"/>
      <c r="M68" s="707"/>
      <c r="N68" s="377">
        <f>ROUND(N66+N64+N59,0)</f>
        <v>138802452</v>
      </c>
      <c r="O68" s="326">
        <v>1</v>
      </c>
    </row>
    <row r="69" spans="1:15" x14ac:dyDescent="0.2">
      <c r="A69" s="327" t="s">
        <v>693</v>
      </c>
      <c r="B69" s="378"/>
      <c r="C69" s="340"/>
      <c r="D69" s="340"/>
      <c r="E69" s="340"/>
      <c r="F69" s="340"/>
      <c r="G69" s="340"/>
      <c r="H69" s="340"/>
      <c r="I69" s="340"/>
      <c r="J69" s="340"/>
      <c r="K69" s="340"/>
      <c r="L69" s="340"/>
      <c r="M69" s="340"/>
      <c r="N69" s="349" t="e">
        <f>COUNTIF(#REF!,"&lt;&gt;"&amp;0)+COUNTIF(#REF!,"&lt;&gt;"&amp;0)</f>
        <v>#REF!</v>
      </c>
      <c r="O69" s="326">
        <v>1</v>
      </c>
    </row>
    <row r="70" spans="1:15" x14ac:dyDescent="0.2">
      <c r="A70" s="327" t="s">
        <v>695</v>
      </c>
      <c r="B70" s="378"/>
      <c r="C70" s="340"/>
      <c r="D70" s="340"/>
      <c r="E70" s="340"/>
      <c r="F70" s="340"/>
      <c r="G70" s="340"/>
      <c r="H70" s="340"/>
      <c r="I70" s="340"/>
      <c r="J70" s="340"/>
      <c r="K70" s="340"/>
      <c r="L70" s="340"/>
      <c r="M70" s="340"/>
      <c r="N70" s="391" t="e">
        <f>COUNTIF(#REF!,"&lt;&gt;"&amp;0)+COUNTIF(#REF!,"&lt;&gt;"&amp;0)</f>
        <v>#REF!</v>
      </c>
      <c r="O70" s="326">
        <v>1</v>
      </c>
    </row>
    <row r="71" spans="1:15" x14ac:dyDescent="0.2">
      <c r="A71" s="327" t="s">
        <v>1001</v>
      </c>
      <c r="B71" s="378"/>
      <c r="C71" s="340"/>
      <c r="D71" s="340"/>
      <c r="E71" s="340"/>
      <c r="F71" s="340"/>
      <c r="G71" s="340"/>
      <c r="H71" s="340"/>
      <c r="I71" s="340"/>
      <c r="J71" s="340"/>
      <c r="K71" s="340"/>
      <c r="L71" s="340"/>
      <c r="M71" s="340"/>
      <c r="N71" s="340"/>
      <c r="O71" s="380" t="s">
        <v>1002</v>
      </c>
    </row>
  </sheetData>
  <autoFilter ref="A1:O71"/>
  <mergeCells count="122">
    <mergeCell ref="B2:N2"/>
    <mergeCell ref="B3:N3"/>
    <mergeCell ref="B4:N4"/>
    <mergeCell ref="B5:D5"/>
    <mergeCell ref="F5:G5"/>
    <mergeCell ref="B6:D6"/>
    <mergeCell ref="F6:G6"/>
    <mergeCell ref="B11:B12"/>
    <mergeCell ref="C11:C12"/>
    <mergeCell ref="D11:G12"/>
    <mergeCell ref="I11:I12"/>
    <mergeCell ref="D13:G13"/>
    <mergeCell ref="D14:G14"/>
    <mergeCell ref="B7:D7"/>
    <mergeCell ref="F7:G7"/>
    <mergeCell ref="B8:D8"/>
    <mergeCell ref="F8:G8"/>
    <mergeCell ref="B9:N9"/>
    <mergeCell ref="B10:N10"/>
    <mergeCell ref="D22:E22"/>
    <mergeCell ref="F22:I22"/>
    <mergeCell ref="K22:L22"/>
    <mergeCell ref="D23:E23"/>
    <mergeCell ref="F23:I23"/>
    <mergeCell ref="K23:L23"/>
    <mergeCell ref="D15:G15"/>
    <mergeCell ref="D16:G16"/>
    <mergeCell ref="B17:N17"/>
    <mergeCell ref="B18:M18"/>
    <mergeCell ref="B19:N19"/>
    <mergeCell ref="B20:N20"/>
    <mergeCell ref="D29:E29"/>
    <mergeCell ref="F29:I29"/>
    <mergeCell ref="K29:L29"/>
    <mergeCell ref="D30:E30"/>
    <mergeCell ref="F30:I30"/>
    <mergeCell ref="K30:L30"/>
    <mergeCell ref="B24:M24"/>
    <mergeCell ref="B25:N25"/>
    <mergeCell ref="D27:E27"/>
    <mergeCell ref="F27:I27"/>
    <mergeCell ref="K27:L27"/>
    <mergeCell ref="D28:E28"/>
    <mergeCell ref="F28:I28"/>
    <mergeCell ref="K28:L28"/>
    <mergeCell ref="D33:E33"/>
    <mergeCell ref="F33:I33"/>
    <mergeCell ref="K33:L33"/>
    <mergeCell ref="D34:E34"/>
    <mergeCell ref="F34:I34"/>
    <mergeCell ref="K34:L34"/>
    <mergeCell ref="D31:E31"/>
    <mergeCell ref="F31:I31"/>
    <mergeCell ref="K31:L31"/>
    <mergeCell ref="D32:E32"/>
    <mergeCell ref="F32:I32"/>
    <mergeCell ref="K32:L32"/>
    <mergeCell ref="B37:M37"/>
    <mergeCell ref="B38:N38"/>
    <mergeCell ref="D40:E40"/>
    <mergeCell ref="F40:I40"/>
    <mergeCell ref="K40:L40"/>
    <mergeCell ref="D41:E41"/>
    <mergeCell ref="F41:I41"/>
    <mergeCell ref="K41:L41"/>
    <mergeCell ref="D35:E35"/>
    <mergeCell ref="F35:I35"/>
    <mergeCell ref="K35:L35"/>
    <mergeCell ref="D36:E36"/>
    <mergeCell ref="F36:I36"/>
    <mergeCell ref="K36:L36"/>
    <mergeCell ref="D44:E44"/>
    <mergeCell ref="F44:I44"/>
    <mergeCell ref="K44:L44"/>
    <mergeCell ref="D45:E45"/>
    <mergeCell ref="F45:I45"/>
    <mergeCell ref="K45:L45"/>
    <mergeCell ref="D42:E42"/>
    <mergeCell ref="F42:I42"/>
    <mergeCell ref="K42:L42"/>
    <mergeCell ref="D43:E43"/>
    <mergeCell ref="F43:I43"/>
    <mergeCell ref="K43:L43"/>
    <mergeCell ref="D48:E48"/>
    <mergeCell ref="F48:I48"/>
    <mergeCell ref="K48:L48"/>
    <mergeCell ref="D49:E49"/>
    <mergeCell ref="F49:I49"/>
    <mergeCell ref="K49:L49"/>
    <mergeCell ref="D46:E46"/>
    <mergeCell ref="F46:I46"/>
    <mergeCell ref="K46:L46"/>
    <mergeCell ref="D47:E47"/>
    <mergeCell ref="F47:I47"/>
    <mergeCell ref="K47:L47"/>
    <mergeCell ref="B55:M55"/>
    <mergeCell ref="B56:N56"/>
    <mergeCell ref="B57:M57"/>
    <mergeCell ref="B58:N58"/>
    <mergeCell ref="B59:M59"/>
    <mergeCell ref="B60:N60"/>
    <mergeCell ref="B50:M50"/>
    <mergeCell ref="B51:N51"/>
    <mergeCell ref="D53:E53"/>
    <mergeCell ref="F53:I53"/>
    <mergeCell ref="K53:L53"/>
    <mergeCell ref="D54:E54"/>
    <mergeCell ref="F54:I54"/>
    <mergeCell ref="K54:L54"/>
    <mergeCell ref="B68:M68"/>
    <mergeCell ref="B64:K64"/>
    <mergeCell ref="L64:M64"/>
    <mergeCell ref="B65:N65"/>
    <mergeCell ref="B66:K66"/>
    <mergeCell ref="L66:M66"/>
    <mergeCell ref="B67:N67"/>
    <mergeCell ref="B61:K61"/>
    <mergeCell ref="L61:M61"/>
    <mergeCell ref="B62:K62"/>
    <mergeCell ref="L62:M62"/>
    <mergeCell ref="B63:K63"/>
    <mergeCell ref="L63:M63"/>
  </mergeCells>
  <dataValidations count="1">
    <dataValidation type="whole" allowBlank="1" showInputMessage="1" showErrorMessage="1" sqref="O22:O25 O53:O70 O40:O51 O27:O38 O2:O19">
      <formula1>0</formula1>
      <formula2>1</formula2>
    </dataValidation>
  </dataValidations>
  <pageMargins left="0.7" right="0.7" top="0.75" bottom="0.75" header="0.3" footer="0.3"/>
  <pageSetup paperSize="119" scale="68" fitToHeight="0" orientation="landscape" r:id="rId1"/>
  <colBreaks count="1" manualBreakCount="1">
    <brk id="14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89B38934-1172-4C45-B533-E1F01D0863D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O2:O5 O9:O13</xm:sqref>
        </x14:conditionalFormatting>
        <x14:conditionalFormatting xmlns:xm="http://schemas.microsoft.com/office/excel/2006/main">
          <x14:cfRule type="iconSet" priority="4" id="{88A16D97-8F1D-40A5-8552-EE34A54BF40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O6:O8</xm:sqref>
        </x14:conditionalFormatting>
        <x14:conditionalFormatting xmlns:xm="http://schemas.microsoft.com/office/excel/2006/main">
          <x14:cfRule type="iconSet" priority="12" id="{3D8900C1-7637-4B31-9E65-3B5B09E36D9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</xm:sqref>
        </x14:conditionalFormatting>
        <x14:conditionalFormatting xmlns:xm="http://schemas.microsoft.com/office/excel/2006/main">
          <x14:cfRule type="iconSet" priority="10" id="{613B709E-2B97-4B11-98C3-2D94BEF4A2C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</xm:sqref>
        </x14:conditionalFormatting>
        <x14:conditionalFormatting xmlns:xm="http://schemas.microsoft.com/office/excel/2006/main">
          <x14:cfRule type="iconSet" priority="9" id="{C4F6B01C-864C-4ADD-A335-61F0FA7AE29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O16</xm:sqref>
        </x14:conditionalFormatting>
        <x14:conditionalFormatting xmlns:xm="http://schemas.microsoft.com/office/excel/2006/main">
          <x14:cfRule type="iconSet" priority="3" id="{1EFEA43D-7CDD-4162-8108-E714793BB80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O17</xm:sqref>
        </x14:conditionalFormatting>
        <x14:conditionalFormatting xmlns:xm="http://schemas.microsoft.com/office/excel/2006/main">
          <x14:cfRule type="iconSet" priority="8" id="{DC4010E8-A788-40AE-B99A-9562C55CF60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O18</xm:sqref>
        </x14:conditionalFormatting>
        <x14:conditionalFormatting xmlns:xm="http://schemas.microsoft.com/office/excel/2006/main">
          <x14:cfRule type="iconSet" priority="7" id="{37FE54AC-0959-4AB6-9546-AF9BEA366F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</xm:sqref>
        </x14:conditionalFormatting>
        <x14:conditionalFormatting xmlns:xm="http://schemas.microsoft.com/office/excel/2006/main">
          <x14:cfRule type="iconSet" priority="1" id="{3D7E0173-CF54-4DB7-A31E-EC3C4D6F3DD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O20:O55</xm:sqref>
        </x14:conditionalFormatting>
        <x14:conditionalFormatting xmlns:xm="http://schemas.microsoft.com/office/excel/2006/main">
          <x14:cfRule type="iconSet" priority="2" id="{52BEFDA0-7559-4048-ADAA-7AC0977B270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O56</xm:sqref>
        </x14:conditionalFormatting>
        <x14:conditionalFormatting xmlns:xm="http://schemas.microsoft.com/office/excel/2006/main">
          <x14:cfRule type="iconSet" priority="6" id="{EC9D3C27-1F1E-494C-B9A7-4C20EDCF129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O57</xm:sqref>
        </x14:conditionalFormatting>
        <x14:conditionalFormatting xmlns:xm="http://schemas.microsoft.com/office/excel/2006/main">
          <x14:cfRule type="iconSet" priority="5" id="{6E247778-542B-4B3E-BAE6-1989AAF71F7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O58</xm:sqref>
        </x14:conditionalFormatting>
        <x14:conditionalFormatting xmlns:xm="http://schemas.microsoft.com/office/excel/2006/main">
          <x14:cfRule type="iconSet" priority="11" id="{024564A7-4DD1-4DE6-B040-9D1F9EBADB4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O59:O70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4">
    <tabColor theme="5"/>
    <pageSetUpPr fitToPage="1"/>
  </sheetPr>
  <dimension ref="A1:O58"/>
  <sheetViews>
    <sheetView view="pageBreakPreview" zoomScale="85" zoomScaleNormal="100" zoomScaleSheetLayoutView="85" workbookViewId="0">
      <selection activeCell="B9" sqref="B9:N13"/>
    </sheetView>
  </sheetViews>
  <sheetFormatPr baseColWidth="10" defaultColWidth="11" defaultRowHeight="12.75" x14ac:dyDescent="0.25"/>
  <cols>
    <col min="1" max="1" width="11" style="381"/>
    <col min="2" max="2" width="10" style="381" customWidth="1"/>
    <col min="3" max="3" width="11" style="381"/>
    <col min="4" max="4" width="39.28515625" style="381" customWidth="1"/>
    <col min="5" max="5" width="11" style="381"/>
    <col min="6" max="7" width="13.7109375" style="381" customWidth="1"/>
    <col min="8" max="9" width="15.28515625" style="381" customWidth="1"/>
    <col min="10" max="10" width="14.7109375" style="381" bestFit="1" customWidth="1"/>
    <col min="11" max="11" width="13.85546875" style="381" bestFit="1" customWidth="1"/>
    <col min="12" max="13" width="11" style="381"/>
    <col min="14" max="14" width="20.28515625" style="381" customWidth="1"/>
    <col min="15" max="16384" width="11" style="381"/>
  </cols>
  <sheetData>
    <row r="1" spans="1:15" x14ac:dyDescent="0.25">
      <c r="A1" s="324" t="s">
        <v>1059</v>
      </c>
      <c r="B1" s="324" t="s">
        <v>645</v>
      </c>
      <c r="C1" s="324" t="s">
        <v>646</v>
      </c>
      <c r="D1" s="324" t="s">
        <v>647</v>
      </c>
      <c r="E1" s="324" t="s">
        <v>648</v>
      </c>
      <c r="F1" s="324" t="s">
        <v>649</v>
      </c>
      <c r="G1" s="324" t="s">
        <v>650</v>
      </c>
      <c r="H1" s="324" t="s">
        <v>651</v>
      </c>
      <c r="I1" s="324" t="s">
        <v>652</v>
      </c>
      <c r="J1" s="324" t="s">
        <v>653</v>
      </c>
      <c r="K1" s="324" t="s">
        <v>654</v>
      </c>
      <c r="L1" s="324" t="s">
        <v>655</v>
      </c>
      <c r="M1" s="324" t="s">
        <v>656</v>
      </c>
      <c r="N1" s="324" t="s">
        <v>657</v>
      </c>
      <c r="O1" s="324" t="s">
        <v>658</v>
      </c>
    </row>
    <row r="2" spans="1:15" ht="17.649999999999999" customHeight="1" x14ac:dyDescent="0.25">
      <c r="B2" s="734" t="str">
        <f>Base!$C$7</f>
        <v>FONDO DE DESARROLLO LOCAL DE SUBA</v>
      </c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6"/>
      <c r="O2" s="326">
        <v>1</v>
      </c>
    </row>
    <row r="3" spans="1:15" ht="18.75" customHeight="1" x14ac:dyDescent="0.25">
      <c r="B3" s="392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4"/>
      <c r="O3" s="326">
        <v>1</v>
      </c>
    </row>
    <row r="4" spans="1:15" ht="18.75" customHeight="1" x14ac:dyDescent="0.25">
      <c r="B4" s="737" t="s">
        <v>1060</v>
      </c>
      <c r="C4" s="737"/>
      <c r="D4" s="737"/>
      <c r="E4" s="737"/>
      <c r="F4" s="737"/>
      <c r="G4" s="737"/>
      <c r="H4" s="737"/>
      <c r="I4" s="737"/>
      <c r="J4" s="737"/>
      <c r="K4" s="737"/>
      <c r="L4" s="737"/>
      <c r="M4" s="737"/>
      <c r="N4" s="737"/>
      <c r="O4" s="326">
        <v>1</v>
      </c>
    </row>
    <row r="5" spans="1:15" ht="15" x14ac:dyDescent="0.25">
      <c r="A5" s="327" t="s">
        <v>660</v>
      </c>
      <c r="B5" s="553" t="s">
        <v>568</v>
      </c>
      <c r="C5" s="554"/>
      <c r="D5" s="554"/>
      <c r="E5" s="216">
        <f>DedicProfObr!$V$6</f>
        <v>6</v>
      </c>
      <c r="F5" s="690" t="s">
        <v>566</v>
      </c>
      <c r="G5" s="690"/>
      <c r="H5" s="395"/>
      <c r="N5" s="396"/>
      <c r="O5" s="326">
        <v>1</v>
      </c>
    </row>
    <row r="6" spans="1:15" ht="15" x14ac:dyDescent="0.25">
      <c r="A6" s="327" t="s">
        <v>661</v>
      </c>
      <c r="B6" s="553" t="s">
        <v>565</v>
      </c>
      <c r="C6" s="554"/>
      <c r="D6" s="554"/>
      <c r="E6" s="216">
        <f>DedicProfObr!$U$6</f>
        <v>1</v>
      </c>
      <c r="F6" s="690" t="s">
        <v>566</v>
      </c>
      <c r="G6" s="690"/>
      <c r="H6" s="395"/>
      <c r="N6" s="396"/>
      <c r="O6" s="326">
        <v>1</v>
      </c>
    </row>
    <row r="7" spans="1:15" ht="15.75" thickBot="1" x14ac:dyDescent="0.3">
      <c r="A7" s="327" t="s">
        <v>662</v>
      </c>
      <c r="B7" s="560" t="s">
        <v>569</v>
      </c>
      <c r="C7" s="561"/>
      <c r="D7" s="561"/>
      <c r="E7" s="225">
        <f>DedicProfObr!$W$6</f>
        <v>0</v>
      </c>
      <c r="F7" s="690" t="s">
        <v>566</v>
      </c>
      <c r="G7" s="690"/>
      <c r="H7" s="395"/>
      <c r="N7" s="396"/>
      <c r="O7" s="326">
        <v>1</v>
      </c>
    </row>
    <row r="8" spans="1:15" ht="15" x14ac:dyDescent="0.25">
      <c r="A8" s="78"/>
      <c r="B8" s="691" t="s">
        <v>663</v>
      </c>
      <c r="C8" s="691"/>
      <c r="D8" s="691"/>
      <c r="E8" s="330">
        <f>SUM(E5:E7)</f>
        <v>7</v>
      </c>
      <c r="F8" s="690" t="s">
        <v>566</v>
      </c>
      <c r="G8" s="690"/>
      <c r="H8" s="395"/>
      <c r="N8" s="396"/>
      <c r="O8" s="326">
        <v>1</v>
      </c>
    </row>
    <row r="9" spans="1:15" x14ac:dyDescent="0.25">
      <c r="B9" s="692"/>
      <c r="C9" s="693"/>
      <c r="D9" s="693"/>
      <c r="E9" s="693"/>
      <c r="F9" s="693"/>
      <c r="G9" s="693"/>
      <c r="H9" s="693"/>
      <c r="I9" s="693"/>
      <c r="J9" s="693"/>
      <c r="K9" s="693"/>
      <c r="L9" s="693"/>
      <c r="M9" s="693"/>
      <c r="N9" s="694"/>
      <c r="O9" s="326">
        <v>1</v>
      </c>
    </row>
    <row r="10" spans="1:15" ht="12.75" customHeight="1" x14ac:dyDescent="0.25">
      <c r="B10" s="651" t="s">
        <v>1004</v>
      </c>
      <c r="C10" s="651"/>
      <c r="D10" s="651"/>
      <c r="E10" s="651"/>
      <c r="F10" s="651"/>
      <c r="G10" s="651"/>
      <c r="H10" s="651"/>
      <c r="I10" s="651"/>
      <c r="J10" s="651"/>
      <c r="K10" s="651"/>
      <c r="L10" s="651"/>
      <c r="M10" s="651"/>
      <c r="N10" s="652"/>
      <c r="O10" s="326">
        <v>1</v>
      </c>
    </row>
    <row r="11" spans="1:15" ht="44.65" customHeight="1" x14ac:dyDescent="0.25">
      <c r="B11" s="653" t="s">
        <v>664</v>
      </c>
      <c r="C11" s="653" t="s">
        <v>449</v>
      </c>
      <c r="D11" s="728" t="s">
        <v>451</v>
      </c>
      <c r="E11" s="729"/>
      <c r="F11" s="729"/>
      <c r="G11" s="730"/>
      <c r="H11" s="334" t="s">
        <v>45</v>
      </c>
      <c r="I11" s="334" t="s">
        <v>453</v>
      </c>
      <c r="J11" s="335" t="s">
        <v>668</v>
      </c>
      <c r="K11" s="335" t="s">
        <v>577</v>
      </c>
      <c r="L11" s="335" t="s">
        <v>1005</v>
      </c>
      <c r="M11" s="335" t="s">
        <v>1006</v>
      </c>
      <c r="N11" s="335" t="s">
        <v>579</v>
      </c>
      <c r="O11" s="326">
        <v>1</v>
      </c>
    </row>
    <row r="12" spans="1:15" x14ac:dyDescent="0.25">
      <c r="B12" s="654"/>
      <c r="C12" s="654"/>
      <c r="D12" s="731"/>
      <c r="E12" s="732"/>
      <c r="F12" s="732"/>
      <c r="G12" s="733"/>
      <c r="H12" s="382" t="s">
        <v>443</v>
      </c>
      <c r="I12" s="334"/>
      <c r="J12" s="339" t="s">
        <v>447</v>
      </c>
      <c r="K12" s="339" t="s">
        <v>674</v>
      </c>
      <c r="L12" s="339" t="s">
        <v>675</v>
      </c>
      <c r="M12" s="339" t="s">
        <v>676</v>
      </c>
      <c r="N12" s="339" t="s">
        <v>677</v>
      </c>
      <c r="O12" s="326">
        <v>1</v>
      </c>
    </row>
    <row r="13" spans="1:15" x14ac:dyDescent="0.25">
      <c r="B13" s="341"/>
      <c r="C13" s="342" t="s">
        <v>666</v>
      </c>
      <c r="D13" s="689" t="s">
        <v>474</v>
      </c>
      <c r="E13" s="689"/>
      <c r="F13" s="689"/>
      <c r="G13" s="689"/>
      <c r="H13" s="343"/>
      <c r="I13" s="343"/>
      <c r="J13" s="343"/>
      <c r="K13" s="343"/>
      <c r="L13" s="343"/>
      <c r="M13" s="343"/>
      <c r="N13" s="344"/>
      <c r="O13" s="326">
        <v>1</v>
      </c>
    </row>
    <row r="14" spans="1:15" ht="14.45" customHeight="1" x14ac:dyDescent="0.25">
      <c r="A14" s="78" t="e">
        <f>IF(#REF!=0,0,H14)</f>
        <v>#REF!</v>
      </c>
      <c r="B14" s="78">
        <f>INDEX(DedicProfObr!$A$4:$X$51,MATCH($C14,DedicProfObr!$A$4:$A$51,0),MATCH(DedicProfObr!$B$4,DedicProfObr!$A$4:$W$4,0))</f>
        <v>9110</v>
      </c>
      <c r="C14" s="345" t="s">
        <v>546</v>
      </c>
      <c r="D14" s="634" t="str">
        <f>INDEX(DedicProfObr!$A$4:$X$51,MATCH($C14,DedicProfObr!$A$4:$A$51,0),MATCH(DedicProfObr!$D$4,DedicProfObr!$A$4:$W$4,0))</f>
        <v>ESPECIALISTA EN TRÁNSITO Y TRANSPORTE</v>
      </c>
      <c r="E14" s="635"/>
      <c r="F14" s="635"/>
      <c r="G14" s="636"/>
      <c r="H14" s="346">
        <f>INDEX(DedicProfObr!$A$4:$X$51,MATCH($C14,DedicProfObr!$A$4:$A$51,0),MATCH(DedicProfObr!$E$4,DedicProfObr!$A$4:$W$4,0))</f>
        <v>1</v>
      </c>
      <c r="I14" s="78">
        <f>INDEX(DedicProfObr!$A$4:$X$51,MATCH($C14,DedicProfObr!$A$4:$A$51,0),MATCH(DedicProfObr!$F$4,DedicProfObr!$A$4:$W$4,0))</f>
        <v>4</v>
      </c>
      <c r="J14" s="347">
        <f>INDEX(DedicProfObr!$A$4:$X$51,MATCH($C14,DedicProfObr!$A$4:$A$51,0),MATCH(DedicProfObr!$G$4,DedicProfObr!$A$4:$W$4,0))</f>
        <v>7881000</v>
      </c>
      <c r="K14" s="348">
        <f>INDEX(DedicProfObr!$A$4:$X$51,MATCH($C14,DedicProfObr!$A$4:$A$51,0),MATCH(DedicProfObr!$H$4,DedicProfObr!$A$4:$W$4,0))</f>
        <v>1.4516</v>
      </c>
      <c r="L14" s="349">
        <f>INDEX(DedicProfObr!$A$4:$W$51,MATCH($C14,DedicProfObr!$A$4:$A$51,0),MATCH(DedicProfObr!$V$4,DedicProfObr!$A$4:$W$4,0))</f>
        <v>0.3</v>
      </c>
      <c r="M14" s="349">
        <f>INDEX(DedicProfObr!$A$4:$W$51,MATCH($C14,DedicProfObr!$A$4:$A$51,0),MATCH(DedicProfObr!$W$4,DedicProfObr!$A$4:$W$4,0))</f>
        <v>0</v>
      </c>
      <c r="N14" s="350">
        <f>ROUND(IF(B14="",0,H14*J14*K14*(L14+M14)),0)</f>
        <v>3432018</v>
      </c>
      <c r="O14" s="326">
        <f t="shared" ref="O14:O15" si="0">IF(N14=0,0,1)</f>
        <v>1</v>
      </c>
    </row>
    <row r="15" spans="1:15" ht="15" x14ac:dyDescent="0.25">
      <c r="A15" s="78" t="e">
        <f>IF(#REF!=0,0,H15)</f>
        <v>#REF!</v>
      </c>
      <c r="B15" s="78">
        <f>INDEX(DedicProfObr!$A$4:$X$51,MATCH($C15,DedicProfObr!$A$4:$A$51,0),MATCH(DedicProfObr!$B$4,DedicProfObr!$A$4:$W$4,0))</f>
        <v>9112</v>
      </c>
      <c r="C15" s="345" t="s">
        <v>548</v>
      </c>
      <c r="D15" s="634" t="str">
        <f>INDEX(DedicProfObr!$A$4:$X$51,MATCH($C15,DedicProfObr!$A$4:$A$51,0),MATCH(DedicProfObr!$D$4,DedicProfObr!$A$4:$W$4,0))</f>
        <v>RESIDENTE EN TRÁNSITO Y TRANSPORTE</v>
      </c>
      <c r="E15" s="635"/>
      <c r="F15" s="635"/>
      <c r="G15" s="636"/>
      <c r="H15" s="346">
        <f>INDEX(DedicProfObr!$A$4:$X$51,MATCH($C15,DedicProfObr!$A$4:$A$51,0),MATCH(DedicProfObr!$E$4,DedicProfObr!$A$4:$W$4,0))</f>
        <v>1</v>
      </c>
      <c r="I15" s="78">
        <f>INDEX(DedicProfObr!$A$4:$X$51,MATCH($C15,DedicProfObr!$A$4:$A$51,0),MATCH(DedicProfObr!$F$4,DedicProfObr!$A$4:$W$4,0))</f>
        <v>6</v>
      </c>
      <c r="J15" s="347">
        <f>INDEX(DedicProfObr!$A$4:$X$51,MATCH($C15,DedicProfObr!$A$4:$A$51,0),MATCH(DedicProfObr!$G$4,DedicProfObr!$A$4:$W$4,0))</f>
        <v>6339000</v>
      </c>
      <c r="K15" s="348">
        <f>INDEX(DedicProfObr!$A$4:$X$51,MATCH($C15,DedicProfObr!$A$4:$A$51,0),MATCH(DedicProfObr!$H$4,DedicProfObr!$A$4:$W$4,0))</f>
        <v>1.4524999999999999</v>
      </c>
      <c r="L15" s="349">
        <f>INDEX(DedicProfObr!$A$4:$W$51,MATCH($C15,DedicProfObr!$A$4:$A$51,0),MATCH(DedicProfObr!$V$4,DedicProfObr!$A$4:$W$4,0))</f>
        <v>1.2</v>
      </c>
      <c r="M15" s="349">
        <f>INDEX(DedicProfObr!$A$4:$W$51,MATCH($C15,DedicProfObr!$A$4:$A$51,0),MATCH(DedicProfObr!$W$4,DedicProfObr!$A$4:$W$4,0))</f>
        <v>0</v>
      </c>
      <c r="N15" s="350">
        <f>ROUND(IF(B15="",0,H15*J15*K15*(L15+M15)),0)</f>
        <v>11048877</v>
      </c>
      <c r="O15" s="326">
        <f t="shared" si="0"/>
        <v>1</v>
      </c>
    </row>
    <row r="16" spans="1:15" x14ac:dyDescent="0.25">
      <c r="A16" s="78" t="e">
        <f>IF(#REF!=0,0,H16)</f>
        <v>#REF!</v>
      </c>
      <c r="B16" s="78"/>
      <c r="C16" s="342" t="s">
        <v>709</v>
      </c>
      <c r="D16" s="689" t="s">
        <v>551</v>
      </c>
      <c r="E16" s="689"/>
      <c r="F16" s="689"/>
      <c r="G16" s="689"/>
      <c r="H16" s="343"/>
      <c r="I16" s="343"/>
      <c r="J16" s="343"/>
      <c r="K16" s="343"/>
      <c r="L16" s="343"/>
      <c r="M16" s="343"/>
      <c r="N16" s="344"/>
      <c r="O16" s="326">
        <v>1</v>
      </c>
    </row>
    <row r="17" spans="1:15" ht="15" x14ac:dyDescent="0.25">
      <c r="A17" s="78" t="e">
        <f>IF(#REF!=0,0,H17)</f>
        <v>#REF!</v>
      </c>
      <c r="B17" s="78">
        <f>INDEX(DedicProfObr!$A$4:$X$51,MATCH($C17,DedicProfObr!$A$4:$A$51,0),MATCH(DedicProfObr!$B$4,DedicProfObr!$A$4:$W$4,0))</f>
        <v>9455</v>
      </c>
      <c r="C17" s="345" t="s">
        <v>550</v>
      </c>
      <c r="D17" s="634" t="str">
        <f>INDEX(DedicProfObr!$A$4:$X$51,MATCH($C17,DedicProfObr!$A$4:$A$51,0),MATCH(DedicProfObr!$D$4,DedicProfObr!$A$4:$W$4,0))</f>
        <v>BANDEREROS</v>
      </c>
      <c r="E17" s="635"/>
      <c r="F17" s="635"/>
      <c r="G17" s="636"/>
      <c r="H17" s="346">
        <f>INDEX(DedicProfObr!$A$4:$X$51,MATCH($C17,DedicProfObr!$A$4:$A$51,0),MATCH(DedicProfObr!$E$4,DedicProfObr!$A$4:$W$4,0))</f>
        <v>5</v>
      </c>
      <c r="I17" s="78" t="str">
        <f>INDEX(DedicProfObr!$A$4:$X$51,MATCH($C17,DedicProfObr!$A$4:$A$51,0),MATCH(DedicProfObr!$F$4,DedicProfObr!$A$4:$W$4,0))</f>
        <v>N/A</v>
      </c>
      <c r="J17" s="347">
        <f>INDEX(DedicProfObr!$A$4:$X$51,MATCH($C17,DedicProfObr!$A$4:$A$51,0),MATCH(DedicProfObr!$G$4,DedicProfObr!$A$4:$W$4,0))</f>
        <v>1160000</v>
      </c>
      <c r="K17" s="348">
        <f>INDEX(DedicProfObr!$A$4:$X$51,MATCH($C17,DedicProfObr!$A$4:$A$51,0),MATCH(DedicProfObr!$H$4,DedicProfObr!$A$4:$W$4,0))</f>
        <v>1.6479999999999999</v>
      </c>
      <c r="L17" s="349">
        <f>INDEX(DedicProfObr!$A$4:$W$51,MATCH($C17,DedicProfObr!$A$4:$A$51,0),MATCH(DedicProfObr!$V$4,DedicProfObr!$A$4:$W$4,0))</f>
        <v>6</v>
      </c>
      <c r="M17" s="349">
        <f>INDEX(DedicProfObr!$A$4:$W$51,MATCH($C17,DedicProfObr!$A$4:$A$51,0),MATCH(DedicProfObr!$W$4,DedicProfObr!$A$4:$W$4,0))</f>
        <v>0</v>
      </c>
      <c r="N17" s="350">
        <f>ROUND(IF(B17="",0,H17*J17*K17*(L17+M17)),0)</f>
        <v>57350400</v>
      </c>
      <c r="O17" s="326">
        <f t="shared" ref="O17" si="1">IF(N17=0,0,1)</f>
        <v>1</v>
      </c>
    </row>
    <row r="18" spans="1:15" x14ac:dyDescent="0.25">
      <c r="A18" s="78" t="e">
        <f>IF(#REF!=0,0,H18)</f>
        <v>#REF!</v>
      </c>
      <c r="B18" s="78"/>
      <c r="C18" s="342" t="s">
        <v>1061</v>
      </c>
      <c r="D18" s="689" t="s">
        <v>553</v>
      </c>
      <c r="E18" s="689"/>
      <c r="F18" s="689"/>
      <c r="G18" s="689"/>
      <c r="H18" s="343"/>
      <c r="I18" s="343"/>
      <c r="J18" s="343"/>
      <c r="K18" s="343"/>
      <c r="L18" s="343"/>
      <c r="M18" s="343"/>
      <c r="N18" s="344"/>
      <c r="O18" s="326">
        <v>1</v>
      </c>
    </row>
    <row r="19" spans="1:15" ht="15" x14ac:dyDescent="0.25">
      <c r="A19" s="78" t="e">
        <f>IF(#REF!=0,0,H19)</f>
        <v>#REF!</v>
      </c>
      <c r="B19" s="78">
        <f>INDEX(DedicProfObr!$A$4:$X$51,MATCH($C19,DedicProfObr!$A$4:$A$51,0),MATCH(DedicProfObr!$B$4,DedicProfObr!$A$4:$W$4,0))</f>
        <v>9455</v>
      </c>
      <c r="C19" s="345" t="s">
        <v>552</v>
      </c>
      <c r="D19" s="634" t="str">
        <f>INDEX(DedicProfObr!$A$4:$X$51,MATCH($C19,DedicProfObr!$A$4:$A$51,0),MATCH(DedicProfObr!$D$4,DedicProfObr!$A$4:$W$4,0))</f>
        <v>AYUDANTES PMT</v>
      </c>
      <c r="E19" s="635"/>
      <c r="F19" s="635"/>
      <c r="G19" s="636"/>
      <c r="H19" s="346">
        <f>INDEX(DedicProfObr!$A$4:$X$51,MATCH($C19,DedicProfObr!$A$4:$A$51,0),MATCH(DedicProfObr!$E$4,DedicProfObr!$A$4:$W$4,0))</f>
        <v>3</v>
      </c>
      <c r="I19" s="78" t="str">
        <f>INDEX(DedicProfObr!$A$4:$X$51,MATCH($C19,DedicProfObr!$A$4:$A$51,0),MATCH(DedicProfObr!$F$4,DedicProfObr!$A$4:$W$4,0))</f>
        <v>N/A</v>
      </c>
      <c r="J19" s="347">
        <f>INDEX(DedicProfObr!$A$4:$X$51,MATCH($C19,DedicProfObr!$A$4:$A$51,0),MATCH(DedicProfObr!$G$4,DedicProfObr!$A$4:$W$4,0))</f>
        <v>1160000</v>
      </c>
      <c r="K19" s="348">
        <f>INDEX(DedicProfObr!$A$4:$X$51,MATCH($C19,DedicProfObr!$A$4:$A$51,0),MATCH(DedicProfObr!$H$4,DedicProfObr!$A$4:$W$4,0))</f>
        <v>1.6479999999999999</v>
      </c>
      <c r="L19" s="349">
        <f>INDEX(DedicProfObr!$A$4:$W$51,MATCH($C19,DedicProfObr!$A$4:$A$51,0),MATCH(DedicProfObr!$V$4,DedicProfObr!$A$4:$W$4,0))</f>
        <v>6</v>
      </c>
      <c r="M19" s="349">
        <f>INDEX(DedicProfObr!$A$4:$W$51,MATCH($C19,DedicProfObr!$A$4:$A$51,0),MATCH(DedicProfObr!$W$4,DedicProfObr!$A$4:$W$4,0))</f>
        <v>0</v>
      </c>
      <c r="N19" s="350">
        <f>ROUND(IF(B19="",0,H19*J19*K19*(L19+M19)),0)</f>
        <v>34410240</v>
      </c>
      <c r="O19" s="326">
        <f t="shared" ref="O19" si="2">IF(N19=0,0,1)</f>
        <v>1</v>
      </c>
    </row>
    <row r="20" spans="1:15" ht="15" x14ac:dyDescent="0.25">
      <c r="B20" s="714"/>
      <c r="C20" s="715"/>
      <c r="D20" s="715"/>
      <c r="E20" s="715"/>
      <c r="F20" s="715"/>
      <c r="G20" s="715"/>
      <c r="H20" s="715"/>
      <c r="I20" s="715"/>
      <c r="J20" s="715"/>
      <c r="K20" s="715"/>
      <c r="L20" s="715"/>
      <c r="M20" s="715"/>
      <c r="N20" s="716"/>
      <c r="O20" s="326">
        <v>1</v>
      </c>
    </row>
    <row r="21" spans="1:15" ht="15" x14ac:dyDescent="0.25">
      <c r="B21" s="625" t="str">
        <f>"SUBTOTAL "&amp;B10</f>
        <v>SUBTOTAL COMPONENTE A. PERSONAL TÉCNICO Y PROFESIONAL</v>
      </c>
      <c r="C21" s="626"/>
      <c r="D21" s="626"/>
      <c r="E21" s="626"/>
      <c r="F21" s="626"/>
      <c r="G21" s="626"/>
      <c r="H21" s="626"/>
      <c r="I21" s="626"/>
      <c r="J21" s="626"/>
      <c r="K21" s="626"/>
      <c r="L21" s="626"/>
      <c r="M21" s="627"/>
      <c r="N21" s="359">
        <f>SUM(N14:N19)</f>
        <v>106241535</v>
      </c>
      <c r="O21" s="326">
        <v>1</v>
      </c>
    </row>
    <row r="22" spans="1:15" ht="15" x14ac:dyDescent="0.25">
      <c r="B22" s="628"/>
      <c r="C22" s="628"/>
      <c r="D22" s="628"/>
      <c r="E22" s="628"/>
      <c r="F22" s="628"/>
      <c r="G22" s="628"/>
      <c r="H22" s="628"/>
      <c r="I22" s="628"/>
      <c r="J22" s="628"/>
      <c r="K22" s="628"/>
      <c r="L22" s="628"/>
      <c r="M22" s="628"/>
      <c r="N22" s="628"/>
      <c r="O22" s="326">
        <v>1</v>
      </c>
    </row>
    <row r="23" spans="1:15" x14ac:dyDescent="0.25">
      <c r="B23" s="679" t="s">
        <v>1062</v>
      </c>
      <c r="C23" s="680"/>
      <c r="D23" s="680"/>
      <c r="E23" s="680"/>
      <c r="F23" s="680"/>
      <c r="G23" s="680"/>
      <c r="H23" s="680"/>
      <c r="I23" s="680"/>
      <c r="J23" s="680"/>
      <c r="K23" s="680"/>
      <c r="L23" s="680"/>
      <c r="M23" s="680"/>
      <c r="N23" s="680"/>
      <c r="O23" s="326">
        <v>1</v>
      </c>
    </row>
    <row r="24" spans="1:15" ht="27" customHeight="1" x14ac:dyDescent="0.25">
      <c r="B24" s="332" t="s">
        <v>664</v>
      </c>
      <c r="C24" s="332" t="s">
        <v>449</v>
      </c>
      <c r="D24" s="667" t="s">
        <v>43</v>
      </c>
      <c r="E24" s="667"/>
      <c r="F24" s="667" t="s">
        <v>711</v>
      </c>
      <c r="G24" s="667"/>
      <c r="H24" s="667"/>
      <c r="I24" s="667"/>
      <c r="J24" s="332" t="s">
        <v>712</v>
      </c>
      <c r="K24" s="665" t="s">
        <v>46</v>
      </c>
      <c r="L24" s="665"/>
      <c r="M24" s="358" t="s">
        <v>45</v>
      </c>
      <c r="N24" s="332" t="s">
        <v>594</v>
      </c>
      <c r="O24" s="326">
        <v>1</v>
      </c>
    </row>
    <row r="25" spans="1:15" ht="57.4" customHeight="1" x14ac:dyDescent="0.25">
      <c r="B25" s="78">
        <v>9724</v>
      </c>
      <c r="C25" s="349" t="s">
        <v>718</v>
      </c>
      <c r="D25" s="648" t="s">
        <v>1063</v>
      </c>
      <c r="E25" s="649"/>
      <c r="F25" s="634" t="s">
        <v>1047</v>
      </c>
      <c r="G25" s="635"/>
      <c r="H25" s="635"/>
      <c r="I25" s="636"/>
      <c r="J25" s="349" t="s">
        <v>723</v>
      </c>
      <c r="K25" s="637">
        <v>154700</v>
      </c>
      <c r="L25" s="638"/>
      <c r="M25" s="349">
        <f>IF(H13=0,0,$E$5)</f>
        <v>0</v>
      </c>
      <c r="N25" s="347">
        <f>ROUND(K25*M25,0)</f>
        <v>0</v>
      </c>
      <c r="O25" s="326">
        <f t="shared" ref="O25:O26" si="3">IF(N25=0,0,1)</f>
        <v>0</v>
      </c>
    </row>
    <row r="26" spans="1:15" ht="57.4" customHeight="1" x14ac:dyDescent="0.25">
      <c r="B26" s="78">
        <v>9840</v>
      </c>
      <c r="C26" s="349" t="s">
        <v>735</v>
      </c>
      <c r="D26" s="648" t="s">
        <v>1064</v>
      </c>
      <c r="E26" s="649"/>
      <c r="F26" s="634" t="s">
        <v>1051</v>
      </c>
      <c r="G26" s="635"/>
      <c r="H26" s="635"/>
      <c r="I26" s="636"/>
      <c r="J26" s="349" t="s">
        <v>723</v>
      </c>
      <c r="K26" s="637">
        <v>219000</v>
      </c>
      <c r="L26" s="638"/>
      <c r="M26" s="349">
        <v>0</v>
      </c>
      <c r="N26" s="347">
        <f>ROUND(K26*M26,0)</f>
        <v>0</v>
      </c>
      <c r="O26" s="326">
        <f t="shared" si="3"/>
        <v>0</v>
      </c>
    </row>
    <row r="27" spans="1:15" ht="15" x14ac:dyDescent="0.25">
      <c r="B27" s="714"/>
      <c r="C27" s="715"/>
      <c r="D27" s="715"/>
      <c r="E27" s="715"/>
      <c r="F27" s="715"/>
      <c r="G27" s="715"/>
      <c r="H27" s="715"/>
      <c r="I27" s="715"/>
      <c r="J27" s="715"/>
      <c r="K27" s="715"/>
      <c r="L27" s="715"/>
      <c r="M27" s="715"/>
      <c r="N27" s="716"/>
      <c r="O27" s="326">
        <v>1</v>
      </c>
    </row>
    <row r="28" spans="1:15" ht="15" x14ac:dyDescent="0.25">
      <c r="B28" s="625" t="str">
        <f>"SUBTOTAL "&amp;B23</f>
        <v>SUBTOTAL COMPONENTE B. GASTOS POR ELABORACIÓN DE INFORMES</v>
      </c>
      <c r="C28" s="626"/>
      <c r="D28" s="626"/>
      <c r="E28" s="626"/>
      <c r="F28" s="626"/>
      <c r="G28" s="626"/>
      <c r="H28" s="626"/>
      <c r="I28" s="626"/>
      <c r="J28" s="626"/>
      <c r="K28" s="626"/>
      <c r="L28" s="626"/>
      <c r="M28" s="627"/>
      <c r="N28" s="359">
        <f>SUM(N25:N26)</f>
        <v>0</v>
      </c>
      <c r="O28" s="326">
        <v>1</v>
      </c>
    </row>
    <row r="29" spans="1:15" ht="15" x14ac:dyDescent="0.25">
      <c r="B29" s="714"/>
      <c r="C29" s="715"/>
      <c r="D29" s="715"/>
      <c r="E29" s="715"/>
      <c r="F29" s="715"/>
      <c r="G29" s="715"/>
      <c r="H29" s="715"/>
      <c r="I29" s="715"/>
      <c r="J29" s="715"/>
      <c r="K29" s="715"/>
      <c r="L29" s="715"/>
      <c r="M29" s="715"/>
      <c r="N29" s="716"/>
      <c r="O29" s="326">
        <v>1</v>
      </c>
    </row>
    <row r="30" spans="1:15" x14ac:dyDescent="0.25">
      <c r="B30" s="650" t="s">
        <v>1065</v>
      </c>
      <c r="C30" s="651"/>
      <c r="D30" s="651"/>
      <c r="E30" s="651"/>
      <c r="F30" s="651"/>
      <c r="G30" s="651"/>
      <c r="H30" s="651"/>
      <c r="I30" s="651"/>
      <c r="J30" s="651"/>
      <c r="K30" s="651"/>
      <c r="L30" s="651"/>
      <c r="M30" s="651"/>
      <c r="N30" s="651"/>
      <c r="O30" s="326">
        <v>1</v>
      </c>
    </row>
    <row r="31" spans="1:15" ht="30.4" customHeight="1" x14ac:dyDescent="0.25">
      <c r="B31" s="332" t="s">
        <v>664</v>
      </c>
      <c r="C31" s="332" t="s">
        <v>449</v>
      </c>
      <c r="D31" s="655" t="s">
        <v>43</v>
      </c>
      <c r="E31" s="656"/>
      <c r="F31" s="655" t="s">
        <v>711</v>
      </c>
      <c r="G31" s="657"/>
      <c r="H31" s="657"/>
      <c r="I31" s="656"/>
      <c r="J31" s="332" t="s">
        <v>712</v>
      </c>
      <c r="K31" s="658" t="s">
        <v>46</v>
      </c>
      <c r="L31" s="659"/>
      <c r="M31" s="358" t="s">
        <v>45</v>
      </c>
      <c r="N31" s="332" t="s">
        <v>594</v>
      </c>
      <c r="O31" s="326">
        <v>1</v>
      </c>
    </row>
    <row r="32" spans="1:15" ht="38.25" customHeight="1" x14ac:dyDescent="0.25">
      <c r="B32" s="78">
        <v>7554</v>
      </c>
      <c r="C32" s="349" t="s">
        <v>805</v>
      </c>
      <c r="D32" s="634" t="s">
        <v>1066</v>
      </c>
      <c r="E32" s="636"/>
      <c r="F32" s="634" t="s">
        <v>739</v>
      </c>
      <c r="G32" s="635"/>
      <c r="H32" s="635"/>
      <c r="I32" s="636"/>
      <c r="J32" s="349" t="s">
        <v>68</v>
      </c>
      <c r="K32" s="637">
        <v>43962</v>
      </c>
      <c r="L32" s="638"/>
      <c r="M32" s="349">
        <f>8*8</f>
        <v>64</v>
      </c>
      <c r="N32" s="347">
        <f>ROUND(K32*M32,0)</f>
        <v>2813568</v>
      </c>
      <c r="O32" s="326">
        <f t="shared" ref="O32:O41" si="4">IF(N32=0,0,1)</f>
        <v>1</v>
      </c>
    </row>
    <row r="33" spans="1:15" ht="38.25" customHeight="1" x14ac:dyDescent="0.25">
      <c r="B33" s="78">
        <v>7360</v>
      </c>
      <c r="C33" s="349" t="s">
        <v>810</v>
      </c>
      <c r="D33" s="634" t="s">
        <v>1067</v>
      </c>
      <c r="E33" s="636"/>
      <c r="F33" s="634" t="s">
        <v>1068</v>
      </c>
      <c r="G33" s="635"/>
      <c r="H33" s="635"/>
      <c r="I33" s="636"/>
      <c r="J33" s="349" t="s">
        <v>68</v>
      </c>
      <c r="K33" s="637">
        <v>374850</v>
      </c>
      <c r="L33" s="638"/>
      <c r="M33" s="349">
        <f>16</f>
        <v>16</v>
      </c>
      <c r="N33" s="347">
        <f t="shared" ref="N33:N41" si="5">ROUND(K33*M33,0)</f>
        <v>5997600</v>
      </c>
      <c r="O33" s="326">
        <f t="shared" si="4"/>
        <v>1</v>
      </c>
    </row>
    <row r="34" spans="1:15" ht="38.25" customHeight="1" x14ac:dyDescent="0.25">
      <c r="B34" s="78">
        <v>7555</v>
      </c>
      <c r="C34" s="349" t="s">
        <v>818</v>
      </c>
      <c r="D34" s="634" t="s">
        <v>1069</v>
      </c>
      <c r="E34" s="636"/>
      <c r="F34" s="634" t="s">
        <v>742</v>
      </c>
      <c r="G34" s="635"/>
      <c r="H34" s="635"/>
      <c r="I34" s="636"/>
      <c r="J34" s="349" t="s">
        <v>68</v>
      </c>
      <c r="K34" s="637">
        <v>37188</v>
      </c>
      <c r="L34" s="638"/>
      <c r="M34" s="349">
        <v>51</v>
      </c>
      <c r="N34" s="347">
        <f t="shared" si="5"/>
        <v>1896588</v>
      </c>
      <c r="O34" s="326">
        <f t="shared" si="4"/>
        <v>1</v>
      </c>
    </row>
    <row r="35" spans="1:15" ht="38.25" customHeight="1" x14ac:dyDescent="0.25">
      <c r="B35" s="78">
        <v>6552</v>
      </c>
      <c r="C35" s="349" t="s">
        <v>824</v>
      </c>
      <c r="D35" s="634" t="s">
        <v>1070</v>
      </c>
      <c r="E35" s="636"/>
      <c r="F35" s="634" t="s">
        <v>1071</v>
      </c>
      <c r="G35" s="635"/>
      <c r="H35" s="635"/>
      <c r="I35" s="636"/>
      <c r="J35" s="349" t="s">
        <v>68</v>
      </c>
      <c r="K35" s="637">
        <v>257683</v>
      </c>
      <c r="L35" s="638"/>
      <c r="M35" s="349">
        <v>16</v>
      </c>
      <c r="N35" s="347">
        <f t="shared" si="5"/>
        <v>4122928</v>
      </c>
      <c r="O35" s="326">
        <f t="shared" si="4"/>
        <v>1</v>
      </c>
    </row>
    <row r="36" spans="1:15" ht="38.25" customHeight="1" x14ac:dyDescent="0.25">
      <c r="B36" s="78">
        <v>6552</v>
      </c>
      <c r="C36" s="349" t="s">
        <v>828</v>
      </c>
      <c r="D36" s="634" t="s">
        <v>1072</v>
      </c>
      <c r="E36" s="636"/>
      <c r="F36" s="634" t="s">
        <v>1071</v>
      </c>
      <c r="G36" s="635"/>
      <c r="H36" s="635"/>
      <c r="I36" s="636"/>
      <c r="J36" s="349" t="s">
        <v>68</v>
      </c>
      <c r="K36" s="637">
        <v>257683</v>
      </c>
      <c r="L36" s="638"/>
      <c r="M36" s="349">
        <v>16</v>
      </c>
      <c r="N36" s="347">
        <f t="shared" si="5"/>
        <v>4122928</v>
      </c>
      <c r="O36" s="326">
        <f t="shared" si="4"/>
        <v>1</v>
      </c>
    </row>
    <row r="37" spans="1:15" ht="38.25" customHeight="1" x14ac:dyDescent="0.25">
      <c r="B37" s="78">
        <v>6552</v>
      </c>
      <c r="C37" s="349" t="s">
        <v>832</v>
      </c>
      <c r="D37" s="634" t="s">
        <v>1073</v>
      </c>
      <c r="E37" s="636"/>
      <c r="F37" s="634" t="s">
        <v>1071</v>
      </c>
      <c r="G37" s="635"/>
      <c r="H37" s="635"/>
      <c r="I37" s="636"/>
      <c r="J37" s="349" t="s">
        <v>68</v>
      </c>
      <c r="K37" s="637">
        <v>257683</v>
      </c>
      <c r="L37" s="638"/>
      <c r="M37" s="349">
        <v>16</v>
      </c>
      <c r="N37" s="347">
        <f t="shared" si="5"/>
        <v>4122928</v>
      </c>
      <c r="O37" s="326">
        <f t="shared" si="4"/>
        <v>1</v>
      </c>
    </row>
    <row r="38" spans="1:15" ht="38.25" customHeight="1" x14ac:dyDescent="0.25">
      <c r="B38" s="78">
        <v>9169</v>
      </c>
      <c r="C38" s="349" t="s">
        <v>836</v>
      </c>
      <c r="D38" s="634" t="s">
        <v>1074</v>
      </c>
      <c r="E38" s="636"/>
      <c r="F38" s="634" t="s">
        <v>1075</v>
      </c>
      <c r="G38" s="635"/>
      <c r="H38" s="635"/>
      <c r="I38" s="636"/>
      <c r="J38" s="349" t="s">
        <v>68</v>
      </c>
      <c r="K38" s="637">
        <v>29750</v>
      </c>
      <c r="L38" s="638"/>
      <c r="M38" s="349">
        <v>12</v>
      </c>
      <c r="N38" s="347">
        <f t="shared" si="5"/>
        <v>357000</v>
      </c>
      <c r="O38" s="326">
        <f t="shared" si="4"/>
        <v>1</v>
      </c>
    </row>
    <row r="39" spans="1:15" ht="38.25" customHeight="1" x14ac:dyDescent="0.25">
      <c r="B39" s="78">
        <v>9209</v>
      </c>
      <c r="C39" s="349" t="s">
        <v>840</v>
      </c>
      <c r="D39" s="648" t="s">
        <v>1076</v>
      </c>
      <c r="E39" s="649"/>
      <c r="F39" s="634" t="s">
        <v>1077</v>
      </c>
      <c r="G39" s="635"/>
      <c r="H39" s="635"/>
      <c r="I39" s="636"/>
      <c r="J39" s="349" t="s">
        <v>68</v>
      </c>
      <c r="K39" s="637">
        <v>296335</v>
      </c>
      <c r="L39" s="638"/>
      <c r="M39" s="349">
        <v>8</v>
      </c>
      <c r="N39" s="347">
        <f t="shared" si="5"/>
        <v>2370680</v>
      </c>
      <c r="O39" s="326">
        <f t="shared" si="4"/>
        <v>1</v>
      </c>
    </row>
    <row r="40" spans="1:15" ht="38.25" customHeight="1" x14ac:dyDescent="0.25">
      <c r="B40" s="78">
        <v>9441</v>
      </c>
      <c r="C40" s="349" t="s">
        <v>844</v>
      </c>
      <c r="D40" s="684"/>
      <c r="E40" s="685"/>
      <c r="F40" s="634" t="s">
        <v>1078</v>
      </c>
      <c r="G40" s="635"/>
      <c r="H40" s="635"/>
      <c r="I40" s="636"/>
      <c r="J40" s="349" t="s">
        <v>68</v>
      </c>
      <c r="K40" s="637">
        <v>1011500</v>
      </c>
      <c r="L40" s="638"/>
      <c r="M40" s="349">
        <f>M39</f>
        <v>8</v>
      </c>
      <c r="N40" s="347">
        <f t="shared" si="5"/>
        <v>8092000</v>
      </c>
      <c r="O40" s="326">
        <f t="shared" si="4"/>
        <v>1</v>
      </c>
    </row>
    <row r="41" spans="1:15" ht="38.25" customHeight="1" x14ac:dyDescent="0.25">
      <c r="B41" s="78">
        <v>7560</v>
      </c>
      <c r="C41" s="349" t="s">
        <v>1079</v>
      </c>
      <c r="D41" s="634" t="s">
        <v>1080</v>
      </c>
      <c r="E41" s="636"/>
      <c r="F41" s="634" t="s">
        <v>1081</v>
      </c>
      <c r="G41" s="635"/>
      <c r="H41" s="635"/>
      <c r="I41" s="636"/>
      <c r="J41" s="349" t="s">
        <v>53</v>
      </c>
      <c r="K41" s="637">
        <v>1687</v>
      </c>
      <c r="L41" s="638"/>
      <c r="M41" s="349">
        <f>10*50</f>
        <v>500</v>
      </c>
      <c r="N41" s="347">
        <f t="shared" si="5"/>
        <v>843500</v>
      </c>
      <c r="O41" s="326">
        <f t="shared" si="4"/>
        <v>1</v>
      </c>
    </row>
    <row r="42" spans="1:15" x14ac:dyDescent="0.25">
      <c r="B42" s="727"/>
      <c r="C42" s="620"/>
      <c r="D42" s="620"/>
      <c r="E42" s="620"/>
      <c r="F42" s="620"/>
      <c r="G42" s="620"/>
      <c r="H42" s="620"/>
      <c r="I42" s="620"/>
      <c r="J42" s="620"/>
      <c r="K42" s="620"/>
      <c r="L42" s="620"/>
      <c r="M42" s="620"/>
      <c r="N42" s="621"/>
      <c r="O42" s="326">
        <v>1</v>
      </c>
    </row>
    <row r="43" spans="1:15" ht="15" x14ac:dyDescent="0.25">
      <c r="B43" s="625" t="str">
        <f>"SUBTOTAL "&amp;B30</f>
        <v>SUBTOTAL COMPONENTE C. ELEMENTOS DE PMT</v>
      </c>
      <c r="C43" s="626"/>
      <c r="D43" s="626"/>
      <c r="E43" s="626"/>
      <c r="F43" s="626"/>
      <c r="G43" s="626"/>
      <c r="H43" s="626"/>
      <c r="I43" s="626"/>
      <c r="J43" s="626"/>
      <c r="K43" s="626"/>
      <c r="L43" s="626"/>
      <c r="M43" s="627"/>
      <c r="N43" s="359">
        <f>SUM(N32:N41)</f>
        <v>34739720</v>
      </c>
      <c r="O43" s="326">
        <v>1</v>
      </c>
    </row>
    <row r="44" spans="1:15" ht="15" x14ac:dyDescent="0.25">
      <c r="B44" s="628"/>
      <c r="C44" s="628"/>
      <c r="D44" s="628"/>
      <c r="E44" s="628"/>
      <c r="F44" s="628"/>
      <c r="G44" s="628"/>
      <c r="H44" s="628"/>
      <c r="I44" s="628"/>
      <c r="J44" s="628"/>
      <c r="K44" s="628"/>
      <c r="L44" s="628"/>
      <c r="M44" s="628"/>
      <c r="N44" s="628"/>
      <c r="O44" s="326">
        <v>1</v>
      </c>
    </row>
    <row r="45" spans="1:15" ht="15" x14ac:dyDescent="0.25">
      <c r="B45" s="714"/>
      <c r="C45" s="715"/>
      <c r="D45" s="715"/>
      <c r="E45" s="715"/>
      <c r="F45" s="715"/>
      <c r="G45" s="715"/>
      <c r="H45" s="715"/>
      <c r="I45" s="715"/>
      <c r="J45" s="715"/>
      <c r="K45" s="715"/>
      <c r="L45" s="715"/>
      <c r="M45" s="715"/>
      <c r="N45" s="716"/>
      <c r="O45" s="326">
        <v>1</v>
      </c>
    </row>
    <row r="46" spans="1:15" x14ac:dyDescent="0.25">
      <c r="A46" s="327" t="s">
        <v>1082</v>
      </c>
      <c r="B46" s="615" t="str">
        <f>"SUBTOTAL COSTO DIRECTO "&amp;$D$2</f>
        <v xml:space="preserve">SUBTOTAL COSTO DIRECTO </v>
      </c>
      <c r="C46" s="616"/>
      <c r="D46" s="616"/>
      <c r="E46" s="616"/>
      <c r="F46" s="616"/>
      <c r="G46" s="616"/>
      <c r="H46" s="616"/>
      <c r="I46" s="616"/>
      <c r="J46" s="616"/>
      <c r="K46" s="616"/>
      <c r="L46" s="616"/>
      <c r="M46" s="617"/>
      <c r="N46" s="357">
        <f>N21+N28+N43</f>
        <v>140981255</v>
      </c>
      <c r="O46" s="326">
        <v>1</v>
      </c>
    </row>
    <row r="47" spans="1:15" x14ac:dyDescent="0.25">
      <c r="A47" s="327"/>
      <c r="B47" s="630"/>
      <c r="C47" s="631"/>
      <c r="D47" s="631"/>
      <c r="E47" s="631"/>
      <c r="F47" s="631"/>
      <c r="G47" s="631"/>
      <c r="H47" s="631"/>
      <c r="I47" s="631"/>
      <c r="J47" s="631"/>
      <c r="K47" s="631"/>
      <c r="L47" s="631"/>
      <c r="M47" s="631"/>
      <c r="N47" s="631"/>
      <c r="O47" s="326">
        <v>1</v>
      </c>
    </row>
    <row r="48" spans="1:15" x14ac:dyDescent="0.25">
      <c r="A48" s="327" t="s">
        <v>1083</v>
      </c>
      <c r="B48" s="615" t="s">
        <v>633</v>
      </c>
      <c r="C48" s="616"/>
      <c r="D48" s="616"/>
      <c r="E48" s="616"/>
      <c r="F48" s="616"/>
      <c r="G48" s="616"/>
      <c r="H48" s="616"/>
      <c r="I48" s="616"/>
      <c r="J48" s="616"/>
      <c r="K48" s="617"/>
      <c r="L48" s="618">
        <f>AIU!K213</f>
        <v>0.128</v>
      </c>
      <c r="M48" s="619"/>
      <c r="N48" s="397">
        <f>ROUND(L48*$N$46,0)</f>
        <v>18045601</v>
      </c>
      <c r="O48" s="326">
        <v>1</v>
      </c>
    </row>
    <row r="49" spans="1:15" x14ac:dyDescent="0.25">
      <c r="A49" s="327" t="s">
        <v>1084</v>
      </c>
      <c r="B49" s="615" t="s">
        <v>634</v>
      </c>
      <c r="C49" s="616"/>
      <c r="D49" s="616"/>
      <c r="E49" s="616"/>
      <c r="F49" s="616"/>
      <c r="G49" s="616"/>
      <c r="H49" s="616"/>
      <c r="I49" s="616"/>
      <c r="J49" s="616"/>
      <c r="K49" s="617"/>
      <c r="L49" s="618">
        <f>AIU!K214</f>
        <v>0.01</v>
      </c>
      <c r="M49" s="619"/>
      <c r="N49" s="397">
        <f t="shared" ref="N49:N50" si="6">ROUND(L49*$N$46,0)</f>
        <v>1409813</v>
      </c>
      <c r="O49" s="326">
        <v>1</v>
      </c>
    </row>
    <row r="50" spans="1:15" x14ac:dyDescent="0.25">
      <c r="A50" s="327" t="s">
        <v>1085</v>
      </c>
      <c r="B50" s="615" t="s">
        <v>635</v>
      </c>
      <c r="C50" s="616"/>
      <c r="D50" s="616"/>
      <c r="E50" s="616"/>
      <c r="F50" s="616"/>
      <c r="G50" s="616"/>
      <c r="H50" s="616"/>
      <c r="I50" s="616"/>
      <c r="J50" s="616"/>
      <c r="K50" s="617"/>
      <c r="L50" s="618">
        <f>AIU!K215</f>
        <v>4.4999999999999998E-2</v>
      </c>
      <c r="M50" s="619"/>
      <c r="N50" s="397">
        <f t="shared" si="6"/>
        <v>6344156</v>
      </c>
      <c r="O50" s="326">
        <v>1</v>
      </c>
    </row>
    <row r="51" spans="1:15" x14ac:dyDescent="0.25">
      <c r="A51" s="327"/>
      <c r="B51" s="615" t="s">
        <v>636</v>
      </c>
      <c r="C51" s="616"/>
      <c r="D51" s="616"/>
      <c r="E51" s="616"/>
      <c r="F51" s="616"/>
      <c r="G51" s="616"/>
      <c r="H51" s="616"/>
      <c r="I51" s="616"/>
      <c r="J51" s="616"/>
      <c r="K51" s="617"/>
      <c r="L51" s="618">
        <f>SUM(L48:L50)</f>
        <v>0.183</v>
      </c>
      <c r="M51" s="619"/>
      <c r="N51" s="397">
        <f>ROUND(L51*$N$46,0)</f>
        <v>25799570</v>
      </c>
      <c r="O51" s="326">
        <v>1</v>
      </c>
    </row>
    <row r="52" spans="1:15" x14ac:dyDescent="0.25">
      <c r="A52" s="327"/>
      <c r="B52" s="620"/>
      <c r="C52" s="620"/>
      <c r="D52" s="620"/>
      <c r="E52" s="620"/>
      <c r="F52" s="620"/>
      <c r="G52" s="620"/>
      <c r="H52" s="620"/>
      <c r="I52" s="620"/>
      <c r="J52" s="620"/>
      <c r="K52" s="620"/>
      <c r="L52" s="620"/>
      <c r="M52" s="620"/>
      <c r="N52" s="621"/>
      <c r="O52" s="326">
        <v>1</v>
      </c>
    </row>
    <row r="53" spans="1:15" x14ac:dyDescent="0.25">
      <c r="A53" s="327" t="s">
        <v>1086</v>
      </c>
      <c r="B53" s="708" t="s">
        <v>1000</v>
      </c>
      <c r="C53" s="709"/>
      <c r="D53" s="709"/>
      <c r="E53" s="709"/>
      <c r="F53" s="709"/>
      <c r="G53" s="709"/>
      <c r="H53" s="709"/>
      <c r="I53" s="709"/>
      <c r="J53" s="709"/>
      <c r="K53" s="710"/>
      <c r="L53" s="618">
        <v>0</v>
      </c>
      <c r="M53" s="619"/>
      <c r="N53" s="398">
        <f>ROUND(L53*N50,0)</f>
        <v>0</v>
      </c>
      <c r="O53" s="326">
        <v>1</v>
      </c>
    </row>
    <row r="54" spans="1:15" x14ac:dyDescent="0.25">
      <c r="A54" s="327"/>
      <c r="B54" s="620"/>
      <c r="C54" s="620"/>
      <c r="D54" s="620"/>
      <c r="E54" s="620"/>
      <c r="F54" s="620"/>
      <c r="G54" s="620"/>
      <c r="H54" s="620"/>
      <c r="I54" s="620"/>
      <c r="J54" s="620"/>
      <c r="K54" s="620"/>
      <c r="L54" s="620"/>
      <c r="M54" s="620"/>
      <c r="N54" s="620"/>
      <c r="O54" s="326">
        <v>1</v>
      </c>
    </row>
    <row r="55" spans="1:15" x14ac:dyDescent="0.25">
      <c r="A55" s="390"/>
      <c r="B55" s="705" t="str">
        <f>"TOTAL REDONDEADO "&amp;$D$2</f>
        <v xml:space="preserve">TOTAL REDONDEADO </v>
      </c>
      <c r="C55" s="706"/>
      <c r="D55" s="706"/>
      <c r="E55" s="706"/>
      <c r="F55" s="706"/>
      <c r="G55" s="706"/>
      <c r="H55" s="706"/>
      <c r="I55" s="706"/>
      <c r="J55" s="706"/>
      <c r="K55" s="706"/>
      <c r="L55" s="706"/>
      <c r="M55" s="707"/>
      <c r="N55" s="399">
        <f>ROUND(N53+N51+N46,0)</f>
        <v>166780825</v>
      </c>
      <c r="O55" s="326">
        <v>1</v>
      </c>
    </row>
    <row r="56" spans="1:15" x14ac:dyDescent="0.25">
      <c r="A56" s="327" t="s">
        <v>698</v>
      </c>
      <c r="B56" s="378"/>
      <c r="C56" s="378"/>
      <c r="D56" s="378"/>
      <c r="E56" s="378"/>
      <c r="F56" s="378"/>
      <c r="G56" s="378"/>
      <c r="H56" s="378"/>
      <c r="I56" s="378"/>
      <c r="J56" s="378"/>
      <c r="K56" s="378"/>
      <c r="L56" s="378"/>
      <c r="M56" s="378"/>
      <c r="N56" s="400" t="e">
        <f>COUNTIF(#REF!,"&lt;&gt;"&amp;0)+COUNTIF(#REF!,"&lt;&gt;"&amp;0)+COUNTIF(#REF!,"&lt;&gt;"&amp;0)</f>
        <v>#REF!</v>
      </c>
      <c r="O56" s="326">
        <v>1</v>
      </c>
    </row>
    <row r="57" spans="1:15" x14ac:dyDescent="0.25">
      <c r="A57" s="327" t="s">
        <v>700</v>
      </c>
      <c r="B57" s="378"/>
      <c r="C57" s="378"/>
      <c r="D57" s="378"/>
      <c r="E57" s="378"/>
      <c r="F57" s="378"/>
      <c r="G57" s="378"/>
      <c r="H57" s="378"/>
      <c r="I57" s="378"/>
      <c r="J57" s="378"/>
      <c r="K57" s="378"/>
      <c r="L57" s="378"/>
      <c r="M57" s="378"/>
      <c r="N57" s="400" t="e">
        <f>COUNTIF(#REF!,"&lt;&gt;"&amp;0)+COUNTIF(#REF!,"&lt;&gt;"&amp;0)+COUNTIF(#REF!,"&lt;&gt;"&amp;0)</f>
        <v>#REF!</v>
      </c>
      <c r="O57" s="326">
        <v>1</v>
      </c>
    </row>
    <row r="58" spans="1:15" x14ac:dyDescent="0.25">
      <c r="A58" s="327" t="s">
        <v>1001</v>
      </c>
      <c r="B58" s="378"/>
      <c r="C58" s="378"/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8"/>
      <c r="O58" s="380" t="s">
        <v>1002</v>
      </c>
    </row>
  </sheetData>
  <autoFilter ref="A1:O58"/>
  <mergeCells count="90">
    <mergeCell ref="B10:N10"/>
    <mergeCell ref="B2:N2"/>
    <mergeCell ref="B4:N4"/>
    <mergeCell ref="B5:D5"/>
    <mergeCell ref="F5:G5"/>
    <mergeCell ref="B6:D6"/>
    <mergeCell ref="F6:G6"/>
    <mergeCell ref="B7:D7"/>
    <mergeCell ref="F7:G7"/>
    <mergeCell ref="B8:D8"/>
    <mergeCell ref="F8:G8"/>
    <mergeCell ref="B9:N9"/>
    <mergeCell ref="B21:M21"/>
    <mergeCell ref="B11:B12"/>
    <mergeCell ref="C11:C12"/>
    <mergeCell ref="D11:G12"/>
    <mergeCell ref="D13:G13"/>
    <mergeCell ref="D14:G14"/>
    <mergeCell ref="D15:G15"/>
    <mergeCell ref="D16:G16"/>
    <mergeCell ref="D17:G17"/>
    <mergeCell ref="D18:G18"/>
    <mergeCell ref="D19:G19"/>
    <mergeCell ref="B20:N20"/>
    <mergeCell ref="B29:N29"/>
    <mergeCell ref="B22:N22"/>
    <mergeCell ref="B23:N23"/>
    <mergeCell ref="D24:E24"/>
    <mergeCell ref="F24:I24"/>
    <mergeCell ref="K24:L24"/>
    <mergeCell ref="D25:E25"/>
    <mergeCell ref="F25:I25"/>
    <mergeCell ref="K25:L25"/>
    <mergeCell ref="D26:E26"/>
    <mergeCell ref="F26:I26"/>
    <mergeCell ref="K26:L26"/>
    <mergeCell ref="B27:N27"/>
    <mergeCell ref="B28:M28"/>
    <mergeCell ref="B30:N30"/>
    <mergeCell ref="D31:E31"/>
    <mergeCell ref="F31:I31"/>
    <mergeCell ref="K31:L31"/>
    <mergeCell ref="D32:E32"/>
    <mergeCell ref="F32:I32"/>
    <mergeCell ref="K32:L32"/>
    <mergeCell ref="D33:E33"/>
    <mergeCell ref="F33:I33"/>
    <mergeCell ref="K33:L33"/>
    <mergeCell ref="D34:E34"/>
    <mergeCell ref="F34:I34"/>
    <mergeCell ref="K34:L34"/>
    <mergeCell ref="D35:E35"/>
    <mergeCell ref="F35:I35"/>
    <mergeCell ref="K35:L35"/>
    <mergeCell ref="D36:E36"/>
    <mergeCell ref="F36:I36"/>
    <mergeCell ref="K36:L36"/>
    <mergeCell ref="D37:E37"/>
    <mergeCell ref="F37:I37"/>
    <mergeCell ref="K37:L37"/>
    <mergeCell ref="D38:E38"/>
    <mergeCell ref="F38:I38"/>
    <mergeCell ref="K38:L38"/>
    <mergeCell ref="B47:N47"/>
    <mergeCell ref="D39:E40"/>
    <mergeCell ref="F39:I39"/>
    <mergeCell ref="K39:L39"/>
    <mergeCell ref="F40:I40"/>
    <mergeCell ref="K40:L40"/>
    <mergeCell ref="D41:E41"/>
    <mergeCell ref="F41:I41"/>
    <mergeCell ref="K41:L41"/>
    <mergeCell ref="B42:N42"/>
    <mergeCell ref="B43:M43"/>
    <mergeCell ref="B44:N44"/>
    <mergeCell ref="B45:N45"/>
    <mergeCell ref="B46:M46"/>
    <mergeCell ref="B48:K48"/>
    <mergeCell ref="L48:M48"/>
    <mergeCell ref="B49:K49"/>
    <mergeCell ref="L49:M49"/>
    <mergeCell ref="B50:K50"/>
    <mergeCell ref="L50:M50"/>
    <mergeCell ref="B55:M55"/>
    <mergeCell ref="B51:K51"/>
    <mergeCell ref="L51:M51"/>
    <mergeCell ref="B52:N52"/>
    <mergeCell ref="B53:K53"/>
    <mergeCell ref="L53:M53"/>
    <mergeCell ref="B54:N54"/>
  </mergeCells>
  <dataValidations count="1">
    <dataValidation type="whole" allowBlank="1" showInputMessage="1" showErrorMessage="1" sqref="O2:O57">
      <formula1>0</formula1>
      <formula2>1</formula2>
    </dataValidation>
  </dataValidations>
  <pageMargins left="0.7" right="0.7" top="0.75" bottom="0.75" header="0.3" footer="0.3"/>
  <pageSetup paperSize="119" scale="65" fitToHeight="0" orientation="landscape" r:id="rId1"/>
  <colBreaks count="1" manualBreakCount="1">
    <brk id="14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1" id="{048734B4-0A4F-4E57-96A9-285A3AA0953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O2:O7 O9:O13</xm:sqref>
        </x14:conditionalFormatting>
        <x14:conditionalFormatting xmlns:xm="http://schemas.microsoft.com/office/excel/2006/main">
          <x14:cfRule type="iconSet" priority="16" id="{ED446AAF-D60C-45A5-BA7D-020AD3F9968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</xm:sqref>
        </x14:conditionalFormatting>
        <x14:conditionalFormatting xmlns:xm="http://schemas.microsoft.com/office/excel/2006/main">
          <x14:cfRule type="iconSet" priority="30" id="{9C044EFF-4882-4346-BDBD-D0578D95207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O14:O15</xm:sqref>
        </x14:conditionalFormatting>
        <x14:conditionalFormatting xmlns:xm="http://schemas.microsoft.com/office/excel/2006/main">
          <x14:cfRule type="iconSet" priority="28" id="{8EB98FAF-5C2E-4DB7-BE80-CEF43AD584C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O16</xm:sqref>
        </x14:conditionalFormatting>
        <x14:conditionalFormatting xmlns:xm="http://schemas.microsoft.com/office/excel/2006/main">
          <x14:cfRule type="iconSet" priority="27" id="{12928D77-A4EB-4397-A1DA-7E865E183DA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O17</xm:sqref>
        </x14:conditionalFormatting>
        <x14:conditionalFormatting xmlns:xm="http://schemas.microsoft.com/office/excel/2006/main">
          <x14:cfRule type="iconSet" priority="3" id="{8B05DD93-6AE1-4316-950B-6961938A726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O18</xm:sqref>
        </x14:conditionalFormatting>
        <x14:conditionalFormatting xmlns:xm="http://schemas.microsoft.com/office/excel/2006/main">
          <x14:cfRule type="iconSet" priority="2" id="{C28999BF-9D68-4605-9331-5B6B3EDFAA6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</xm:sqref>
        </x14:conditionalFormatting>
        <x14:conditionalFormatting xmlns:xm="http://schemas.microsoft.com/office/excel/2006/main">
          <x14:cfRule type="iconSet" priority="7" id="{32195CAC-9B55-408C-A578-338CC09C542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O20</xm:sqref>
        </x14:conditionalFormatting>
        <x14:conditionalFormatting xmlns:xm="http://schemas.microsoft.com/office/excel/2006/main">
          <x14:cfRule type="iconSet" priority="26" id="{7C74AA51-84A7-4FDD-8056-E9D200810CC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O21</xm:sqref>
        </x14:conditionalFormatting>
        <x14:conditionalFormatting xmlns:xm="http://schemas.microsoft.com/office/excel/2006/main">
          <x14:cfRule type="iconSet" priority="25" id="{B6DBAB89-D4C2-49FE-AA1C-CC135D5DB3E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O22:O23</xm:sqref>
        </x14:conditionalFormatting>
        <x14:conditionalFormatting xmlns:xm="http://schemas.microsoft.com/office/excel/2006/main">
          <x14:cfRule type="iconSet" priority="23" id="{7EF6E781-E47D-4840-9AF9-9E4947EF7D7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O24</xm:sqref>
        </x14:conditionalFormatting>
        <x14:conditionalFormatting xmlns:xm="http://schemas.microsoft.com/office/excel/2006/main">
          <x14:cfRule type="iconSet" priority="6" id="{E320FC01-A244-405C-8B2C-E96D3661D13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O25:O26</xm:sqref>
        </x14:conditionalFormatting>
        <x14:conditionalFormatting xmlns:xm="http://schemas.microsoft.com/office/excel/2006/main">
          <x14:cfRule type="iconSet" priority="8" id="{6B020393-A70D-41AA-AB5F-CEB1BDF5252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O27</xm:sqref>
        </x14:conditionalFormatting>
        <x14:conditionalFormatting xmlns:xm="http://schemas.microsoft.com/office/excel/2006/main">
          <x14:cfRule type="iconSet" priority="24" id="{96FE6755-224A-4943-94A2-3FD5950BADC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O28</xm:sqref>
        </x14:conditionalFormatting>
        <x14:conditionalFormatting xmlns:xm="http://schemas.microsoft.com/office/excel/2006/main">
          <x14:cfRule type="iconSet" priority="22" id="{7EC33077-906C-4715-BDEA-D22007E4E30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O29:O30</xm:sqref>
        </x14:conditionalFormatting>
        <x14:conditionalFormatting xmlns:xm="http://schemas.microsoft.com/office/excel/2006/main">
          <x14:cfRule type="iconSet" priority="21" id="{5609F28F-2DD8-4C3D-9BC8-A130EEA27EE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O31</xm:sqref>
        </x14:conditionalFormatting>
        <x14:conditionalFormatting xmlns:xm="http://schemas.microsoft.com/office/excel/2006/main">
          <x14:cfRule type="iconSet" priority="32" id="{B314524D-9C71-4BC5-B342-1B4F4E11F02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O32</xm:sqref>
        </x14:conditionalFormatting>
        <x14:conditionalFormatting xmlns:xm="http://schemas.microsoft.com/office/excel/2006/main">
          <x14:cfRule type="iconSet" priority="11" id="{99785F13-2F04-4CA4-A45E-337DA828AE7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O33</xm:sqref>
        </x14:conditionalFormatting>
        <x14:conditionalFormatting xmlns:xm="http://schemas.microsoft.com/office/excel/2006/main">
          <x14:cfRule type="iconSet" priority="12" id="{FEBA2C62-0A10-4995-9FB5-6B1BFB9060B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O34</xm:sqref>
        </x14:conditionalFormatting>
        <x14:conditionalFormatting xmlns:xm="http://schemas.microsoft.com/office/excel/2006/main">
          <x14:cfRule type="iconSet" priority="13" id="{2FFA94EE-F544-4792-BE86-40576A920EC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O35</xm:sqref>
        </x14:conditionalFormatting>
        <x14:conditionalFormatting xmlns:xm="http://schemas.microsoft.com/office/excel/2006/main">
          <x14:cfRule type="iconSet" priority="4" id="{11739119-26AD-4C5D-8DCC-84554C9B305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O36</xm:sqref>
        </x14:conditionalFormatting>
        <x14:conditionalFormatting xmlns:xm="http://schemas.microsoft.com/office/excel/2006/main">
          <x14:cfRule type="iconSet" priority="5" id="{CAB40CED-AA67-4B39-974C-F59BE7E6F28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O37</xm:sqref>
        </x14:conditionalFormatting>
        <x14:conditionalFormatting xmlns:xm="http://schemas.microsoft.com/office/excel/2006/main">
          <x14:cfRule type="iconSet" priority="9" id="{9FAB9D2E-68AA-4341-9701-3D6FEE30621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O38</xm:sqref>
        </x14:conditionalFormatting>
        <x14:conditionalFormatting xmlns:xm="http://schemas.microsoft.com/office/excel/2006/main">
          <x14:cfRule type="iconSet" priority="10" id="{DD7C8B0E-ECD0-4891-9148-D0DD419B719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O39</xm:sqref>
        </x14:conditionalFormatting>
        <x14:conditionalFormatting xmlns:xm="http://schemas.microsoft.com/office/excel/2006/main">
          <x14:cfRule type="iconSet" priority="14" id="{C9849A25-1D8A-4A6F-BAF7-FA64161677F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O40</xm:sqref>
        </x14:conditionalFormatting>
        <x14:conditionalFormatting xmlns:xm="http://schemas.microsoft.com/office/excel/2006/main">
          <x14:cfRule type="iconSet" priority="15" id="{90B1A7CE-E532-418F-A569-02B5F972671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O41</xm:sqref>
        </x14:conditionalFormatting>
        <x14:conditionalFormatting xmlns:xm="http://schemas.microsoft.com/office/excel/2006/main">
          <x14:cfRule type="iconSet" priority="19" id="{21734DEA-445E-4742-AC07-598A4648715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O42</xm:sqref>
        </x14:conditionalFormatting>
        <x14:conditionalFormatting xmlns:xm="http://schemas.microsoft.com/office/excel/2006/main">
          <x14:cfRule type="iconSet" priority="20" id="{227BECB8-B367-4C39-8556-AB6C4681F53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O43</xm:sqref>
        </x14:conditionalFormatting>
        <x14:conditionalFormatting xmlns:xm="http://schemas.microsoft.com/office/excel/2006/main">
          <x14:cfRule type="iconSet" priority="18" id="{B5120EF6-BF71-4051-8058-DB44156AF2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O44</xm:sqref>
        </x14:conditionalFormatting>
        <x14:conditionalFormatting xmlns:xm="http://schemas.microsoft.com/office/excel/2006/main">
          <x14:cfRule type="iconSet" priority="17" id="{E78CDE26-E90F-48DE-87EB-C23009D477A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O45</xm:sqref>
        </x14:conditionalFormatting>
        <x14:conditionalFormatting xmlns:xm="http://schemas.microsoft.com/office/excel/2006/main">
          <x14:cfRule type="iconSet" priority="29" id="{19F423DA-D891-4FF5-8875-2C6EF7DBD44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O46:O56</xm:sqref>
        </x14:conditionalFormatting>
        <x14:conditionalFormatting xmlns:xm="http://schemas.microsoft.com/office/excel/2006/main">
          <x14:cfRule type="iconSet" priority="1" id="{A5858EBE-54C2-4623-925B-212CD9A4888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FF00"/>
  </sheetPr>
  <dimension ref="A1:H73"/>
  <sheetViews>
    <sheetView view="pageBreakPreview" topLeftCell="A67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7" max="7" width="11.5703125" style="3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169339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11003244</v>
      </c>
      <c r="E13" s="230" t="s">
        <v>319</v>
      </c>
      <c r="F13" s="741" t="s">
        <v>333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169339</v>
      </c>
      <c r="E14" s="230" t="s">
        <v>320</v>
      </c>
      <c r="F14" s="741" t="s">
        <v>334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335</v>
      </c>
      <c r="G15" s="741"/>
    </row>
    <row r="16" spans="1:7" x14ac:dyDescent="0.25">
      <c r="B16" s="402" t="s">
        <v>1089</v>
      </c>
      <c r="C16" s="230">
        <v>108.72</v>
      </c>
    </row>
    <row r="17" spans="2:8" x14ac:dyDescent="0.25">
      <c r="B17" s="402" t="s">
        <v>1090</v>
      </c>
      <c r="C17" s="230">
        <v>4.45</v>
      </c>
    </row>
    <row r="18" spans="2:8" x14ac:dyDescent="0.25">
      <c r="B18" s="402" t="s">
        <v>1091</v>
      </c>
      <c r="C18" s="230">
        <f>IFERROR(ROUND(C16*C17,0),0)</f>
        <v>484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3" spans="2:8" x14ac:dyDescent="0.25">
      <c r="G23"/>
    </row>
    <row r="25" spans="2:8" x14ac:dyDescent="0.25">
      <c r="B25" s="405" t="s">
        <v>1096</v>
      </c>
      <c r="C25" s="406"/>
      <c r="D25" s="407"/>
      <c r="E25" s="407"/>
      <c r="F25" s="407"/>
      <c r="G25" s="406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484</v>
      </c>
      <c r="G27" s="411">
        <v>0.5</v>
      </c>
      <c r="H27" s="50">
        <f>ROUND(E27*F27*G27,0)</f>
        <v>57143218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1">
        <f>G27</f>
        <v>0.5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1">
        <f>G27</f>
        <v>0.5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1">
        <f>G27</f>
        <v>0.5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57143218</v>
      </c>
    </row>
    <row r="33" spans="2:8" x14ac:dyDescent="0.25">
      <c r="B33" s="413" t="s">
        <v>1106</v>
      </c>
      <c r="C33" s="414"/>
      <c r="D33" s="414"/>
      <c r="E33" s="414"/>
      <c r="F33" s="414"/>
      <c r="G33" s="406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30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6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6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06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57143218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H73"/>
  <sheetViews>
    <sheetView view="pageBreakPreview" topLeftCell="A7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175729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11002945</v>
      </c>
      <c r="E13" s="230" t="s">
        <v>319</v>
      </c>
      <c r="F13" s="741" t="s">
        <v>341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175729</v>
      </c>
      <c r="E14" s="230" t="s">
        <v>320</v>
      </c>
      <c r="F14" s="741" t="s">
        <v>342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343</v>
      </c>
      <c r="G15" s="741"/>
    </row>
    <row r="16" spans="1:7" x14ac:dyDescent="0.25">
      <c r="B16" s="402" t="s">
        <v>1089</v>
      </c>
      <c r="C16" s="230">
        <v>63.99</v>
      </c>
    </row>
    <row r="17" spans="2:8" x14ac:dyDescent="0.25">
      <c r="B17" s="402" t="s">
        <v>1090</v>
      </c>
      <c r="C17" s="230">
        <v>8.1300000000000008</v>
      </c>
    </row>
    <row r="18" spans="2:8" x14ac:dyDescent="0.25">
      <c r="B18" s="402" t="s">
        <v>1091</v>
      </c>
      <c r="C18" s="230">
        <f>IFERROR(ROUND(C16*C17,0),0)</f>
        <v>520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520</v>
      </c>
      <c r="G35" s="411">
        <v>1</v>
      </c>
      <c r="H35" s="410">
        <f>ROUND(E35*F35*G35,0)</f>
        <v>137439120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137439120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127.98</v>
      </c>
      <c r="G70" s="411">
        <f>G67</f>
        <v>1</v>
      </c>
      <c r="H70" s="410">
        <f t="shared" si="5"/>
        <v>7887407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7887407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145326527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H73"/>
  <sheetViews>
    <sheetView view="pageBreakPreview" topLeftCell="A64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175731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11002757</v>
      </c>
      <c r="E13" s="230" t="s">
        <v>319</v>
      </c>
      <c r="F13" s="741" t="s">
        <v>341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175731</v>
      </c>
      <c r="E14" s="230" t="s">
        <v>320</v>
      </c>
      <c r="F14" s="741" t="s">
        <v>343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345</v>
      </c>
      <c r="G15" s="741"/>
    </row>
    <row r="16" spans="1:7" x14ac:dyDescent="0.25">
      <c r="B16" s="402" t="s">
        <v>1089</v>
      </c>
      <c r="C16" s="230">
        <v>61.44</v>
      </c>
    </row>
    <row r="17" spans="2:8" x14ac:dyDescent="0.25">
      <c r="B17" s="402" t="s">
        <v>1090</v>
      </c>
      <c r="C17" s="230">
        <v>9.06</v>
      </c>
    </row>
    <row r="18" spans="2:8" x14ac:dyDescent="0.25">
      <c r="B18" s="402" t="s">
        <v>1091</v>
      </c>
      <c r="C18" s="230">
        <f>IFERROR(ROUND(C16*C17,0),0)</f>
        <v>557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557</v>
      </c>
      <c r="G35" s="411">
        <v>1</v>
      </c>
      <c r="H35" s="410">
        <f>ROUND(E35*F35*G35,0)</f>
        <v>147218442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147218442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122.88</v>
      </c>
      <c r="G70" s="411">
        <f>G67</f>
        <v>1</v>
      </c>
      <c r="H70" s="410">
        <f t="shared" si="5"/>
        <v>7573094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7573094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154791536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176634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11000989</v>
      </c>
      <c r="E13" s="230" t="s">
        <v>319</v>
      </c>
      <c r="F13" s="741" t="s">
        <v>346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176634</v>
      </c>
      <c r="E14" s="230" t="s">
        <v>320</v>
      </c>
      <c r="F14" s="741" t="s">
        <v>347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348</v>
      </c>
      <c r="G15" s="741"/>
    </row>
    <row r="16" spans="1:7" x14ac:dyDescent="0.25">
      <c r="B16" s="402" t="s">
        <v>1089</v>
      </c>
      <c r="C16" s="230">
        <v>71.64</v>
      </c>
    </row>
    <row r="17" spans="2:8" x14ac:dyDescent="0.25">
      <c r="B17" s="402" t="s">
        <v>1090</v>
      </c>
      <c r="C17" s="230">
        <v>8.73</v>
      </c>
    </row>
    <row r="18" spans="2:8" x14ac:dyDescent="0.25">
      <c r="B18" s="402" t="s">
        <v>1091</v>
      </c>
      <c r="C18" s="230">
        <f>IFERROR(ROUND(C16*C17,0),0)</f>
        <v>625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349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625</v>
      </c>
      <c r="G28" s="416">
        <f>G27</f>
        <v>1</v>
      </c>
      <c r="H28" s="50">
        <f t="shared" ref="H28:H30" si="0">ROUND(E28*F28*G28,0)</f>
        <v>170536250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170536250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143.28</v>
      </c>
      <c r="G70" s="411">
        <f>G67</f>
        <v>1</v>
      </c>
      <c r="H70" s="410">
        <f t="shared" si="5"/>
        <v>8830346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8830346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179366596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167437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11010147</v>
      </c>
      <c r="E13" s="230" t="s">
        <v>319</v>
      </c>
      <c r="F13" s="741" t="s">
        <v>350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167437</v>
      </c>
      <c r="E14" s="230" t="s">
        <v>320</v>
      </c>
      <c r="F14" s="741" t="s">
        <v>351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352</v>
      </c>
      <c r="G15" s="741"/>
    </row>
    <row r="16" spans="1:7" x14ac:dyDescent="0.25">
      <c r="B16" s="402" t="s">
        <v>1089</v>
      </c>
      <c r="C16" s="230">
        <v>91.09</v>
      </c>
    </row>
    <row r="17" spans="2:8" x14ac:dyDescent="0.25">
      <c r="B17" s="402" t="s">
        <v>1090</v>
      </c>
      <c r="C17" s="230">
        <v>6.78</v>
      </c>
    </row>
    <row r="18" spans="2:8" x14ac:dyDescent="0.25">
      <c r="B18" s="402" t="s">
        <v>1091</v>
      </c>
      <c r="C18" s="230">
        <f>IFERROR(ROUND(C16*C17,0),0)</f>
        <v>618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618</v>
      </c>
      <c r="G35" s="411">
        <v>1</v>
      </c>
      <c r="H35" s="410">
        <f>ROUND(E35*F35*G35,0)</f>
        <v>163341108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163341108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182.18</v>
      </c>
      <c r="G70" s="411">
        <f>G67</f>
        <v>1</v>
      </c>
      <c r="H70" s="410">
        <f t="shared" si="5"/>
        <v>11227753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11227753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174568861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rgb="FFFFFF00"/>
  </sheetPr>
  <dimension ref="A1:H73"/>
  <sheetViews>
    <sheetView view="pageBreakPreview" topLeftCell="A4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176277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11002729</v>
      </c>
      <c r="E13" s="230" t="s">
        <v>319</v>
      </c>
      <c r="F13" s="741" t="s">
        <v>353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176277</v>
      </c>
      <c r="E14" s="230" t="s">
        <v>320</v>
      </c>
      <c r="F14" s="741" t="s">
        <v>354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355</v>
      </c>
      <c r="G15" s="741"/>
    </row>
    <row r="16" spans="1:7" x14ac:dyDescent="0.25">
      <c r="B16" s="402" t="s">
        <v>1089</v>
      </c>
      <c r="C16" s="230">
        <v>127.08</v>
      </c>
    </row>
    <row r="17" spans="2:8" x14ac:dyDescent="0.25">
      <c r="B17" s="402" t="s">
        <v>1090</v>
      </c>
      <c r="C17" s="230">
        <v>8.36</v>
      </c>
    </row>
    <row r="18" spans="2:8" x14ac:dyDescent="0.25">
      <c r="B18" s="402" t="s">
        <v>1091</v>
      </c>
      <c r="C18" s="230">
        <f>IFERROR(ROUND(C16*C17,0),0)</f>
        <v>1062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1062</v>
      </c>
      <c r="G27" s="416">
        <v>0.5</v>
      </c>
      <c r="H27" s="50">
        <f>ROUND(E27*F27*G27,0)</f>
        <v>125384499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0.5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0.5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0.5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125384499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125384499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H73"/>
  <sheetViews>
    <sheetView view="pageBreakPreview" topLeftCell="A19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172488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11005794</v>
      </c>
      <c r="E13" s="230" t="s">
        <v>319</v>
      </c>
      <c r="F13" s="741" t="s">
        <v>356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172488</v>
      </c>
      <c r="E14" s="230" t="s">
        <v>320</v>
      </c>
      <c r="F14" s="741" t="s">
        <v>357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358</v>
      </c>
      <c r="G15" s="741"/>
    </row>
    <row r="16" spans="1:7" x14ac:dyDescent="0.25">
      <c r="B16" s="402" t="s">
        <v>1089</v>
      </c>
      <c r="C16" s="230">
        <v>123.66</v>
      </c>
    </row>
    <row r="17" spans="2:8" x14ac:dyDescent="0.25">
      <c r="B17" s="402" t="s">
        <v>1090</v>
      </c>
      <c r="C17" s="230">
        <v>6.49</v>
      </c>
    </row>
    <row r="18" spans="2:8" x14ac:dyDescent="0.25">
      <c r="B18" s="402" t="s">
        <v>1091</v>
      </c>
      <c r="C18" s="230">
        <f>IFERROR(ROUND(C16*C17,0),0)</f>
        <v>803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359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803</v>
      </c>
      <c r="G30" s="416">
        <v>0.5</v>
      </c>
      <c r="H30" s="50">
        <f t="shared" si="0"/>
        <v>60090498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60090498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60090498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174993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11004607</v>
      </c>
      <c r="E13" s="230" t="s">
        <v>319</v>
      </c>
      <c r="F13" s="741" t="s">
        <v>360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174993</v>
      </c>
      <c r="E14" s="230" t="s">
        <v>320</v>
      </c>
      <c r="F14" s="741" t="s">
        <v>361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362</v>
      </c>
      <c r="G15" s="741"/>
    </row>
    <row r="16" spans="1:7" x14ac:dyDescent="0.25">
      <c r="B16" s="402" t="s">
        <v>1089</v>
      </c>
      <c r="C16" s="230">
        <v>33.89</v>
      </c>
    </row>
    <row r="17" spans="2:8" x14ac:dyDescent="0.25">
      <c r="B17" s="402" t="s">
        <v>1090</v>
      </c>
      <c r="C17" s="230">
        <v>4.3499999999999996</v>
      </c>
    </row>
    <row r="18" spans="2:8" x14ac:dyDescent="0.25">
      <c r="B18" s="402" t="s">
        <v>1091</v>
      </c>
      <c r="C18" s="230">
        <f>IFERROR(ROUND(C16*C17,0),0)</f>
        <v>147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147</v>
      </c>
      <c r="G35" s="411">
        <v>1</v>
      </c>
      <c r="H35" s="410">
        <f>ROUND(E35*F35*G35,0)</f>
        <v>38852982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38852982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67.78</v>
      </c>
      <c r="G70" s="411">
        <f>G67</f>
        <v>1</v>
      </c>
      <c r="H70" s="410">
        <f t="shared" si="5"/>
        <v>4177281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4177281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43030263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174992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11004687</v>
      </c>
      <c r="E13" s="230" t="s">
        <v>319</v>
      </c>
      <c r="F13" s="741" t="s">
        <v>360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174992</v>
      </c>
      <c r="E14" s="230" t="s">
        <v>320</v>
      </c>
      <c r="F14" s="741" t="s">
        <v>363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361</v>
      </c>
      <c r="G15" s="741"/>
    </row>
    <row r="16" spans="1:7" x14ac:dyDescent="0.25">
      <c r="B16" s="402" t="s">
        <v>1089</v>
      </c>
      <c r="C16" s="230">
        <v>32.340000000000003</v>
      </c>
    </row>
    <row r="17" spans="2:8" x14ac:dyDescent="0.25">
      <c r="B17" s="402" t="s">
        <v>1090</v>
      </c>
      <c r="C17" s="230">
        <v>4.0599999999999996</v>
      </c>
    </row>
    <row r="18" spans="2:8" x14ac:dyDescent="0.25">
      <c r="B18" s="402" t="s">
        <v>1091</v>
      </c>
      <c r="C18" s="230">
        <f>IFERROR(ROUND(C16*C17,0),0)</f>
        <v>131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131</v>
      </c>
      <c r="G35" s="411">
        <v>1</v>
      </c>
      <c r="H35" s="410">
        <f>ROUND(E35*F35*G35,0)</f>
        <v>34624086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34624086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64.680000000000007</v>
      </c>
      <c r="G70" s="411">
        <f>G67</f>
        <v>1</v>
      </c>
      <c r="H70" s="410">
        <f t="shared" si="5"/>
        <v>3986228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3986228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38610314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174991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11004750</v>
      </c>
      <c r="E13" s="230" t="s">
        <v>319</v>
      </c>
      <c r="F13" s="741" t="s">
        <v>360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174991</v>
      </c>
      <c r="E14" s="230" t="s">
        <v>320</v>
      </c>
      <c r="F14" s="741" t="s">
        <v>364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363</v>
      </c>
      <c r="G15" s="741"/>
    </row>
    <row r="16" spans="1:7" x14ac:dyDescent="0.25">
      <c r="B16" s="402" t="s">
        <v>1089</v>
      </c>
      <c r="C16" s="230">
        <v>20.66</v>
      </c>
    </row>
    <row r="17" spans="2:8" x14ac:dyDescent="0.25">
      <c r="B17" s="402" t="s">
        <v>1090</v>
      </c>
      <c r="C17" s="230">
        <v>4.3600000000000003</v>
      </c>
    </row>
    <row r="18" spans="2:8" x14ac:dyDescent="0.25">
      <c r="B18" s="402" t="s">
        <v>1091</v>
      </c>
      <c r="C18" s="230">
        <f>IFERROR(ROUND(C16*C17,0),0)</f>
        <v>90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90</v>
      </c>
      <c r="G35" s="411">
        <v>1</v>
      </c>
      <c r="H35" s="410">
        <f>ROUND(E35*F35*G35,0)</f>
        <v>23787540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23787540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41.32</v>
      </c>
      <c r="G70" s="411">
        <f>G67</f>
        <v>1</v>
      </c>
      <c r="H70" s="410">
        <f t="shared" si="5"/>
        <v>2546552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2546552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26334092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169238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11002051</v>
      </c>
      <c r="E13" s="230" t="s">
        <v>319</v>
      </c>
      <c r="F13" s="741" t="s">
        <v>365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169238</v>
      </c>
      <c r="E14" s="230" t="s">
        <v>320</v>
      </c>
      <c r="F14" s="741" t="s">
        <v>366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367</v>
      </c>
      <c r="G15" s="741"/>
    </row>
    <row r="16" spans="1:7" x14ac:dyDescent="0.25">
      <c r="B16" s="402" t="s">
        <v>1089</v>
      </c>
      <c r="C16" s="230">
        <v>36.57</v>
      </c>
    </row>
    <row r="17" spans="2:8" x14ac:dyDescent="0.25">
      <c r="B17" s="402" t="s">
        <v>1090</v>
      </c>
      <c r="C17" s="230">
        <v>4.1100000000000003</v>
      </c>
    </row>
    <row r="18" spans="2:8" x14ac:dyDescent="0.25">
      <c r="B18" s="402" t="s">
        <v>1091</v>
      </c>
      <c r="C18" s="230">
        <f>IFERROR(ROUND(C16*C17,0),0)</f>
        <v>150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150</v>
      </c>
      <c r="G35" s="411">
        <v>1</v>
      </c>
      <c r="H35" s="410">
        <f>ROUND(E35*F35*G35,0)</f>
        <v>39645900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39645900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73.14</v>
      </c>
      <c r="G70" s="411">
        <f>G67</f>
        <v>1</v>
      </c>
      <c r="H70" s="410">
        <f t="shared" si="5"/>
        <v>4507618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4507618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44153518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174103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11004595</v>
      </c>
      <c r="E13" s="230" t="s">
        <v>319</v>
      </c>
      <c r="F13" s="741" t="s">
        <v>368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174103</v>
      </c>
      <c r="E14" s="230" t="s">
        <v>320</v>
      </c>
      <c r="F14" s="741" t="s">
        <v>369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370</v>
      </c>
      <c r="G15" s="741"/>
    </row>
    <row r="16" spans="1:7" x14ac:dyDescent="0.25">
      <c r="B16" s="402" t="s">
        <v>1089</v>
      </c>
      <c r="C16" s="230">
        <v>78.89</v>
      </c>
    </row>
    <row r="17" spans="2:8" x14ac:dyDescent="0.25">
      <c r="B17" s="402" t="s">
        <v>1090</v>
      </c>
      <c r="C17" s="230">
        <v>2.99</v>
      </c>
    </row>
    <row r="18" spans="2:8" x14ac:dyDescent="0.25">
      <c r="B18" s="402" t="s">
        <v>1091</v>
      </c>
      <c r="C18" s="230">
        <f>IFERROR(ROUND(C16*C17,0),0)</f>
        <v>236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236</v>
      </c>
      <c r="G35" s="411">
        <v>1</v>
      </c>
      <c r="H35" s="410">
        <f>ROUND(E35*F35*G35,0)</f>
        <v>62376216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62376216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157.78</v>
      </c>
      <c r="G70" s="411">
        <f>G67</f>
        <v>1</v>
      </c>
      <c r="H70" s="410">
        <f t="shared" si="5"/>
        <v>9723981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9723981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72100197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174146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11004428</v>
      </c>
      <c r="E13" s="230" t="s">
        <v>319</v>
      </c>
      <c r="F13" s="741" t="s">
        <v>371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174146</v>
      </c>
      <c r="E14" s="230" t="s">
        <v>320</v>
      </c>
      <c r="F14" s="741" t="s">
        <v>362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372</v>
      </c>
      <c r="G15" s="741"/>
    </row>
    <row r="16" spans="1:7" x14ac:dyDescent="0.25">
      <c r="B16" s="402" t="s">
        <v>1089</v>
      </c>
      <c r="C16" s="230">
        <v>99.65</v>
      </c>
    </row>
    <row r="17" spans="2:8" x14ac:dyDescent="0.25">
      <c r="B17" s="402" t="s">
        <v>1090</v>
      </c>
      <c r="C17" s="230">
        <v>3.1</v>
      </c>
    </row>
    <row r="18" spans="2:8" x14ac:dyDescent="0.25">
      <c r="B18" s="402" t="s">
        <v>1091</v>
      </c>
      <c r="C18" s="230">
        <f>IFERROR(ROUND(C16*C17,0),0)</f>
        <v>309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309</v>
      </c>
      <c r="G35" s="411">
        <v>1</v>
      </c>
      <c r="H35" s="410">
        <f>ROUND(E35*F35*G35,0)</f>
        <v>81670554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81670554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199.3</v>
      </c>
      <c r="G70" s="411">
        <f>G67</f>
        <v>1</v>
      </c>
      <c r="H70" s="410">
        <f t="shared" si="5"/>
        <v>12282859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12282859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93953413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174147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11004238</v>
      </c>
      <c r="E13" s="230" t="s">
        <v>319</v>
      </c>
      <c r="F13" s="741" t="s">
        <v>371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174147</v>
      </c>
      <c r="E14" s="230" t="s">
        <v>320</v>
      </c>
      <c r="F14" s="741" t="s">
        <v>372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373</v>
      </c>
      <c r="G15" s="741"/>
    </row>
    <row r="16" spans="1:7" x14ac:dyDescent="0.25">
      <c r="B16" s="402" t="s">
        <v>1089</v>
      </c>
      <c r="C16" s="230">
        <v>109.34</v>
      </c>
    </row>
    <row r="17" spans="2:8" x14ac:dyDescent="0.25">
      <c r="B17" s="402" t="s">
        <v>1090</v>
      </c>
      <c r="C17" s="230">
        <v>3.1</v>
      </c>
    </row>
    <row r="18" spans="2:8" x14ac:dyDescent="0.25">
      <c r="B18" s="402" t="s">
        <v>1091</v>
      </c>
      <c r="C18" s="230">
        <f>IFERROR(ROUND(C16*C17,0),0)</f>
        <v>339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374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339</v>
      </c>
      <c r="G37" s="411">
        <f>G35</f>
        <v>1</v>
      </c>
      <c r="H37" s="410">
        <f t="shared" si="1"/>
        <v>3786630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3786630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3786630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800044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11005215</v>
      </c>
      <c r="E13" s="230" t="s">
        <v>319</v>
      </c>
      <c r="F13" s="741" t="s">
        <v>375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800044</v>
      </c>
      <c r="E14" s="230" t="s">
        <v>320</v>
      </c>
      <c r="F14" s="741" t="s">
        <v>376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377</v>
      </c>
      <c r="G15" s="741"/>
    </row>
    <row r="16" spans="1:7" x14ac:dyDescent="0.25">
      <c r="B16" s="402" t="s">
        <v>1089</v>
      </c>
      <c r="C16" s="230">
        <v>58.84</v>
      </c>
    </row>
    <row r="17" spans="2:8" x14ac:dyDescent="0.25">
      <c r="B17" s="402" t="s">
        <v>1090</v>
      </c>
      <c r="C17" s="230">
        <v>6.44</v>
      </c>
    </row>
    <row r="18" spans="2:8" x14ac:dyDescent="0.25">
      <c r="B18" s="402" t="s">
        <v>1091</v>
      </c>
      <c r="C18" s="230">
        <f>IFERROR(ROUND(C16*C17,0),0)</f>
        <v>379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379</v>
      </c>
      <c r="G35" s="411">
        <v>1</v>
      </c>
      <c r="H35" s="410">
        <f>ROUND(E35*F35*G35,0)</f>
        <v>100171974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100171974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117.68</v>
      </c>
      <c r="G70" s="411">
        <f>G67</f>
        <v>1</v>
      </c>
      <c r="H70" s="410">
        <f t="shared" si="5"/>
        <v>7252618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7252618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107424592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171265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11005418</v>
      </c>
      <c r="E13" s="230" t="s">
        <v>319</v>
      </c>
      <c r="F13" s="741" t="s">
        <v>378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171265</v>
      </c>
      <c r="E14" s="230" t="s">
        <v>320</v>
      </c>
      <c r="F14" s="741" t="s">
        <v>379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380</v>
      </c>
      <c r="G15" s="741"/>
    </row>
    <row r="16" spans="1:7" x14ac:dyDescent="0.25">
      <c r="B16" s="402" t="s">
        <v>1089</v>
      </c>
      <c r="C16" s="230">
        <v>36.83</v>
      </c>
    </row>
    <row r="17" spans="2:8" x14ac:dyDescent="0.25">
      <c r="B17" s="402" t="s">
        <v>1090</v>
      </c>
      <c r="C17" s="230">
        <v>5.92</v>
      </c>
    </row>
    <row r="18" spans="2:8" x14ac:dyDescent="0.25">
      <c r="B18" s="402" t="s">
        <v>1091</v>
      </c>
      <c r="C18" s="230">
        <f>IFERROR(ROUND(C16*C17,0),0)</f>
        <v>218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374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218</v>
      </c>
      <c r="G37" s="411">
        <f>G35</f>
        <v>1</v>
      </c>
      <c r="H37" s="410">
        <f t="shared" si="1"/>
        <v>2435060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2435060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2435060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171267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11005417</v>
      </c>
      <c r="E13" s="230" t="s">
        <v>319</v>
      </c>
      <c r="F13" s="741" t="s">
        <v>381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171267</v>
      </c>
      <c r="E14" s="230" t="s">
        <v>320</v>
      </c>
      <c r="F14" s="741" t="s">
        <v>378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382</v>
      </c>
      <c r="G15" s="741"/>
    </row>
    <row r="16" spans="1:7" x14ac:dyDescent="0.25">
      <c r="B16" s="402" t="s">
        <v>1089</v>
      </c>
      <c r="C16" s="230">
        <v>78.22</v>
      </c>
    </row>
    <row r="17" spans="2:8" x14ac:dyDescent="0.25">
      <c r="B17" s="402" t="s">
        <v>1090</v>
      </c>
      <c r="C17" s="230">
        <v>2.93</v>
      </c>
    </row>
    <row r="18" spans="2:8" x14ac:dyDescent="0.25">
      <c r="B18" s="402" t="s">
        <v>1091</v>
      </c>
      <c r="C18" s="230">
        <f>IFERROR(ROUND(C16*C17,0),0)</f>
        <v>229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374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229</v>
      </c>
      <c r="G37" s="411">
        <f>G35</f>
        <v>1</v>
      </c>
      <c r="H37" s="410">
        <f t="shared" si="1"/>
        <v>2557930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2557930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2557930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171266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11005536</v>
      </c>
      <c r="E13" s="230" t="s">
        <v>319</v>
      </c>
      <c r="F13" s="741" t="s">
        <v>381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171266</v>
      </c>
      <c r="E14" s="230" t="s">
        <v>320</v>
      </c>
      <c r="F14" s="741" t="s">
        <v>378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383</v>
      </c>
      <c r="G15" s="741"/>
    </row>
    <row r="16" spans="1:7" x14ac:dyDescent="0.25">
      <c r="B16" s="402" t="s">
        <v>1089</v>
      </c>
      <c r="C16" s="230">
        <v>67.59</v>
      </c>
    </row>
    <row r="17" spans="2:8" x14ac:dyDescent="0.25">
      <c r="B17" s="402" t="s">
        <v>1090</v>
      </c>
      <c r="C17" s="230">
        <v>3.02</v>
      </c>
    </row>
    <row r="18" spans="2:8" x14ac:dyDescent="0.25">
      <c r="B18" s="402" t="s">
        <v>1091</v>
      </c>
      <c r="C18" s="230">
        <f>IFERROR(ROUND(C16*C17,0),0)</f>
        <v>204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374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204</v>
      </c>
      <c r="G37" s="411">
        <f>G35</f>
        <v>1</v>
      </c>
      <c r="H37" s="410">
        <f t="shared" si="1"/>
        <v>2278680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2278680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2278680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167909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11008694</v>
      </c>
      <c r="E13" s="230" t="s">
        <v>319</v>
      </c>
      <c r="F13" s="741" t="s">
        <v>384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167909</v>
      </c>
      <c r="E14" s="230" t="s">
        <v>320</v>
      </c>
      <c r="F14" s="741" t="s">
        <v>385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372</v>
      </c>
      <c r="G15" s="741"/>
    </row>
    <row r="16" spans="1:7" x14ac:dyDescent="0.25">
      <c r="B16" s="402" t="s">
        <v>1089</v>
      </c>
      <c r="C16" s="230">
        <v>139.13</v>
      </c>
    </row>
    <row r="17" spans="2:8" x14ac:dyDescent="0.25">
      <c r="B17" s="402" t="s">
        <v>1090</v>
      </c>
      <c r="C17" s="230">
        <v>6.44</v>
      </c>
    </row>
    <row r="18" spans="2:8" x14ac:dyDescent="0.25">
      <c r="B18" s="402" t="s">
        <v>1091</v>
      </c>
      <c r="C18" s="230">
        <f>IFERROR(ROUND(C16*C17,0),0)</f>
        <v>896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359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896</v>
      </c>
      <c r="G38" s="411">
        <f>G35</f>
        <v>1</v>
      </c>
      <c r="H38" s="410">
        <f t="shared" si="1"/>
        <v>60292736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60292736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60292736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rgb="FFFFFF00"/>
  </sheetPr>
  <dimension ref="A1:H73"/>
  <sheetViews>
    <sheetView view="pageBreakPreview" topLeftCell="A46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91100218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11003050</v>
      </c>
      <c r="E13" s="230" t="s">
        <v>319</v>
      </c>
      <c r="F13" s="741" t="s">
        <v>386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91100218</v>
      </c>
      <c r="E14" s="230" t="s">
        <v>320</v>
      </c>
      <c r="F14" s="741" t="s">
        <v>387</v>
      </c>
      <c r="G14" s="741"/>
    </row>
    <row r="15" spans="1:7" x14ac:dyDescent="0.25">
      <c r="B15" s="402" t="s">
        <v>1088</v>
      </c>
      <c r="C15" s="230" t="s">
        <v>389</v>
      </c>
      <c r="E15" s="230" t="s">
        <v>321</v>
      </c>
      <c r="F15" s="741" t="s">
        <v>388</v>
      </c>
      <c r="G15" s="741"/>
    </row>
    <row r="16" spans="1:7" x14ac:dyDescent="0.25">
      <c r="B16" s="402" t="s">
        <v>1089</v>
      </c>
      <c r="C16" s="230">
        <v>34.65</v>
      </c>
    </row>
    <row r="17" spans="2:8" x14ac:dyDescent="0.25">
      <c r="B17" s="402" t="s">
        <v>1090</v>
      </c>
      <c r="C17" s="230">
        <v>15</v>
      </c>
    </row>
    <row r="18" spans="2:8" x14ac:dyDescent="0.25">
      <c r="B18" s="402" t="s">
        <v>1091</v>
      </c>
      <c r="C18" s="230">
        <f>IFERROR(ROUND(C16*C17,0),0)</f>
        <v>520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520</v>
      </c>
      <c r="G35" s="411">
        <v>0.8</v>
      </c>
      <c r="H35" s="410">
        <f>ROUND(E35*F35*G35,0)</f>
        <v>109951296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0.8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0.8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0.8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109951296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69.3</v>
      </c>
      <c r="G70" s="411">
        <f>G67</f>
        <v>1</v>
      </c>
      <c r="H70" s="410">
        <f t="shared" si="5"/>
        <v>4270959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4270959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114222255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FF00"/>
  </sheetPr>
  <dimension ref="A1:H73"/>
  <sheetViews>
    <sheetView view="pageBreakPreview" topLeftCell="A25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91100346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11003033</v>
      </c>
      <c r="E13" s="230" t="s">
        <v>319</v>
      </c>
      <c r="F13" s="741" t="s">
        <v>386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91100346</v>
      </c>
      <c r="E14" s="230" t="s">
        <v>320</v>
      </c>
      <c r="F14" s="741" t="s">
        <v>388</v>
      </c>
      <c r="G14" s="741"/>
    </row>
    <row r="15" spans="1:7" x14ac:dyDescent="0.25">
      <c r="B15" s="402" t="s">
        <v>1088</v>
      </c>
      <c r="C15" s="230" t="s">
        <v>389</v>
      </c>
      <c r="E15" s="230" t="s">
        <v>321</v>
      </c>
      <c r="F15" s="741" t="s">
        <v>390</v>
      </c>
      <c r="G15" s="741"/>
    </row>
    <row r="16" spans="1:7" x14ac:dyDescent="0.25">
      <c r="B16" s="402" t="s">
        <v>1089</v>
      </c>
      <c r="C16" s="230">
        <v>27.31</v>
      </c>
    </row>
    <row r="17" spans="2:8" x14ac:dyDescent="0.25">
      <c r="B17" s="402" t="s">
        <v>1090</v>
      </c>
      <c r="C17" s="230">
        <v>15</v>
      </c>
    </row>
    <row r="18" spans="2:8" x14ac:dyDescent="0.25">
      <c r="B18" s="402" t="s">
        <v>1091</v>
      </c>
      <c r="C18" s="230">
        <f>IFERROR(ROUND(C16*C17,0),0)</f>
        <v>410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410</v>
      </c>
      <c r="G35" s="411">
        <v>0.8</v>
      </c>
      <c r="H35" s="410">
        <f>ROUND(E35*F35*G35,0)</f>
        <v>86692368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0.8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0.8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0.8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86692368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54.62</v>
      </c>
      <c r="G70" s="411">
        <f>G67</f>
        <v>1</v>
      </c>
      <c r="H70" s="410">
        <f t="shared" si="5"/>
        <v>3366231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3366231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90058599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rgb="FFFFFF00"/>
  </sheetPr>
  <dimension ref="A1:H73"/>
  <sheetViews>
    <sheetView view="pageBreakPreview" topLeftCell="A28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91104122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11013446</v>
      </c>
      <c r="E13" s="230" t="s">
        <v>319</v>
      </c>
      <c r="F13" s="741" t="s">
        <v>386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91104122</v>
      </c>
      <c r="E14" s="230" t="s">
        <v>320</v>
      </c>
      <c r="F14" s="741" t="s">
        <v>390</v>
      </c>
      <c r="G14" s="741"/>
    </row>
    <row r="15" spans="1:7" x14ac:dyDescent="0.25">
      <c r="B15" s="402" t="s">
        <v>1088</v>
      </c>
      <c r="C15" s="230" t="s">
        <v>389</v>
      </c>
      <c r="E15" s="230" t="s">
        <v>321</v>
      </c>
      <c r="F15" s="741" t="s">
        <v>390</v>
      </c>
      <c r="G15" s="741"/>
    </row>
    <row r="16" spans="1:7" x14ac:dyDescent="0.25">
      <c r="B16" s="402" t="s">
        <v>1089</v>
      </c>
      <c r="C16" s="230">
        <v>13.37</v>
      </c>
    </row>
    <row r="17" spans="2:8" x14ac:dyDescent="0.25">
      <c r="B17" s="402" t="s">
        <v>1090</v>
      </c>
      <c r="C17" s="230">
        <v>15</v>
      </c>
    </row>
    <row r="18" spans="2:8" x14ac:dyDescent="0.25">
      <c r="B18" s="402" t="s">
        <v>1091</v>
      </c>
      <c r="C18" s="230">
        <f>IFERROR(ROUND(C16*C17,0),0)</f>
        <v>201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201</v>
      </c>
      <c r="G35" s="411">
        <v>0.8</v>
      </c>
      <c r="H35" s="410">
        <f>ROUND(E35*F35*G35,0)</f>
        <v>42500405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0.8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0.8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0.8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42500405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26.74</v>
      </c>
      <c r="G70" s="411">
        <f>G67</f>
        <v>1</v>
      </c>
      <c r="H70" s="410">
        <f t="shared" si="5"/>
        <v>1647986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1647986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44148391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>
    <tabColor rgb="FFFFFF00"/>
  </sheetPr>
  <dimension ref="A1:H73"/>
  <sheetViews>
    <sheetView view="pageBreakPreview" topLeftCell="A28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91100345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11003020</v>
      </c>
      <c r="E13" s="230" t="s">
        <v>319</v>
      </c>
      <c r="F13" s="741" t="s">
        <v>386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91100345</v>
      </c>
      <c r="E14" s="230" t="s">
        <v>320</v>
      </c>
      <c r="F14" s="741" t="s">
        <v>390</v>
      </c>
      <c r="G14" s="741"/>
    </row>
    <row r="15" spans="1:7" x14ac:dyDescent="0.25">
      <c r="B15" s="402" t="s">
        <v>1088</v>
      </c>
      <c r="C15" s="230" t="s">
        <v>389</v>
      </c>
      <c r="E15" s="230" t="s">
        <v>321</v>
      </c>
      <c r="F15" s="741" t="s">
        <v>391</v>
      </c>
      <c r="G15" s="741"/>
    </row>
    <row r="16" spans="1:7" x14ac:dyDescent="0.25">
      <c r="B16" s="402" t="s">
        <v>1089</v>
      </c>
      <c r="C16" s="230">
        <v>17.63</v>
      </c>
    </row>
    <row r="17" spans="2:8" x14ac:dyDescent="0.25">
      <c r="B17" s="402" t="s">
        <v>1090</v>
      </c>
      <c r="C17" s="230">
        <v>15</v>
      </c>
    </row>
    <row r="18" spans="2:8" x14ac:dyDescent="0.25">
      <c r="B18" s="402" t="s">
        <v>1091</v>
      </c>
      <c r="C18" s="230">
        <f>IFERROR(ROUND(C16*C17,0),0)</f>
        <v>264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264</v>
      </c>
      <c r="G35" s="411">
        <v>0.8</v>
      </c>
      <c r="H35" s="410">
        <f>ROUND(E35*F35*G35,0)</f>
        <v>55821427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0.8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0.8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0.8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55821427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35.26</v>
      </c>
      <c r="G70" s="411">
        <f>G67</f>
        <v>1</v>
      </c>
      <c r="H70" s="410">
        <f t="shared" si="5"/>
        <v>2173074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2173074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57994501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rgb="FFFFFF00"/>
  </sheetPr>
  <dimension ref="A1:H73"/>
  <sheetViews>
    <sheetView view="pageBreakPreview" topLeftCell="A19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472369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11011976</v>
      </c>
      <c r="E13" s="230" t="s">
        <v>319</v>
      </c>
      <c r="F13" s="741" t="s">
        <v>392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472369</v>
      </c>
      <c r="E14" s="230" t="s">
        <v>320</v>
      </c>
      <c r="F14" s="741" t="s">
        <v>393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393</v>
      </c>
      <c r="G15" s="741"/>
    </row>
    <row r="16" spans="1:7" x14ac:dyDescent="0.25">
      <c r="B16" s="402" t="s">
        <v>1089</v>
      </c>
      <c r="C16" s="230">
        <v>16.739999999999998</v>
      </c>
    </row>
    <row r="17" spans="2:8" x14ac:dyDescent="0.25">
      <c r="B17" s="402" t="s">
        <v>1090</v>
      </c>
      <c r="C17" s="230">
        <v>10.52</v>
      </c>
    </row>
    <row r="18" spans="2:8" x14ac:dyDescent="0.25">
      <c r="B18" s="402" t="s">
        <v>1091</v>
      </c>
      <c r="C18" s="230">
        <f>IFERROR(ROUND(C16*C17,0),0)</f>
        <v>176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176</v>
      </c>
      <c r="G27" s="416">
        <v>0.9</v>
      </c>
      <c r="H27" s="50">
        <f>ROUND(E27*F27*G27,0)</f>
        <v>37402834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0.9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0.9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0.9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37402834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37402834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>
    <tabColor rgb="FFFFFF00"/>
  </sheetPr>
  <dimension ref="A1:H73"/>
  <sheetViews>
    <sheetView view="pageBreakPreview" topLeftCell="A10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472370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11011977</v>
      </c>
      <c r="E13" s="230" t="s">
        <v>319</v>
      </c>
      <c r="F13" s="741" t="s">
        <v>392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472370</v>
      </c>
      <c r="E14" s="230" t="s">
        <v>320</v>
      </c>
      <c r="F14" s="741" t="s">
        <v>394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393</v>
      </c>
      <c r="G15" s="741"/>
    </row>
    <row r="16" spans="1:7" x14ac:dyDescent="0.25">
      <c r="B16" s="402" t="s">
        <v>1089</v>
      </c>
      <c r="C16" s="230">
        <v>95.48</v>
      </c>
    </row>
    <row r="17" spans="2:8" x14ac:dyDescent="0.25">
      <c r="B17" s="402" t="s">
        <v>1090</v>
      </c>
      <c r="C17" s="230">
        <v>10.039999999999999</v>
      </c>
    </row>
    <row r="18" spans="2:8" x14ac:dyDescent="0.25">
      <c r="B18" s="402" t="s">
        <v>1091</v>
      </c>
      <c r="C18" s="230">
        <f>IFERROR(ROUND(C16*C17,0),0)</f>
        <v>959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959</v>
      </c>
      <c r="G27" s="416">
        <v>0.9</v>
      </c>
      <c r="H27" s="50">
        <f>ROUND(E27*F27*G27,0)</f>
        <v>203802940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0.9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0.9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0.9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203802940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203802940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>
    <tabColor rgb="FFFFFF00"/>
  </sheetPr>
  <dimension ref="A1:H73"/>
  <sheetViews>
    <sheetView view="pageBreakPreview" topLeftCell="A10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173502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11006546</v>
      </c>
      <c r="E13" s="230" t="s">
        <v>319</v>
      </c>
      <c r="F13" s="741" t="s">
        <v>392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173502</v>
      </c>
      <c r="E14" s="230" t="s">
        <v>320</v>
      </c>
      <c r="F14" s="741" t="s">
        <v>394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394</v>
      </c>
      <c r="G15" s="741"/>
    </row>
    <row r="16" spans="1:7" x14ac:dyDescent="0.25">
      <c r="B16" s="402" t="s">
        <v>1089</v>
      </c>
      <c r="C16" s="230">
        <v>13.62</v>
      </c>
    </row>
    <row r="17" spans="2:8" x14ac:dyDescent="0.25">
      <c r="B17" s="402" t="s">
        <v>1090</v>
      </c>
      <c r="C17" s="230">
        <v>10.37</v>
      </c>
    </row>
    <row r="18" spans="2:8" x14ac:dyDescent="0.25">
      <c r="B18" s="402" t="s">
        <v>1091</v>
      </c>
      <c r="C18" s="230">
        <f>IFERROR(ROUND(C16*C17,0),0)</f>
        <v>141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141</v>
      </c>
      <c r="G27" s="416">
        <v>0.9</v>
      </c>
      <c r="H27" s="50">
        <f>ROUND(E27*F27*G27,0)</f>
        <v>29964770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0.9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0.9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0.9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29964770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29964770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rgb="FFFFFF00"/>
  </sheetPr>
  <dimension ref="A1:H73"/>
  <sheetViews>
    <sheetView view="pageBreakPreview" topLeftCell="A13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472371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11011978</v>
      </c>
      <c r="E13" s="230" t="s">
        <v>319</v>
      </c>
      <c r="F13" s="741" t="s">
        <v>392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472371</v>
      </c>
      <c r="E14" s="230" t="s">
        <v>320</v>
      </c>
      <c r="F14" s="741" t="s">
        <v>395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394</v>
      </c>
      <c r="G15" s="741"/>
    </row>
    <row r="16" spans="1:7" x14ac:dyDescent="0.25">
      <c r="B16" s="402" t="s">
        <v>1089</v>
      </c>
      <c r="C16" s="230">
        <v>67.739999999999995</v>
      </c>
    </row>
    <row r="17" spans="2:8" x14ac:dyDescent="0.25">
      <c r="B17" s="402" t="s">
        <v>1090</v>
      </c>
      <c r="C17" s="230">
        <v>9.8800000000000008</v>
      </c>
    </row>
    <row r="18" spans="2:8" x14ac:dyDescent="0.25">
      <c r="B18" s="402" t="s">
        <v>1091</v>
      </c>
      <c r="C18" s="230">
        <f>IFERROR(ROUND(C16*C17,0),0)</f>
        <v>669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669</v>
      </c>
      <c r="G27" s="416">
        <v>0.9</v>
      </c>
      <c r="H27" s="50">
        <f>ROUND(E27*F27*G27,0)</f>
        <v>142173271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0.9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0.9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0.9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142173271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142173271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rgb="FFFFFF00"/>
  </sheetPr>
  <dimension ref="A1:H73"/>
  <sheetViews>
    <sheetView view="pageBreakPreview" topLeftCell="A7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173501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11006617</v>
      </c>
      <c r="E13" s="230" t="s">
        <v>319</v>
      </c>
      <c r="F13" s="741" t="s">
        <v>392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173501</v>
      </c>
      <c r="E14" s="230" t="s">
        <v>320</v>
      </c>
      <c r="F14" s="741" t="s">
        <v>396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395</v>
      </c>
      <c r="G15" s="741"/>
    </row>
    <row r="16" spans="1:7" x14ac:dyDescent="0.25">
      <c r="B16" s="402" t="s">
        <v>1089</v>
      </c>
      <c r="C16" s="230">
        <v>43.84</v>
      </c>
    </row>
    <row r="17" spans="2:8" x14ac:dyDescent="0.25">
      <c r="B17" s="402" t="s">
        <v>1090</v>
      </c>
      <c r="C17" s="230">
        <v>10.79</v>
      </c>
    </row>
    <row r="18" spans="2:8" x14ac:dyDescent="0.25">
      <c r="B18" s="402" t="s">
        <v>1091</v>
      </c>
      <c r="C18" s="230">
        <f>IFERROR(ROUND(C16*C17,0),0)</f>
        <v>473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473</v>
      </c>
      <c r="G27" s="416">
        <v>0.9</v>
      </c>
      <c r="H27" s="50">
        <f>ROUND(E27*F27*G27,0)</f>
        <v>100520115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0.9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0.9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0.9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100520115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100520115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173807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11004156</v>
      </c>
      <c r="E13" s="230" t="s">
        <v>319</v>
      </c>
      <c r="F13" s="741" t="s">
        <v>397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173807</v>
      </c>
      <c r="E14" s="230" t="s">
        <v>320</v>
      </c>
      <c r="F14" s="741" t="s">
        <v>398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399</v>
      </c>
      <c r="G15" s="741"/>
    </row>
    <row r="16" spans="1:7" x14ac:dyDescent="0.25">
      <c r="B16" s="402" t="s">
        <v>1089</v>
      </c>
      <c r="C16" s="230">
        <v>25.4</v>
      </c>
    </row>
    <row r="17" spans="2:8" x14ac:dyDescent="0.25">
      <c r="B17" s="402" t="s">
        <v>1090</v>
      </c>
      <c r="C17" s="230">
        <v>7.9</v>
      </c>
    </row>
    <row r="18" spans="2:8" x14ac:dyDescent="0.25">
      <c r="B18" s="402" t="s">
        <v>1091</v>
      </c>
      <c r="C18" s="230">
        <f>IFERROR(ROUND(C16*C17,0),0)</f>
        <v>201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201</v>
      </c>
      <c r="G35" s="411">
        <v>1</v>
      </c>
      <c r="H35" s="410">
        <f>ROUND(E35*F35*G35,0)</f>
        <v>53125506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53125506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50.8</v>
      </c>
      <c r="G70" s="411">
        <f>G67</f>
        <v>1</v>
      </c>
      <c r="H70" s="410">
        <f t="shared" si="5"/>
        <v>3130804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3130804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56256310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91020581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11013439</v>
      </c>
      <c r="E13" s="230" t="s">
        <v>319</v>
      </c>
      <c r="F13" s="741" t="s">
        <v>397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91020581</v>
      </c>
      <c r="E14" s="230" t="s">
        <v>320</v>
      </c>
      <c r="F14" s="741" t="s">
        <v>399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399</v>
      </c>
      <c r="G15" s="741"/>
    </row>
    <row r="16" spans="1:7" x14ac:dyDescent="0.25">
      <c r="B16" s="402" t="s">
        <v>1089</v>
      </c>
      <c r="C16" s="230">
        <v>10.6</v>
      </c>
    </row>
    <row r="17" spans="2:8" x14ac:dyDescent="0.25">
      <c r="B17" s="402" t="s">
        <v>1090</v>
      </c>
      <c r="C17" s="230">
        <v>8.16</v>
      </c>
    </row>
    <row r="18" spans="2:8" x14ac:dyDescent="0.25">
      <c r="B18" s="402" t="s">
        <v>1091</v>
      </c>
      <c r="C18" s="230">
        <f>IFERROR(ROUND(C16*C17,0),0)</f>
        <v>86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86</v>
      </c>
      <c r="G35" s="411">
        <v>1</v>
      </c>
      <c r="H35" s="410">
        <f>ROUND(E35*F35*G35,0)</f>
        <v>22730316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22730316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21.2</v>
      </c>
      <c r="G70" s="411">
        <f>G67</f>
        <v>1</v>
      </c>
      <c r="H70" s="410">
        <f t="shared" si="5"/>
        <v>1306556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1306556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24036872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173808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11004110</v>
      </c>
      <c r="E13" s="230" t="s">
        <v>319</v>
      </c>
      <c r="F13" s="741" t="s">
        <v>397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173808</v>
      </c>
      <c r="E14" s="230" t="s">
        <v>320</v>
      </c>
      <c r="F14" s="741" t="s">
        <v>399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400</v>
      </c>
      <c r="G15" s="741"/>
    </row>
    <row r="16" spans="1:7" x14ac:dyDescent="0.25">
      <c r="B16" s="402" t="s">
        <v>1089</v>
      </c>
      <c r="C16" s="230">
        <v>17.760000000000002</v>
      </c>
    </row>
    <row r="17" spans="2:8" x14ac:dyDescent="0.25">
      <c r="B17" s="402" t="s">
        <v>1090</v>
      </c>
      <c r="C17" s="230">
        <v>7.66</v>
      </c>
    </row>
    <row r="18" spans="2:8" x14ac:dyDescent="0.25">
      <c r="B18" s="402" t="s">
        <v>1091</v>
      </c>
      <c r="C18" s="230">
        <f>IFERROR(ROUND(C16*C17,0),0)</f>
        <v>136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136</v>
      </c>
      <c r="G35" s="411">
        <v>1</v>
      </c>
      <c r="H35" s="410">
        <f>ROUND(E35*F35*G35,0)</f>
        <v>35945616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35945616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35.520000000000003</v>
      </c>
      <c r="G70" s="411">
        <f>G67</f>
        <v>1</v>
      </c>
      <c r="H70" s="410">
        <f t="shared" si="5"/>
        <v>2189098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2189098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38134714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9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173809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11004080</v>
      </c>
      <c r="E13" s="230" t="s">
        <v>319</v>
      </c>
      <c r="F13" s="741" t="s">
        <v>397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173809</v>
      </c>
      <c r="E14" s="230" t="s">
        <v>320</v>
      </c>
      <c r="F14" s="741" t="s">
        <v>400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401</v>
      </c>
      <c r="G15" s="741"/>
    </row>
    <row r="16" spans="1:7" x14ac:dyDescent="0.25">
      <c r="B16" s="402" t="s">
        <v>1089</v>
      </c>
      <c r="C16" s="230">
        <v>37.08</v>
      </c>
    </row>
    <row r="17" spans="2:8" x14ac:dyDescent="0.25">
      <c r="B17" s="402" t="s">
        <v>1090</v>
      </c>
      <c r="C17" s="230">
        <v>7.56</v>
      </c>
    </row>
    <row r="18" spans="2:8" x14ac:dyDescent="0.25">
      <c r="B18" s="402" t="s">
        <v>1091</v>
      </c>
      <c r="C18" s="230">
        <f>IFERROR(ROUND(C16*C17,0),0)</f>
        <v>280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280</v>
      </c>
      <c r="G35" s="411">
        <v>1</v>
      </c>
      <c r="H35" s="410">
        <f>ROUND(E35*F35*G35,0)</f>
        <v>74005680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74005680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74.16</v>
      </c>
      <c r="G70" s="411">
        <f>G67</f>
        <v>1</v>
      </c>
      <c r="H70" s="410">
        <f t="shared" si="5"/>
        <v>4570481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4570481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78576161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0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177523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11001671</v>
      </c>
      <c r="E13" s="230" t="s">
        <v>319</v>
      </c>
      <c r="F13" s="741" t="s">
        <v>402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177523</v>
      </c>
      <c r="E14" s="230" t="s">
        <v>320</v>
      </c>
      <c r="F14" s="741" t="s">
        <v>403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404</v>
      </c>
      <c r="G15" s="741"/>
    </row>
    <row r="16" spans="1:7" x14ac:dyDescent="0.25">
      <c r="B16" s="402" t="s">
        <v>1089</v>
      </c>
      <c r="C16" s="230">
        <v>202</v>
      </c>
    </row>
    <row r="17" spans="2:8" x14ac:dyDescent="0.25">
      <c r="B17" s="402" t="s">
        <v>1090</v>
      </c>
      <c r="C17" s="230">
        <v>7.39</v>
      </c>
    </row>
    <row r="18" spans="2:8" x14ac:dyDescent="0.25">
      <c r="B18" s="402" t="s">
        <v>1091</v>
      </c>
      <c r="C18" s="230">
        <f>IFERROR(ROUND(C16*C17,0),0)</f>
        <v>1493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1493</v>
      </c>
      <c r="G35" s="411">
        <v>1</v>
      </c>
      <c r="H35" s="410">
        <f>ROUND(E35*F35*G35,0)</f>
        <v>394608858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394608858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404</v>
      </c>
      <c r="G70" s="411">
        <f>G67</f>
        <v>1</v>
      </c>
      <c r="H70" s="410">
        <f t="shared" si="5"/>
        <v>24898520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24898520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419507378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175849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11002161</v>
      </c>
      <c r="E13" s="230" t="s">
        <v>319</v>
      </c>
      <c r="F13" s="741" t="s">
        <v>405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175849</v>
      </c>
      <c r="E14" s="230" t="s">
        <v>320</v>
      </c>
      <c r="F14" s="741" t="s">
        <v>406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407</v>
      </c>
      <c r="G15" s="741"/>
    </row>
    <row r="16" spans="1:7" x14ac:dyDescent="0.25">
      <c r="B16" s="402" t="s">
        <v>1089</v>
      </c>
      <c r="C16" s="230">
        <v>119.68</v>
      </c>
    </row>
    <row r="17" spans="2:8" x14ac:dyDescent="0.25">
      <c r="B17" s="402" t="s">
        <v>1090</v>
      </c>
      <c r="C17" s="230">
        <v>7.89</v>
      </c>
    </row>
    <row r="18" spans="2:8" x14ac:dyDescent="0.25">
      <c r="B18" s="402" t="s">
        <v>1091</v>
      </c>
      <c r="C18" s="230">
        <f>IFERROR(ROUND(C16*C17,0),0)</f>
        <v>944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944</v>
      </c>
      <c r="G35" s="411">
        <v>1</v>
      </c>
      <c r="H35" s="410">
        <f>ROUND(E35*F35*G35,0)</f>
        <v>249504864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249504864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239.36</v>
      </c>
      <c r="G70" s="411">
        <f>G67</f>
        <v>1</v>
      </c>
      <c r="H70" s="410">
        <f t="shared" si="5"/>
        <v>14751757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14751757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264256621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2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176248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11003955</v>
      </c>
      <c r="E13" s="230" t="s">
        <v>319</v>
      </c>
      <c r="F13" s="741" t="s">
        <v>408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176248</v>
      </c>
      <c r="E14" s="230" t="s">
        <v>320</v>
      </c>
      <c r="F14" s="741" t="s">
        <v>409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410</v>
      </c>
      <c r="G15" s="741"/>
    </row>
    <row r="16" spans="1:7" x14ac:dyDescent="0.25">
      <c r="B16" s="402" t="s">
        <v>1089</v>
      </c>
      <c r="C16" s="230">
        <v>129.93</v>
      </c>
    </row>
    <row r="17" spans="2:8" x14ac:dyDescent="0.25">
      <c r="B17" s="402" t="s">
        <v>1090</v>
      </c>
      <c r="C17" s="230">
        <v>5.13</v>
      </c>
    </row>
    <row r="18" spans="2:8" x14ac:dyDescent="0.25">
      <c r="B18" s="402" t="s">
        <v>1091</v>
      </c>
      <c r="C18" s="230">
        <f>IFERROR(ROUND(C16*C17,0),0)</f>
        <v>667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359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667</v>
      </c>
      <c r="G38" s="411">
        <f>G35</f>
        <v>1</v>
      </c>
      <c r="H38" s="410">
        <f t="shared" si="1"/>
        <v>44883097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44883097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44883097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3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176420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11001937</v>
      </c>
      <c r="E13" s="230" t="s">
        <v>319</v>
      </c>
      <c r="F13" s="741" t="s">
        <v>411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176420</v>
      </c>
      <c r="E14" s="230" t="s">
        <v>320</v>
      </c>
      <c r="F14" s="741" t="s">
        <v>412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353</v>
      </c>
      <c r="G15" s="741"/>
    </row>
    <row r="16" spans="1:7" x14ac:dyDescent="0.25">
      <c r="B16" s="402" t="s">
        <v>1089</v>
      </c>
      <c r="C16" s="230">
        <v>78.27</v>
      </c>
    </row>
    <row r="17" spans="2:8" x14ac:dyDescent="0.25">
      <c r="B17" s="402" t="s">
        <v>1090</v>
      </c>
      <c r="C17" s="230">
        <v>8.7100000000000009</v>
      </c>
    </row>
    <row r="18" spans="2:8" x14ac:dyDescent="0.25">
      <c r="B18" s="402" t="s">
        <v>1091</v>
      </c>
      <c r="C18" s="230">
        <f>IFERROR(ROUND(C16*C17,0),0)</f>
        <v>682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682</v>
      </c>
      <c r="G35" s="411">
        <v>1</v>
      </c>
      <c r="H35" s="410">
        <f>ROUND(E35*F35*G35,0)</f>
        <v>180256692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180256692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156.54</v>
      </c>
      <c r="G70" s="411">
        <f>G67</f>
        <v>1</v>
      </c>
      <c r="H70" s="410">
        <f t="shared" si="5"/>
        <v>9647560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9647560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189904252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4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176418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11002134</v>
      </c>
      <c r="E13" s="230" t="s">
        <v>319</v>
      </c>
      <c r="F13" s="741" t="s">
        <v>411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176418</v>
      </c>
      <c r="E14" s="230" t="s">
        <v>320</v>
      </c>
      <c r="F14" s="741" t="s">
        <v>413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412</v>
      </c>
      <c r="G15" s="741"/>
    </row>
    <row r="16" spans="1:7" x14ac:dyDescent="0.25">
      <c r="B16" s="402" t="s">
        <v>1089</v>
      </c>
      <c r="C16" s="230">
        <v>107.7</v>
      </c>
    </row>
    <row r="17" spans="2:8" x14ac:dyDescent="0.25">
      <c r="B17" s="402" t="s">
        <v>1090</v>
      </c>
      <c r="C17" s="230">
        <v>9.7100000000000009</v>
      </c>
    </row>
    <row r="18" spans="2:8" x14ac:dyDescent="0.25">
      <c r="B18" s="402" t="s">
        <v>1091</v>
      </c>
      <c r="C18" s="230">
        <f>IFERROR(ROUND(C16*C17,0),0)</f>
        <v>1046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1046</v>
      </c>
      <c r="G35" s="411">
        <v>1</v>
      </c>
      <c r="H35" s="410">
        <f>ROUND(E35*F35*G35,0)</f>
        <v>276464076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276464076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215.4</v>
      </c>
      <c r="G70" s="411">
        <f>G67</f>
        <v>1</v>
      </c>
      <c r="H70" s="410">
        <f t="shared" si="5"/>
        <v>13275102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13275102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289739178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5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175670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11002492</v>
      </c>
      <c r="E13" s="230" t="s">
        <v>319</v>
      </c>
      <c r="F13" s="741" t="s">
        <v>414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175670</v>
      </c>
      <c r="E14" s="230" t="s">
        <v>320</v>
      </c>
      <c r="F14" s="741" t="s">
        <v>415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416</v>
      </c>
      <c r="G15" s="741"/>
    </row>
    <row r="16" spans="1:7" x14ac:dyDescent="0.25">
      <c r="B16" s="402" t="s">
        <v>1089</v>
      </c>
      <c r="C16" s="230">
        <v>19.149999999999999</v>
      </c>
    </row>
    <row r="17" spans="2:8" x14ac:dyDescent="0.25">
      <c r="B17" s="402" t="s">
        <v>1090</v>
      </c>
      <c r="C17" s="230">
        <v>8.15</v>
      </c>
    </row>
    <row r="18" spans="2:8" x14ac:dyDescent="0.25">
      <c r="B18" s="402" t="s">
        <v>1091</v>
      </c>
      <c r="C18" s="230">
        <f>IFERROR(ROUND(C16*C17,0),0)</f>
        <v>156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156</v>
      </c>
      <c r="G35" s="411">
        <v>1</v>
      </c>
      <c r="H35" s="410">
        <f>ROUND(E35*F35*G35,0)</f>
        <v>41231736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41231736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38.299999999999997</v>
      </c>
      <c r="G70" s="411">
        <f>G67</f>
        <v>1</v>
      </c>
      <c r="H70" s="410">
        <f t="shared" si="5"/>
        <v>2360429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2360429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43592165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6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91100290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11002492</v>
      </c>
      <c r="E13" s="230" t="s">
        <v>319</v>
      </c>
      <c r="F13" s="741" t="s">
        <v>414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91100290</v>
      </c>
      <c r="E14" s="230" t="s">
        <v>320</v>
      </c>
      <c r="F14" s="741" t="s">
        <v>415</v>
      </c>
      <c r="G14" s="741"/>
    </row>
    <row r="15" spans="1:7" x14ac:dyDescent="0.25">
      <c r="B15" s="402" t="s">
        <v>1088</v>
      </c>
      <c r="C15" s="230" t="s">
        <v>389</v>
      </c>
      <c r="E15" s="230" t="s">
        <v>321</v>
      </c>
      <c r="F15" s="741" t="s">
        <v>416</v>
      </c>
      <c r="G15" s="741"/>
    </row>
    <row r="16" spans="1:7" x14ac:dyDescent="0.25">
      <c r="B16" s="402" t="s">
        <v>1089</v>
      </c>
      <c r="C16" s="230">
        <v>19.149999999999999</v>
      </c>
    </row>
    <row r="17" spans="2:8" x14ac:dyDescent="0.25">
      <c r="B17" s="402" t="s">
        <v>1090</v>
      </c>
      <c r="C17" s="230">
        <v>5</v>
      </c>
    </row>
    <row r="18" spans="2:8" x14ac:dyDescent="0.25">
      <c r="B18" s="402" t="s">
        <v>1091</v>
      </c>
      <c r="C18" s="230">
        <f>IFERROR(ROUND(C16*C17,0),0)</f>
        <v>96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96</v>
      </c>
      <c r="G35" s="411">
        <v>1</v>
      </c>
      <c r="H35" s="410">
        <f>ROUND(E35*F35*G35,0)</f>
        <v>25373376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25373376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38.299999999999997</v>
      </c>
      <c r="G70" s="411">
        <f>G67</f>
        <v>1</v>
      </c>
      <c r="H70" s="410">
        <f t="shared" si="5"/>
        <v>2360429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2360429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27733805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7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175669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11002558</v>
      </c>
      <c r="E13" s="230" t="s">
        <v>319</v>
      </c>
      <c r="F13" s="741" t="s">
        <v>414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175669</v>
      </c>
      <c r="E14" s="230" t="s">
        <v>320</v>
      </c>
      <c r="F14" s="741" t="s">
        <v>417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415</v>
      </c>
      <c r="G15" s="741"/>
    </row>
    <row r="16" spans="1:7" x14ac:dyDescent="0.25">
      <c r="B16" s="402" t="s">
        <v>1089</v>
      </c>
      <c r="C16" s="230">
        <v>30.22</v>
      </c>
    </row>
    <row r="17" spans="2:8" x14ac:dyDescent="0.25">
      <c r="B17" s="402" t="s">
        <v>1090</v>
      </c>
      <c r="C17" s="230">
        <v>8.7899999999999991</v>
      </c>
    </row>
    <row r="18" spans="2:8" x14ac:dyDescent="0.25">
      <c r="B18" s="402" t="s">
        <v>1091</v>
      </c>
      <c r="C18" s="230">
        <f>IFERROR(ROUND(C16*C17,0),0)</f>
        <v>266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266</v>
      </c>
      <c r="G35" s="411">
        <v>1</v>
      </c>
      <c r="H35" s="410">
        <f>ROUND(E35*F35*G35,0)</f>
        <v>70305396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70305396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60.44</v>
      </c>
      <c r="G70" s="411">
        <f>G67</f>
        <v>1</v>
      </c>
      <c r="H70" s="410">
        <f t="shared" si="5"/>
        <v>3724917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3724917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74030313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8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472420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11012036</v>
      </c>
      <c r="E13" s="230" t="s">
        <v>319</v>
      </c>
      <c r="F13" s="741" t="s">
        <v>414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472420</v>
      </c>
      <c r="E14" s="230" t="s">
        <v>320</v>
      </c>
      <c r="F14" s="741" t="s">
        <v>418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417</v>
      </c>
      <c r="G15" s="741"/>
    </row>
    <row r="16" spans="1:7" x14ac:dyDescent="0.25">
      <c r="B16" s="402" t="s">
        <v>1089</v>
      </c>
      <c r="C16" s="230">
        <v>75.42</v>
      </c>
    </row>
    <row r="17" spans="2:8" x14ac:dyDescent="0.25">
      <c r="B17" s="402" t="s">
        <v>1090</v>
      </c>
      <c r="C17" s="230">
        <v>8.83</v>
      </c>
    </row>
    <row r="18" spans="2:8" x14ac:dyDescent="0.25">
      <c r="B18" s="402" t="s">
        <v>1091</v>
      </c>
      <c r="C18" s="230">
        <f>IFERROR(ROUND(C16*C17,0),0)</f>
        <v>666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666</v>
      </c>
      <c r="G35" s="411">
        <v>1</v>
      </c>
      <c r="H35" s="410">
        <f>ROUND(E35*F35*G35,0)</f>
        <v>176027796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176027796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150.84</v>
      </c>
      <c r="G70" s="411">
        <f>G67</f>
        <v>1</v>
      </c>
      <c r="H70" s="410">
        <f t="shared" si="5"/>
        <v>9296269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9296269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185324065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9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173989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11002792</v>
      </c>
      <c r="E13" s="230" t="s">
        <v>319</v>
      </c>
      <c r="F13" s="741" t="s">
        <v>414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173989</v>
      </c>
      <c r="E14" s="230" t="s">
        <v>320</v>
      </c>
      <c r="F14" s="741" t="s">
        <v>418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418</v>
      </c>
      <c r="G15" s="741"/>
    </row>
    <row r="16" spans="1:7" x14ac:dyDescent="0.25">
      <c r="B16" s="402" t="s">
        <v>1089</v>
      </c>
      <c r="C16" s="230">
        <v>21.16</v>
      </c>
    </row>
    <row r="17" spans="2:8" x14ac:dyDescent="0.25">
      <c r="B17" s="402" t="s">
        <v>1090</v>
      </c>
      <c r="C17" s="230">
        <v>8.75</v>
      </c>
    </row>
    <row r="18" spans="2:8" x14ac:dyDescent="0.25">
      <c r="B18" s="402" t="s">
        <v>1091</v>
      </c>
      <c r="C18" s="230">
        <f>IFERROR(ROUND(C16*C17,0),0)</f>
        <v>185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185</v>
      </c>
      <c r="G35" s="411">
        <v>1</v>
      </c>
      <c r="H35" s="410">
        <f>ROUND(E35*F35*G35,0)</f>
        <v>48896610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48896610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42.32</v>
      </c>
      <c r="G70" s="411">
        <f>G67</f>
        <v>1</v>
      </c>
      <c r="H70" s="410">
        <f t="shared" si="5"/>
        <v>2608182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2608182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51504792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0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173988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11002971</v>
      </c>
      <c r="E13" s="230" t="s">
        <v>319</v>
      </c>
      <c r="F13" s="741" t="s">
        <v>414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173988</v>
      </c>
      <c r="E14" s="230" t="s">
        <v>320</v>
      </c>
      <c r="F14" s="741" t="s">
        <v>386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418</v>
      </c>
      <c r="G15" s="741"/>
    </row>
    <row r="16" spans="1:7" x14ac:dyDescent="0.25">
      <c r="B16" s="402" t="s">
        <v>1089</v>
      </c>
      <c r="C16" s="230">
        <v>56.86</v>
      </c>
    </row>
    <row r="17" spans="2:8" x14ac:dyDescent="0.25">
      <c r="B17" s="402" t="s">
        <v>1090</v>
      </c>
      <c r="C17" s="230">
        <v>8.7899999999999991</v>
      </c>
    </row>
    <row r="18" spans="2:8" x14ac:dyDescent="0.25">
      <c r="B18" s="402" t="s">
        <v>1091</v>
      </c>
      <c r="C18" s="230">
        <f>IFERROR(ROUND(C16*C17,0),0)</f>
        <v>500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500</v>
      </c>
      <c r="G35" s="411">
        <v>1</v>
      </c>
      <c r="H35" s="410">
        <f>ROUND(E35*F35*G35,0)</f>
        <v>132153000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132153000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113.72</v>
      </c>
      <c r="G70" s="411">
        <f>G67</f>
        <v>1</v>
      </c>
      <c r="H70" s="410">
        <f t="shared" si="5"/>
        <v>7008564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7008564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139161564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91019827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11013260</v>
      </c>
      <c r="E13" s="230" t="s">
        <v>319</v>
      </c>
      <c r="F13" s="741" t="s">
        <v>419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91019827</v>
      </c>
      <c r="E14" s="230" t="s">
        <v>320</v>
      </c>
      <c r="F14" s="741" t="s">
        <v>420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421</v>
      </c>
      <c r="G15" s="741"/>
    </row>
    <row r="16" spans="1:7" x14ac:dyDescent="0.25">
      <c r="B16" s="402" t="s">
        <v>1089</v>
      </c>
      <c r="C16" s="230">
        <v>160.41</v>
      </c>
    </row>
    <row r="17" spans="2:8" x14ac:dyDescent="0.25">
      <c r="B17" s="402" t="s">
        <v>1090</v>
      </c>
      <c r="C17" s="230">
        <v>7.52</v>
      </c>
    </row>
    <row r="18" spans="2:8" x14ac:dyDescent="0.25">
      <c r="B18" s="402" t="s">
        <v>1091</v>
      </c>
      <c r="C18" s="230">
        <f>IFERROR(ROUND(C16*C17,0),0)</f>
        <v>1206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1206</v>
      </c>
      <c r="G27" s="416">
        <v>1</v>
      </c>
      <c r="H27" s="50">
        <f>ROUND(E27*F27*G27,0)</f>
        <v>284771574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284771574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284771574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2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91013890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11014399</v>
      </c>
      <c r="E13" s="230" t="s">
        <v>319</v>
      </c>
      <c r="F13" s="741" t="s">
        <v>422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91013890</v>
      </c>
      <c r="E14" s="230" t="s">
        <v>320</v>
      </c>
      <c r="F14" s="741" t="s">
        <v>423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424</v>
      </c>
      <c r="G15" s="741"/>
    </row>
    <row r="16" spans="1:7" x14ac:dyDescent="0.25">
      <c r="B16" s="402" t="s">
        <v>1089</v>
      </c>
      <c r="C16" s="230">
        <v>59.39</v>
      </c>
    </row>
    <row r="17" spans="2:8" x14ac:dyDescent="0.25">
      <c r="B17" s="402" t="s">
        <v>1090</v>
      </c>
      <c r="C17" s="230">
        <v>3.55</v>
      </c>
    </row>
    <row r="18" spans="2:8" x14ac:dyDescent="0.25">
      <c r="B18" s="402" t="s">
        <v>1091</v>
      </c>
      <c r="C18" s="230">
        <f>IFERROR(ROUND(C16*C17,0),0)</f>
        <v>211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211</v>
      </c>
      <c r="G27" s="416">
        <v>1</v>
      </c>
      <c r="H27" s="50">
        <f>ROUND(E27*F27*G27,0)</f>
        <v>49823219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49823219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49823219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3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91013885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11014396</v>
      </c>
      <c r="E13" s="230" t="s">
        <v>319</v>
      </c>
      <c r="F13" s="741" t="s">
        <v>422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91013885</v>
      </c>
      <c r="E14" s="230" t="s">
        <v>320</v>
      </c>
      <c r="F14" s="741" t="s">
        <v>424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425</v>
      </c>
      <c r="G15" s="741"/>
    </row>
    <row r="16" spans="1:7" x14ac:dyDescent="0.25">
      <c r="B16" s="402" t="s">
        <v>1089</v>
      </c>
      <c r="C16" s="230">
        <v>47.41</v>
      </c>
    </row>
    <row r="17" spans="2:8" x14ac:dyDescent="0.25">
      <c r="B17" s="402" t="s">
        <v>1090</v>
      </c>
      <c r="C17" s="230">
        <v>3.15</v>
      </c>
    </row>
    <row r="18" spans="2:8" x14ac:dyDescent="0.25">
      <c r="B18" s="402" t="s">
        <v>1091</v>
      </c>
      <c r="C18" s="230">
        <f>IFERROR(ROUND(C16*C17,0),0)</f>
        <v>149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149</v>
      </c>
      <c r="G27" s="416">
        <v>1</v>
      </c>
      <c r="H27" s="50">
        <f>ROUND(E27*F27*G27,0)</f>
        <v>35183221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35183221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35183221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4"/>
  <dimension ref="A1:H73"/>
  <sheetViews>
    <sheetView view="pageBreakPreview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91013842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11014397</v>
      </c>
      <c r="E13" s="230" t="s">
        <v>319</v>
      </c>
      <c r="F13" s="741" t="s">
        <v>422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91013842</v>
      </c>
      <c r="E14" s="230" t="s">
        <v>320</v>
      </c>
      <c r="F14" s="741" t="s">
        <v>425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426</v>
      </c>
      <c r="G15" s="741"/>
    </row>
    <row r="16" spans="1:7" x14ac:dyDescent="0.25">
      <c r="B16" s="402" t="s">
        <v>1089</v>
      </c>
      <c r="C16" s="230">
        <v>57.81</v>
      </c>
    </row>
    <row r="17" spans="2:8" x14ac:dyDescent="0.25">
      <c r="B17" s="402" t="s">
        <v>1090</v>
      </c>
      <c r="C17" s="230">
        <v>4.8</v>
      </c>
    </row>
    <row r="18" spans="2:8" x14ac:dyDescent="0.25">
      <c r="B18" s="402" t="s">
        <v>1091</v>
      </c>
      <c r="C18" s="230">
        <f>IFERROR(ROUND(C16*C17,0),0)</f>
        <v>277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277</v>
      </c>
      <c r="G27" s="416">
        <v>1</v>
      </c>
      <c r="H27" s="50">
        <f>ROUND(E27*F27*G27,0)</f>
        <v>65407733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65407733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0</v>
      </c>
      <c r="G70" s="411">
        <f>G67</f>
        <v>1</v>
      </c>
      <c r="H70" s="410">
        <f t="shared" si="5"/>
        <v>0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0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65407733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5"/>
  <dimension ref="A1:H73"/>
  <sheetViews>
    <sheetView view="pageBreakPreview" topLeftCell="A7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168477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11011188</v>
      </c>
      <c r="E13" s="230" t="s">
        <v>319</v>
      </c>
      <c r="F13" s="741" t="s">
        <v>427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168477</v>
      </c>
      <c r="E14" s="230" t="s">
        <v>320</v>
      </c>
      <c r="F14" s="741" t="s">
        <v>428</v>
      </c>
      <c r="G14" s="741"/>
    </row>
    <row r="15" spans="1:7" x14ac:dyDescent="0.25">
      <c r="B15" s="402" t="s">
        <v>1088</v>
      </c>
      <c r="C15" s="230" t="s">
        <v>336</v>
      </c>
      <c r="E15" s="230" t="s">
        <v>321</v>
      </c>
      <c r="F15" s="741" t="s">
        <v>429</v>
      </c>
      <c r="G15" s="741"/>
    </row>
    <row r="16" spans="1:7" x14ac:dyDescent="0.25">
      <c r="B16" s="402" t="s">
        <v>1089</v>
      </c>
      <c r="C16" s="230">
        <v>29.47</v>
      </c>
    </row>
    <row r="17" spans="2:8" x14ac:dyDescent="0.25">
      <c r="B17" s="402" t="s">
        <v>1090</v>
      </c>
      <c r="C17" s="230">
        <v>8.98</v>
      </c>
    </row>
    <row r="18" spans="2:8" x14ac:dyDescent="0.25">
      <c r="B18" s="402" t="s">
        <v>1091</v>
      </c>
      <c r="C18" s="230">
        <f>IFERROR(ROUND(C16*C17,0),0)</f>
        <v>265</v>
      </c>
    </row>
    <row r="19" spans="2:8" x14ac:dyDescent="0.25">
      <c r="B19" s="403" t="s">
        <v>1092</v>
      </c>
      <c r="C19" s="230" t="s">
        <v>340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344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265</v>
      </c>
      <c r="G35" s="411">
        <v>1</v>
      </c>
      <c r="H35" s="410">
        <f>ROUND(E35*F35*G35,0)</f>
        <v>70041090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70041090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VíaLocalFlexible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0</v>
      </c>
      <c r="G69" s="411">
        <f>G67</f>
        <v>1</v>
      </c>
      <c r="H69" s="410">
        <f t="shared" si="5"/>
        <v>0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58.94</v>
      </c>
      <c r="G70" s="411">
        <f>G67</f>
        <v>1</v>
      </c>
      <c r="H70" s="410">
        <f t="shared" si="5"/>
        <v>3632472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3632472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73673562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6"/>
  <dimension ref="A1:H73"/>
  <sheetViews>
    <sheetView view="pageBreakPreview" topLeftCell="A4" zoomScale="90" zoomScaleNormal="100" zoomScaleSheetLayoutView="90" workbookViewId="0">
      <selection activeCell="B9" sqref="B9:N13"/>
    </sheetView>
  </sheetViews>
  <sheetFormatPr baseColWidth="10" defaultColWidth="11.42578125" defaultRowHeight="15" x14ac:dyDescent="0.25"/>
  <cols>
    <col min="1" max="1" width="4" customWidth="1"/>
    <col min="2" max="2" width="20.85546875" customWidth="1"/>
    <col min="3" max="3" width="71.28515625" customWidth="1"/>
    <col min="5" max="5" width="16.140625" customWidth="1"/>
    <col min="8" max="8" width="18" bestFit="1" customWidth="1"/>
    <col min="9" max="9" width="5" customWidth="1"/>
  </cols>
  <sheetData>
    <row r="1" spans="1:7" x14ac:dyDescent="0.25">
      <c r="A1" s="29" t="e">
        <f>#REF!</f>
        <v>#REF!</v>
      </c>
      <c r="B1" s="30" t="e">
        <f ca="1">INDEX(#REF!,MATCH($B$7,#REF!,0),MATCH(A1,#REF!,))</f>
        <v>#REF!</v>
      </c>
    </row>
    <row r="2" spans="1:7" x14ac:dyDescent="0.25">
      <c r="A2" s="29" t="e">
        <f>#REF!</f>
        <v>#REF!</v>
      </c>
      <c r="B2" s="30" t="e">
        <f ca="1">INDEX(#REF!,MATCH($B$7,#REF!,0),MATCH(A2,#REF!,))</f>
        <v>#REF!</v>
      </c>
    </row>
    <row r="3" spans="1:7" x14ac:dyDescent="0.25">
      <c r="A3" s="29" t="e">
        <f>#REF!</f>
        <v>#REF!</v>
      </c>
      <c r="B3" s="30" t="e">
        <f ca="1">INDEX(#REF!,MATCH($B$7,#REF!,0),MATCH(A3,#REF!,))</f>
        <v>#REF!</v>
      </c>
    </row>
    <row r="4" spans="1:7" x14ac:dyDescent="0.25">
      <c r="A4" s="29" t="e">
        <f>#REF!</f>
        <v>#REF!</v>
      </c>
      <c r="B4" s="30" t="e">
        <f ca="1">INDEX(#REF!,MATCH($B$7,#REF!,0),MATCH(A4,#REF!,))</f>
        <v>#REF!</v>
      </c>
    </row>
    <row r="5" spans="1:7" x14ac:dyDescent="0.25">
      <c r="A5" s="29" t="e">
        <f>#REF!</f>
        <v>#REF!</v>
      </c>
      <c r="B5" s="30" t="e">
        <f ca="1">INDEX(#REF!,MATCH($B$7,#REF!,0),MATCH(A5,#REF!,))</f>
        <v>#REF!</v>
      </c>
    </row>
    <row r="6" spans="1:7" x14ac:dyDescent="0.25">
      <c r="A6" s="29" t="e">
        <f>#REF!</f>
        <v>#REF!</v>
      </c>
      <c r="B6" s="30" t="e">
        <f ca="1">INDEX(#REF!,MATCH($B$7,#REF!,0),MATCH(A6,#REF!,))</f>
        <v>#REF!</v>
      </c>
    </row>
    <row r="7" spans="1:7" x14ac:dyDescent="0.25">
      <c r="A7" s="29" t="e">
        <f>#REF!</f>
        <v>#REF!</v>
      </c>
      <c r="B7" s="33" t="str">
        <f ca="1">MID(CELL("nombrearchivo",A1),FIND("]",CELL("nombrearchivo",A1),1)+1,LEN(CELL("nombrearchivo",A1))-FIND("]",CELL("nombrearchivo",A1)))</f>
        <v>53781</v>
      </c>
    </row>
    <row r="8" spans="1:7" x14ac:dyDescent="0.25">
      <c r="A8" s="29" t="e">
        <f>#REF!</f>
        <v>#REF!</v>
      </c>
      <c r="B8" s="30" t="e">
        <f ca="1">INDEX(#REF!,MATCH($B$7,#REF!,0),MATCH(A8,#REF!,))</f>
        <v>#REF!</v>
      </c>
    </row>
    <row r="9" spans="1:7" x14ac:dyDescent="0.25">
      <c r="A9" s="29" t="e">
        <f>#REF!</f>
        <v>#REF!</v>
      </c>
      <c r="B9" s="30" t="e">
        <f ca="1">INDEX(#REF!,MATCH($B$7,#REF!,0),MATCH(A9,#REF!,))</f>
        <v>#REF!</v>
      </c>
    </row>
    <row r="13" spans="1:7" x14ac:dyDescent="0.25">
      <c r="B13" s="402" t="s">
        <v>317</v>
      </c>
      <c r="C13" s="230">
        <v>11006116</v>
      </c>
      <c r="E13" s="230" t="s">
        <v>319</v>
      </c>
      <c r="F13" s="741" t="s">
        <v>372</v>
      </c>
      <c r="G13" s="741"/>
    </row>
    <row r="14" spans="1:7" x14ac:dyDescent="0.25">
      <c r="B14" s="402" t="s">
        <v>1087</v>
      </c>
      <c r="C14" s="230" cm="1">
        <f t="array" aca="1" ref="C14" ca="1">IFERROR(VALUE(RIGHT(CELL("nombrearchivo",A12),LEN(CELL("nombrearchivo",A12))-FIND("]",CELL("nombrearchivo",A12),1))),RIGHT(CELL("nombrearchivo",A12),LEN(CELL("nombrearchivo",A12))-FIND("]",CELL("nombrearchivo",A12),1)))</f>
        <v>53781</v>
      </c>
      <c r="E14" s="230" t="s">
        <v>320</v>
      </c>
      <c r="F14" s="741" t="s">
        <v>408</v>
      </c>
      <c r="G14" s="741"/>
    </row>
    <row r="15" spans="1:7" x14ac:dyDescent="0.25">
      <c r="B15" s="402" t="s">
        <v>1088</v>
      </c>
      <c r="C15" s="230" t="s">
        <v>431</v>
      </c>
      <c r="E15" s="230" t="s">
        <v>321</v>
      </c>
      <c r="F15" s="741" t="s">
        <v>430</v>
      </c>
      <c r="G15" s="741"/>
    </row>
    <row r="16" spans="1:7" x14ac:dyDescent="0.25">
      <c r="B16" s="402" t="s">
        <v>1089</v>
      </c>
      <c r="C16" s="230">
        <v>39.840000000000003</v>
      </c>
    </row>
    <row r="17" spans="2:8" x14ac:dyDescent="0.25">
      <c r="B17" s="402" t="s">
        <v>1090</v>
      </c>
      <c r="C17" s="230">
        <v>1.9</v>
      </c>
    </row>
    <row r="18" spans="2:8" x14ac:dyDescent="0.25">
      <c r="B18" s="402" t="s">
        <v>1091</v>
      </c>
      <c r="C18" s="230">
        <f>IFERROR(ROUND(C16*C17,0),0)</f>
        <v>76</v>
      </c>
    </row>
    <row r="19" spans="2:8" x14ac:dyDescent="0.25">
      <c r="B19" s="403" t="s">
        <v>1092</v>
      </c>
      <c r="C19" s="230" t="s">
        <v>432</v>
      </c>
    </row>
    <row r="20" spans="2:8" x14ac:dyDescent="0.25">
      <c r="B20" s="404" t="s">
        <v>1093</v>
      </c>
      <c r="C20" s="230" t="s">
        <v>339</v>
      </c>
    </row>
    <row r="21" spans="2:8" x14ac:dyDescent="0.25">
      <c r="B21" s="403" t="s">
        <v>1094</v>
      </c>
      <c r="C21" s="230" t="s">
        <v>338</v>
      </c>
    </row>
    <row r="22" spans="2:8" x14ac:dyDescent="0.25">
      <c r="B22" s="403" t="s">
        <v>1095</v>
      </c>
      <c r="C22" s="230" t="s">
        <v>337</v>
      </c>
    </row>
    <row r="25" spans="2:8" x14ac:dyDescent="0.25">
      <c r="B25" s="405" t="s">
        <v>1096</v>
      </c>
      <c r="C25" s="406"/>
      <c r="D25" s="407"/>
      <c r="E25" s="407"/>
      <c r="F25" s="407"/>
      <c r="G25" s="407"/>
      <c r="H25" s="408" t="s">
        <v>1097</v>
      </c>
    </row>
    <row r="26" spans="2:8" x14ac:dyDescent="0.25">
      <c r="B26" s="230" t="s">
        <v>1098</v>
      </c>
      <c r="C26" s="230" t="s">
        <v>1099</v>
      </c>
      <c r="D26" s="230" t="s">
        <v>712</v>
      </c>
      <c r="E26" s="230" t="s">
        <v>657</v>
      </c>
      <c r="F26" s="230" t="s">
        <v>672</v>
      </c>
      <c r="G26" s="230" t="s">
        <v>1100</v>
      </c>
      <c r="H26" s="230" t="s">
        <v>1101</v>
      </c>
    </row>
    <row r="27" spans="2:8" ht="45" x14ac:dyDescent="0.25">
      <c r="B27" s="401">
        <v>4509</v>
      </c>
      <c r="C27" s="409" t="s">
        <v>1102</v>
      </c>
      <c r="D27" s="230" t="s">
        <v>53</v>
      </c>
      <c r="E27" s="410">
        <v>236129</v>
      </c>
      <c r="F27" s="230">
        <v>0</v>
      </c>
      <c r="G27" s="416">
        <v>1</v>
      </c>
      <c r="H27" s="50">
        <f>ROUND(E27*F27*G27,0)</f>
        <v>0</v>
      </c>
    </row>
    <row r="28" spans="2:8" ht="30" x14ac:dyDescent="0.25">
      <c r="B28" s="401">
        <v>8689</v>
      </c>
      <c r="C28" s="409" t="s">
        <v>1103</v>
      </c>
      <c r="D28" s="230" t="s">
        <v>53</v>
      </c>
      <c r="E28" s="410">
        <v>272858</v>
      </c>
      <c r="F28" s="230">
        <v>0</v>
      </c>
      <c r="G28" s="416">
        <f>G27</f>
        <v>1</v>
      </c>
      <c r="H28" s="50">
        <f t="shared" ref="H28:H30" si="0">ROUND(E28*F28*G28,0)</f>
        <v>0</v>
      </c>
    </row>
    <row r="29" spans="2:8" ht="30" x14ac:dyDescent="0.25">
      <c r="B29" s="401">
        <v>8683</v>
      </c>
      <c r="C29" s="409" t="s">
        <v>1104</v>
      </c>
      <c r="D29" s="230" t="s">
        <v>53</v>
      </c>
      <c r="E29" s="410">
        <v>9385</v>
      </c>
      <c r="F29" s="230">
        <v>0</v>
      </c>
      <c r="G29" s="416">
        <f>G27</f>
        <v>1</v>
      </c>
      <c r="H29" s="50">
        <f t="shared" si="0"/>
        <v>0</v>
      </c>
    </row>
    <row r="30" spans="2:8" ht="45" x14ac:dyDescent="0.25">
      <c r="B30" s="401">
        <v>8685</v>
      </c>
      <c r="C30" s="409" t="s">
        <v>1105</v>
      </c>
      <c r="D30" s="230" t="s">
        <v>53</v>
      </c>
      <c r="E30" s="410">
        <v>149665</v>
      </c>
      <c r="F30" s="230">
        <v>0</v>
      </c>
      <c r="G30" s="416">
        <f>G27</f>
        <v>1</v>
      </c>
      <c r="H30" s="50">
        <f t="shared" si="0"/>
        <v>0</v>
      </c>
    </row>
    <row r="31" spans="2:8" x14ac:dyDescent="0.25">
      <c r="B31" s="738" t="s">
        <v>1101</v>
      </c>
      <c r="C31" s="738"/>
      <c r="D31" s="738"/>
      <c r="E31" s="738"/>
      <c r="F31" s="738"/>
      <c r="G31" s="738"/>
      <c r="H31" s="412">
        <f>SUM(H27:H30)</f>
        <v>0</v>
      </c>
    </row>
    <row r="33" spans="2:8" x14ac:dyDescent="0.25">
      <c r="B33" s="413" t="s">
        <v>1106</v>
      </c>
      <c r="C33" s="414"/>
      <c r="D33" s="414"/>
      <c r="E33" s="414"/>
      <c r="F33" s="414"/>
      <c r="G33" s="414"/>
      <c r="H33" s="408" t="s">
        <v>1107</v>
      </c>
    </row>
    <row r="34" spans="2:8" x14ac:dyDescent="0.25">
      <c r="B34" s="230" t="s">
        <v>1098</v>
      </c>
      <c r="C34" s="230" t="s">
        <v>1099</v>
      </c>
      <c r="D34" s="230" t="s">
        <v>712</v>
      </c>
      <c r="E34" s="230" t="s">
        <v>657</v>
      </c>
      <c r="F34" s="230" t="s">
        <v>672</v>
      </c>
      <c r="G34" s="230" t="s">
        <v>1100</v>
      </c>
      <c r="H34" s="230" t="s">
        <v>1101</v>
      </c>
    </row>
    <row r="35" spans="2:8" ht="30" x14ac:dyDescent="0.25">
      <c r="B35" s="230">
        <v>8686</v>
      </c>
      <c r="C35" s="409" t="s">
        <v>1108</v>
      </c>
      <c r="D35" s="230" t="s">
        <v>53</v>
      </c>
      <c r="E35" s="410">
        <v>264306</v>
      </c>
      <c r="F35" s="230">
        <v>0</v>
      </c>
      <c r="G35" s="411">
        <v>1</v>
      </c>
      <c r="H35" s="410">
        <f>ROUND(E35*F35*G35,0)</f>
        <v>0</v>
      </c>
    </row>
    <row r="36" spans="2:8" ht="30" x14ac:dyDescent="0.25">
      <c r="B36" s="230">
        <v>8688</v>
      </c>
      <c r="C36" s="409" t="s">
        <v>1109</v>
      </c>
      <c r="D36" s="230" t="s">
        <v>53</v>
      </c>
      <c r="E36" s="410">
        <v>342838</v>
      </c>
      <c r="F36" s="230">
        <v>0</v>
      </c>
      <c r="G36" s="411">
        <f>G35</f>
        <v>1</v>
      </c>
      <c r="H36" s="410">
        <f t="shared" ref="H36:H38" si="1">ROUND(E36*F36*G36,0)</f>
        <v>0</v>
      </c>
    </row>
    <row r="37" spans="2:8" ht="30" x14ac:dyDescent="0.25">
      <c r="B37" s="230">
        <v>8833</v>
      </c>
      <c r="C37" s="409" t="s">
        <v>1110</v>
      </c>
      <c r="D37" s="230" t="s">
        <v>53</v>
      </c>
      <c r="E37" s="410">
        <v>11170</v>
      </c>
      <c r="F37" s="230">
        <v>0</v>
      </c>
      <c r="G37" s="411">
        <f>G35</f>
        <v>1</v>
      </c>
      <c r="H37" s="410">
        <f t="shared" si="1"/>
        <v>0</v>
      </c>
    </row>
    <row r="38" spans="2:8" ht="45" x14ac:dyDescent="0.25">
      <c r="B38" s="230">
        <v>8684</v>
      </c>
      <c r="C38" s="409" t="s">
        <v>1111</v>
      </c>
      <c r="D38" s="230" t="s">
        <v>53</v>
      </c>
      <c r="E38" s="410">
        <v>67291</v>
      </c>
      <c r="F38" s="230">
        <v>0</v>
      </c>
      <c r="G38" s="411">
        <f>G35</f>
        <v>1</v>
      </c>
      <c r="H38" s="410">
        <f t="shared" si="1"/>
        <v>0</v>
      </c>
    </row>
    <row r="39" spans="2:8" x14ac:dyDescent="0.25">
      <c r="B39" s="738" t="s">
        <v>1101</v>
      </c>
      <c r="C39" s="738"/>
      <c r="D39" s="738"/>
      <c r="E39" s="738"/>
      <c r="F39" s="738"/>
      <c r="G39" s="738"/>
      <c r="H39" s="412">
        <f>SUM(H35:H38)</f>
        <v>0</v>
      </c>
    </row>
    <row r="41" spans="2:8" x14ac:dyDescent="0.25">
      <c r="B41" s="402" t="s">
        <v>1112</v>
      </c>
      <c r="C41" s="206"/>
      <c r="D41" s="206"/>
      <c r="E41" s="206"/>
      <c r="F41" s="206"/>
      <c r="G41" s="206"/>
      <c r="H41" s="408" t="s">
        <v>1113</v>
      </c>
    </row>
    <row r="42" spans="2:8" x14ac:dyDescent="0.25">
      <c r="B42" s="230" t="s">
        <v>1098</v>
      </c>
      <c r="C42" s="230" t="s">
        <v>1099</v>
      </c>
      <c r="D42" s="230" t="s">
        <v>712</v>
      </c>
      <c r="E42" s="230" t="s">
        <v>657</v>
      </c>
      <c r="F42" s="230" t="s">
        <v>672</v>
      </c>
      <c r="G42" s="230" t="s">
        <v>1100</v>
      </c>
      <c r="H42" s="230" t="s">
        <v>1101</v>
      </c>
    </row>
    <row r="43" spans="2:8" ht="30" x14ac:dyDescent="0.25">
      <c r="B43" s="401">
        <v>8679</v>
      </c>
      <c r="C43" s="409" t="s">
        <v>1114</v>
      </c>
      <c r="D43" s="230" t="s">
        <v>53</v>
      </c>
      <c r="E43" s="410">
        <v>326356</v>
      </c>
      <c r="F43" s="230">
        <v>0</v>
      </c>
      <c r="G43" s="411">
        <v>1</v>
      </c>
      <c r="H43" s="410">
        <f>ROUND(E43*F43*G43,0)</f>
        <v>0</v>
      </c>
    </row>
    <row r="44" spans="2:8" ht="30" x14ac:dyDescent="0.25">
      <c r="B44" s="401">
        <v>8681</v>
      </c>
      <c r="C44" s="409" t="s">
        <v>1115</v>
      </c>
      <c r="D44" s="230" t="s">
        <v>53</v>
      </c>
      <c r="E44" s="410">
        <v>383149</v>
      </c>
      <c r="F44" s="230">
        <v>0</v>
      </c>
      <c r="G44" s="411">
        <f>G43</f>
        <v>1</v>
      </c>
      <c r="H44" s="410">
        <f t="shared" ref="H44:H46" si="2">ROUND(E44*F44*G44,0)</f>
        <v>0</v>
      </c>
    </row>
    <row r="45" spans="2:8" ht="30" x14ac:dyDescent="0.25">
      <c r="B45" s="401">
        <v>8675</v>
      </c>
      <c r="C45" s="409" t="s">
        <v>1116</v>
      </c>
      <c r="D45" s="230" t="s">
        <v>53</v>
      </c>
      <c r="E45" s="410">
        <v>9385</v>
      </c>
      <c r="F45" s="230">
        <v>0</v>
      </c>
      <c r="G45" s="411">
        <f>G43</f>
        <v>1</v>
      </c>
      <c r="H45" s="410">
        <f t="shared" si="2"/>
        <v>0</v>
      </c>
    </row>
    <row r="46" spans="2:8" ht="45" x14ac:dyDescent="0.25">
      <c r="B46" s="401">
        <v>8677</v>
      </c>
      <c r="C46" s="409" t="s">
        <v>1117</v>
      </c>
      <c r="D46" s="230" t="s">
        <v>53</v>
      </c>
      <c r="E46" s="410">
        <v>149665</v>
      </c>
      <c r="F46" s="230">
        <v>0</v>
      </c>
      <c r="G46" s="411">
        <f>G43</f>
        <v>1</v>
      </c>
      <c r="H46" s="410">
        <f t="shared" si="2"/>
        <v>0</v>
      </c>
    </row>
    <row r="47" spans="2:8" x14ac:dyDescent="0.25">
      <c r="B47" s="738" t="s">
        <v>1101</v>
      </c>
      <c r="C47" s="738"/>
      <c r="D47" s="738"/>
      <c r="E47" s="738"/>
      <c r="F47" s="738"/>
      <c r="G47" s="738"/>
      <c r="H47" s="412">
        <f>SUM(H43:H46)</f>
        <v>0</v>
      </c>
    </row>
    <row r="49" spans="2:8" x14ac:dyDescent="0.25">
      <c r="B49" s="405" t="s">
        <v>1118</v>
      </c>
      <c r="C49" s="407"/>
      <c r="D49" s="407"/>
      <c r="E49" s="407"/>
      <c r="F49" s="407"/>
      <c r="G49" s="407"/>
      <c r="H49" s="408" t="s">
        <v>1119</v>
      </c>
    </row>
    <row r="50" spans="2:8" x14ac:dyDescent="0.25">
      <c r="B50" s="230" t="s">
        <v>1098</v>
      </c>
      <c r="C50" s="230" t="s">
        <v>1099</v>
      </c>
      <c r="D50" s="230" t="s">
        <v>712</v>
      </c>
      <c r="E50" s="230" t="s">
        <v>657</v>
      </c>
      <c r="F50" s="230" t="s">
        <v>672</v>
      </c>
      <c r="G50" s="230" t="s">
        <v>1100</v>
      </c>
      <c r="H50" s="230" t="s">
        <v>1101</v>
      </c>
    </row>
    <row r="51" spans="2:8" ht="30" x14ac:dyDescent="0.25">
      <c r="B51" s="230">
        <v>8678</v>
      </c>
      <c r="C51" s="409" t="s">
        <v>1120</v>
      </c>
      <c r="D51" s="230" t="s">
        <v>53</v>
      </c>
      <c r="E51" s="410">
        <v>289753</v>
      </c>
      <c r="F51" s="230">
        <v>0</v>
      </c>
      <c r="G51" s="411">
        <v>1</v>
      </c>
      <c r="H51" s="410">
        <f>ROUND(E51*F51*G51,0)</f>
        <v>0</v>
      </c>
    </row>
    <row r="52" spans="2:8" ht="30" x14ac:dyDescent="0.25">
      <c r="B52" s="230">
        <v>8680</v>
      </c>
      <c r="C52" s="409" t="s">
        <v>1121</v>
      </c>
      <c r="D52" s="230" t="s">
        <v>53</v>
      </c>
      <c r="E52" s="410">
        <v>368166</v>
      </c>
      <c r="F52" s="230">
        <v>0</v>
      </c>
      <c r="G52" s="411">
        <f>G51</f>
        <v>1</v>
      </c>
      <c r="H52" s="410">
        <f t="shared" ref="H52:H54" si="3">ROUND(E52*F52*G52,0)</f>
        <v>0</v>
      </c>
    </row>
    <row r="53" spans="2:8" ht="30" x14ac:dyDescent="0.25">
      <c r="B53" s="230">
        <v>8832</v>
      </c>
      <c r="C53" s="409" t="s">
        <v>1122</v>
      </c>
      <c r="D53" s="230" t="s">
        <v>53</v>
      </c>
      <c r="E53" s="410">
        <v>8906</v>
      </c>
      <c r="F53" s="230">
        <v>0</v>
      </c>
      <c r="G53" s="411">
        <f>G51</f>
        <v>1</v>
      </c>
      <c r="H53" s="410">
        <f t="shared" si="3"/>
        <v>0</v>
      </c>
    </row>
    <row r="54" spans="2:8" ht="45" x14ac:dyDescent="0.25">
      <c r="B54" s="230">
        <v>8676</v>
      </c>
      <c r="C54" s="409" t="s">
        <v>1123</v>
      </c>
      <c r="D54" s="230" t="s">
        <v>53</v>
      </c>
      <c r="E54" s="410">
        <v>77575</v>
      </c>
      <c r="F54" s="230">
        <v>0</v>
      </c>
      <c r="G54" s="411">
        <f>G51</f>
        <v>1</v>
      </c>
      <c r="H54" s="410">
        <f t="shared" si="3"/>
        <v>0</v>
      </c>
    </row>
    <row r="55" spans="2:8" x14ac:dyDescent="0.25">
      <c r="B55" s="738" t="s">
        <v>1101</v>
      </c>
      <c r="C55" s="738"/>
      <c r="D55" s="738"/>
      <c r="E55" s="738"/>
      <c r="F55" s="738"/>
      <c r="G55" s="738"/>
      <c r="H55" s="412">
        <f>SUM(H51:H54)</f>
        <v>0</v>
      </c>
    </row>
    <row r="57" spans="2:8" x14ac:dyDescent="0.25">
      <c r="B57" s="405" t="s">
        <v>1124</v>
      </c>
      <c r="C57" s="407" t="str">
        <f>$C$19&amp;$C$20&amp;$C$21</f>
        <v>AndenLocalRígido</v>
      </c>
      <c r="D57" s="407"/>
      <c r="E57" s="407"/>
      <c r="F57" s="407"/>
      <c r="G57" s="407"/>
      <c r="H57" s="408" t="s">
        <v>1125</v>
      </c>
    </row>
    <row r="58" spans="2:8" x14ac:dyDescent="0.25">
      <c r="B58" s="230" t="s">
        <v>1098</v>
      </c>
      <c r="C58" s="230" t="s">
        <v>1099</v>
      </c>
      <c r="D58" s="230" t="s">
        <v>712</v>
      </c>
      <c r="E58" s="230" t="s">
        <v>657</v>
      </c>
      <c r="F58" s="230" t="s">
        <v>672</v>
      </c>
      <c r="G58" s="230" t="s">
        <v>1100</v>
      </c>
      <c r="H58" s="230" t="s">
        <v>1101</v>
      </c>
    </row>
    <row r="59" spans="2:8" ht="30" x14ac:dyDescent="0.25">
      <c r="B59" s="230">
        <v>4523</v>
      </c>
      <c r="C59" s="409" t="s">
        <v>1126</v>
      </c>
      <c r="D59" s="230" t="s">
        <v>53</v>
      </c>
      <c r="E59" s="410">
        <v>192182</v>
      </c>
      <c r="F59" s="230">
        <v>0</v>
      </c>
      <c r="G59" s="411">
        <v>1</v>
      </c>
      <c r="H59" s="410">
        <f>ROUND(E59*F59*G59,0)</f>
        <v>0</v>
      </c>
    </row>
    <row r="60" spans="2:8" ht="30" x14ac:dyDescent="0.25">
      <c r="B60" s="230">
        <v>4524</v>
      </c>
      <c r="C60" s="409" t="s">
        <v>1127</v>
      </c>
      <c r="D60" s="230" t="s">
        <v>53</v>
      </c>
      <c r="E60" s="410">
        <v>208765</v>
      </c>
      <c r="F60" s="230">
        <v>0</v>
      </c>
      <c r="G60" s="411">
        <f>G59</f>
        <v>1</v>
      </c>
      <c r="H60" s="410">
        <f t="shared" ref="H60:H62" si="4">ROUND(E60*F60*G60,0)</f>
        <v>0</v>
      </c>
    </row>
    <row r="61" spans="2:8" ht="30" x14ac:dyDescent="0.25">
      <c r="B61" s="230">
        <v>4586</v>
      </c>
      <c r="C61" s="409" t="s">
        <v>1128</v>
      </c>
      <c r="D61" s="230" t="s">
        <v>53</v>
      </c>
      <c r="E61" s="410">
        <v>108014</v>
      </c>
      <c r="F61" s="230">
        <v>0</v>
      </c>
      <c r="G61" s="411">
        <f>G59</f>
        <v>1</v>
      </c>
      <c r="H61" s="410">
        <f t="shared" si="4"/>
        <v>0</v>
      </c>
    </row>
    <row r="62" spans="2:8" ht="30" x14ac:dyDescent="0.25">
      <c r="B62" s="230">
        <v>5799</v>
      </c>
      <c r="C62" s="409" t="s">
        <v>1129</v>
      </c>
      <c r="D62" s="230" t="s">
        <v>53</v>
      </c>
      <c r="E62" s="410">
        <v>91530</v>
      </c>
      <c r="F62" s="230">
        <v>0</v>
      </c>
      <c r="G62" s="411">
        <f>G59</f>
        <v>1</v>
      </c>
      <c r="H62" s="410">
        <f t="shared" si="4"/>
        <v>0</v>
      </c>
    </row>
    <row r="63" spans="2:8" x14ac:dyDescent="0.25">
      <c r="B63" s="738" t="s">
        <v>1101</v>
      </c>
      <c r="C63" s="738"/>
      <c r="D63" s="738"/>
      <c r="E63" s="738"/>
      <c r="F63" s="738"/>
      <c r="G63" s="738"/>
      <c r="H63" s="412">
        <f>SUM(H59:H62)</f>
        <v>0</v>
      </c>
    </row>
    <row r="65" spans="2:8" x14ac:dyDescent="0.25">
      <c r="B65" s="413" t="s">
        <v>432</v>
      </c>
      <c r="C65" s="414"/>
      <c r="D65" s="414"/>
      <c r="E65" s="414"/>
      <c r="F65" s="414"/>
      <c r="G65" s="414"/>
      <c r="H65" s="408" t="s">
        <v>1130</v>
      </c>
    </row>
    <row r="66" spans="2:8" x14ac:dyDescent="0.25">
      <c r="B66" s="230" t="s">
        <v>1098</v>
      </c>
      <c r="C66" s="230" t="s">
        <v>1099</v>
      </c>
      <c r="D66" s="230" t="s">
        <v>712</v>
      </c>
      <c r="E66" s="230" t="s">
        <v>657</v>
      </c>
      <c r="F66" s="230" t="s">
        <v>672</v>
      </c>
      <c r="G66" s="230" t="s">
        <v>1100</v>
      </c>
      <c r="H66" s="230" t="s">
        <v>1101</v>
      </c>
    </row>
    <row r="67" spans="2:8" ht="30" x14ac:dyDescent="0.25">
      <c r="B67" s="230">
        <v>4575</v>
      </c>
      <c r="C67" s="409" t="s">
        <v>1131</v>
      </c>
      <c r="D67" s="230" t="s">
        <v>53</v>
      </c>
      <c r="E67" s="410">
        <v>160774</v>
      </c>
      <c r="F67" s="230">
        <v>0</v>
      </c>
      <c r="G67" s="411">
        <v>1</v>
      </c>
      <c r="H67" s="410">
        <f>ROUND(E67*F67*G67,0)</f>
        <v>0</v>
      </c>
    </row>
    <row r="68" spans="2:8" ht="30" x14ac:dyDescent="0.25">
      <c r="B68" s="230">
        <v>6168</v>
      </c>
      <c r="C68" s="409" t="s">
        <v>1132</v>
      </c>
      <c r="D68" s="230" t="s">
        <v>64</v>
      </c>
      <c r="E68" s="410">
        <v>17143</v>
      </c>
      <c r="F68" s="230">
        <v>0</v>
      </c>
      <c r="G68" s="411">
        <f>G67</f>
        <v>1</v>
      </c>
      <c r="H68" s="410">
        <f t="shared" ref="H68:H70" si="5">ROUND(E68*F68*G68,0)</f>
        <v>0</v>
      </c>
    </row>
    <row r="69" spans="2:8" ht="30" x14ac:dyDescent="0.25">
      <c r="B69" s="230">
        <v>4576</v>
      </c>
      <c r="C69" s="409" t="s">
        <v>1133</v>
      </c>
      <c r="D69" s="230" t="s">
        <v>53</v>
      </c>
      <c r="E69" s="410">
        <v>164607</v>
      </c>
      <c r="F69" s="230">
        <f>IF($C$19&amp;$C$20&amp;$C$21=H65,$C$18,0)</f>
        <v>76</v>
      </c>
      <c r="G69" s="411">
        <f>G67</f>
        <v>1</v>
      </c>
      <c r="H69" s="410">
        <f t="shared" si="5"/>
        <v>12510132</v>
      </c>
    </row>
    <row r="70" spans="2:8" ht="30" x14ac:dyDescent="0.25">
      <c r="B70" s="230">
        <v>4054</v>
      </c>
      <c r="C70" s="409" t="s">
        <v>1134</v>
      </c>
      <c r="D70" s="230" t="s">
        <v>64</v>
      </c>
      <c r="E70" s="410">
        <v>61630</v>
      </c>
      <c r="F70" s="230">
        <v>39.840000000000003</v>
      </c>
      <c r="G70" s="411">
        <f>G67</f>
        <v>1</v>
      </c>
      <c r="H70" s="410">
        <f t="shared" si="5"/>
        <v>2455339</v>
      </c>
    </row>
    <row r="71" spans="2:8" x14ac:dyDescent="0.25">
      <c r="B71" s="738" t="s">
        <v>1101</v>
      </c>
      <c r="C71" s="738"/>
      <c r="D71" s="738"/>
      <c r="E71" s="738"/>
      <c r="F71" s="738"/>
      <c r="G71" s="738"/>
      <c r="H71" s="412">
        <f>SUM(H67:H70)</f>
        <v>14965471</v>
      </c>
    </row>
    <row r="73" spans="2:8" x14ac:dyDescent="0.25">
      <c r="B73" s="739" t="s">
        <v>1101</v>
      </c>
      <c r="C73" s="739"/>
      <c r="D73" s="739"/>
      <c r="E73" s="739"/>
      <c r="F73" s="739"/>
      <c r="G73" s="740"/>
      <c r="H73" s="415">
        <f>H31+H39+H47+H55+H71</f>
        <v>14965471</v>
      </c>
    </row>
  </sheetData>
  <mergeCells count="10">
    <mergeCell ref="B55:G55"/>
    <mergeCell ref="B63:G63"/>
    <mergeCell ref="B71:G71"/>
    <mergeCell ref="B73:G73"/>
    <mergeCell ref="F13:G13"/>
    <mergeCell ref="F14:G14"/>
    <mergeCell ref="F15:G15"/>
    <mergeCell ref="B31:G31"/>
    <mergeCell ref="B39:G39"/>
    <mergeCell ref="B47:G47"/>
  </mergeCells>
  <pageMargins left="0.7" right="0.7" top="0.75" bottom="0.75" header="0.3" footer="0.3"/>
  <pageSetup paperSize="11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58</vt:i4>
      </vt:variant>
      <vt:variant>
        <vt:lpstr>Rangos con nombre</vt:lpstr>
      </vt:variant>
      <vt:variant>
        <vt:i4>58</vt:i4>
      </vt:variant>
    </vt:vector>
  </HeadingPairs>
  <TitlesOfParts>
    <vt:vector size="116" baseType="lpstr">
      <vt:lpstr>Base</vt:lpstr>
      <vt:lpstr>FORMULARIO</vt:lpstr>
      <vt:lpstr>PRESUPUESTO OFICIAL</vt:lpstr>
      <vt:lpstr>DedicProfObr</vt:lpstr>
      <vt:lpstr>AIU</vt:lpstr>
      <vt:lpstr>PPTO_DIAGN</vt:lpstr>
      <vt:lpstr>PPTO_AMB</vt:lpstr>
      <vt:lpstr>PPTO_SOCIAL</vt:lpstr>
      <vt:lpstr>PPTO_PMT</vt:lpstr>
      <vt:lpstr>169339</vt:lpstr>
      <vt:lpstr>175729</vt:lpstr>
      <vt:lpstr>175731</vt:lpstr>
      <vt:lpstr>176634</vt:lpstr>
      <vt:lpstr>167437</vt:lpstr>
      <vt:lpstr>176277</vt:lpstr>
      <vt:lpstr>172488</vt:lpstr>
      <vt:lpstr>174993</vt:lpstr>
      <vt:lpstr>174992</vt:lpstr>
      <vt:lpstr>174991</vt:lpstr>
      <vt:lpstr>169238</vt:lpstr>
      <vt:lpstr>174103</vt:lpstr>
      <vt:lpstr>174146</vt:lpstr>
      <vt:lpstr>174147</vt:lpstr>
      <vt:lpstr>800044</vt:lpstr>
      <vt:lpstr>171265</vt:lpstr>
      <vt:lpstr>171267</vt:lpstr>
      <vt:lpstr>171266</vt:lpstr>
      <vt:lpstr>167909</vt:lpstr>
      <vt:lpstr>91100218</vt:lpstr>
      <vt:lpstr>91100346</vt:lpstr>
      <vt:lpstr>91104122</vt:lpstr>
      <vt:lpstr>91100345</vt:lpstr>
      <vt:lpstr>472369</vt:lpstr>
      <vt:lpstr>472370</vt:lpstr>
      <vt:lpstr>173502</vt:lpstr>
      <vt:lpstr>472371</vt:lpstr>
      <vt:lpstr>173501</vt:lpstr>
      <vt:lpstr>173807</vt:lpstr>
      <vt:lpstr>91020581</vt:lpstr>
      <vt:lpstr>173808</vt:lpstr>
      <vt:lpstr>173809</vt:lpstr>
      <vt:lpstr>177523</vt:lpstr>
      <vt:lpstr>175849</vt:lpstr>
      <vt:lpstr>176248</vt:lpstr>
      <vt:lpstr>176420</vt:lpstr>
      <vt:lpstr>176418</vt:lpstr>
      <vt:lpstr>175670</vt:lpstr>
      <vt:lpstr>91100290</vt:lpstr>
      <vt:lpstr>175669</vt:lpstr>
      <vt:lpstr>472420</vt:lpstr>
      <vt:lpstr>173989</vt:lpstr>
      <vt:lpstr>173988</vt:lpstr>
      <vt:lpstr>91019827</vt:lpstr>
      <vt:lpstr>91013890</vt:lpstr>
      <vt:lpstr>91013885</vt:lpstr>
      <vt:lpstr>91013842</vt:lpstr>
      <vt:lpstr>168477</vt:lpstr>
      <vt:lpstr>53781</vt:lpstr>
      <vt:lpstr>'167437'!Área_de_impresión</vt:lpstr>
      <vt:lpstr>'167909'!Área_de_impresión</vt:lpstr>
      <vt:lpstr>'168477'!Área_de_impresión</vt:lpstr>
      <vt:lpstr>'169238'!Área_de_impresión</vt:lpstr>
      <vt:lpstr>'169339'!Área_de_impresión</vt:lpstr>
      <vt:lpstr>'171265'!Área_de_impresión</vt:lpstr>
      <vt:lpstr>'171266'!Área_de_impresión</vt:lpstr>
      <vt:lpstr>'171267'!Área_de_impresión</vt:lpstr>
      <vt:lpstr>'172488'!Área_de_impresión</vt:lpstr>
      <vt:lpstr>'173501'!Área_de_impresión</vt:lpstr>
      <vt:lpstr>'173502'!Área_de_impresión</vt:lpstr>
      <vt:lpstr>'173807'!Área_de_impresión</vt:lpstr>
      <vt:lpstr>'173808'!Área_de_impresión</vt:lpstr>
      <vt:lpstr>'173809'!Área_de_impresión</vt:lpstr>
      <vt:lpstr>'173988'!Área_de_impresión</vt:lpstr>
      <vt:lpstr>'173989'!Área_de_impresión</vt:lpstr>
      <vt:lpstr>'174103'!Área_de_impresión</vt:lpstr>
      <vt:lpstr>'174146'!Área_de_impresión</vt:lpstr>
      <vt:lpstr>'174147'!Área_de_impresión</vt:lpstr>
      <vt:lpstr>'174991'!Área_de_impresión</vt:lpstr>
      <vt:lpstr>'174992'!Área_de_impresión</vt:lpstr>
      <vt:lpstr>'174993'!Área_de_impresión</vt:lpstr>
      <vt:lpstr>'175669'!Área_de_impresión</vt:lpstr>
      <vt:lpstr>'175670'!Área_de_impresión</vt:lpstr>
      <vt:lpstr>'175729'!Área_de_impresión</vt:lpstr>
      <vt:lpstr>'175731'!Área_de_impresión</vt:lpstr>
      <vt:lpstr>'175849'!Área_de_impresión</vt:lpstr>
      <vt:lpstr>'176248'!Área_de_impresión</vt:lpstr>
      <vt:lpstr>'176277'!Área_de_impresión</vt:lpstr>
      <vt:lpstr>'176418'!Área_de_impresión</vt:lpstr>
      <vt:lpstr>'176420'!Área_de_impresión</vt:lpstr>
      <vt:lpstr>'176634'!Área_de_impresión</vt:lpstr>
      <vt:lpstr>'177523'!Área_de_impresión</vt:lpstr>
      <vt:lpstr>'472369'!Área_de_impresión</vt:lpstr>
      <vt:lpstr>'472370'!Área_de_impresión</vt:lpstr>
      <vt:lpstr>'472371'!Área_de_impresión</vt:lpstr>
      <vt:lpstr>'472420'!Área_de_impresión</vt:lpstr>
      <vt:lpstr>'53781'!Área_de_impresión</vt:lpstr>
      <vt:lpstr>'800044'!Área_de_impresión</vt:lpstr>
      <vt:lpstr>'91013842'!Área_de_impresión</vt:lpstr>
      <vt:lpstr>'91013885'!Área_de_impresión</vt:lpstr>
      <vt:lpstr>'91013890'!Área_de_impresión</vt:lpstr>
      <vt:lpstr>'91019827'!Área_de_impresión</vt:lpstr>
      <vt:lpstr>'91020581'!Área_de_impresión</vt:lpstr>
      <vt:lpstr>'91100218'!Área_de_impresión</vt:lpstr>
      <vt:lpstr>'91100290'!Área_de_impresión</vt:lpstr>
      <vt:lpstr>'91100345'!Área_de_impresión</vt:lpstr>
      <vt:lpstr>'91100346'!Área_de_impresión</vt:lpstr>
      <vt:lpstr>'91104122'!Área_de_impresión</vt:lpstr>
      <vt:lpstr>AIU!Área_de_impresión</vt:lpstr>
      <vt:lpstr>Base!Área_de_impresión</vt:lpstr>
      <vt:lpstr>DedicProfObr!Área_de_impresión</vt:lpstr>
      <vt:lpstr>FORMULARIO!Área_de_impresión</vt:lpstr>
      <vt:lpstr>PPTO_AMB!Área_de_impresión</vt:lpstr>
      <vt:lpstr>PPTO_DIAGN!Área_de_impresión</vt:lpstr>
      <vt:lpstr>PPTO_PMT!Área_de_impresión</vt:lpstr>
      <vt:lpstr>PPTO_SOCIAL!Área_de_impresión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dalejandrohurtado_W</dc:creator>
  <cp:keywords/>
  <dc:description/>
  <cp:lastModifiedBy>Hugo Ferney Pineda Niño</cp:lastModifiedBy>
  <cp:revision/>
  <dcterms:created xsi:type="dcterms:W3CDTF">2015-06-05T18:19:34Z</dcterms:created>
  <dcterms:modified xsi:type="dcterms:W3CDTF">2023-03-29T14:27:47Z</dcterms:modified>
  <cp:category/>
  <cp:contentStatus/>
</cp:coreProperties>
</file>