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autoCompressPictures="0"/>
  <mc:AlternateContent xmlns:mc="http://schemas.openxmlformats.org/markup-compatibility/2006">
    <mc:Choice Requires="x15">
      <x15ac:absPath xmlns:x15ac="http://schemas.microsoft.com/office/spreadsheetml/2010/11/ac" url="G:\L.C\COMANDO FAC 18-07-2019\"/>
    </mc:Choice>
  </mc:AlternateContent>
  <bookViews>
    <workbookView xWindow="0" yWindow="0" windowWidth="20640" windowHeight="11760" activeTab="3"/>
  </bookViews>
  <sheets>
    <sheet name="COMPARACIÓN PRECIOS" sheetId="3" r:id="rId1"/>
    <sheet name="Hoja1" sheetId="1" r:id="rId2"/>
    <sheet name="PAC A PEDIR" sheetId="2" r:id="rId3"/>
    <sheet name="LISTADO DE PRECIOS" sheetId="4" r:id="rId4"/>
  </sheets>
  <calcPr calcId="162913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50" i="1" l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8" i="1"/>
  <c r="G56" i="4"/>
  <c r="F6" i="4"/>
  <c r="F7" i="4"/>
  <c r="F8" i="4"/>
  <c r="F9" i="4"/>
  <c r="F10" i="4"/>
  <c r="F11" i="4"/>
  <c r="F12" i="4"/>
  <c r="F13" i="4"/>
  <c r="F14" i="4"/>
  <c r="F15" i="4"/>
  <c r="F16" i="4"/>
  <c r="F17" i="4"/>
  <c r="F18" i="4"/>
  <c r="F19" i="4"/>
  <c r="F20" i="4"/>
  <c r="F21" i="4"/>
  <c r="F22" i="4"/>
  <c r="F23" i="4"/>
  <c r="F24" i="4"/>
  <c r="F25" i="4"/>
  <c r="F26" i="4"/>
  <c r="F27" i="4"/>
  <c r="F28" i="4"/>
  <c r="F29" i="4"/>
  <c r="F30" i="4"/>
  <c r="F31" i="4"/>
  <c r="F32" i="4"/>
  <c r="F33" i="4"/>
  <c r="F34" i="4"/>
  <c r="F35" i="4"/>
  <c r="F36" i="4"/>
  <c r="F37" i="4"/>
  <c r="F38" i="4"/>
  <c r="F39" i="4"/>
  <c r="F40" i="4"/>
  <c r="F41" i="4"/>
  <c r="F42" i="4"/>
  <c r="F43" i="4"/>
  <c r="F44" i="4"/>
  <c r="F45" i="4"/>
  <c r="F46" i="4"/>
  <c r="F47" i="4"/>
  <c r="F48" i="4"/>
  <c r="F49" i="4"/>
  <c r="F50" i="4"/>
  <c r="F51" i="4"/>
  <c r="F52" i="4"/>
  <c r="F53" i="4"/>
  <c r="F54" i="4"/>
  <c r="F55" i="4"/>
  <c r="F5" i="4"/>
  <c r="E6" i="4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2" i="4"/>
  <c r="E33" i="4"/>
  <c r="E34" i="4"/>
  <c r="E35" i="4"/>
  <c r="E36" i="4"/>
  <c r="E37" i="4"/>
  <c r="E38" i="4"/>
  <c r="E39" i="4"/>
  <c r="E40" i="4"/>
  <c r="E41" i="4"/>
  <c r="E42" i="4"/>
  <c r="E43" i="4"/>
  <c r="E44" i="4"/>
  <c r="E45" i="4"/>
  <c r="E46" i="4"/>
  <c r="E47" i="4"/>
  <c r="E48" i="4"/>
  <c r="E49" i="4"/>
  <c r="E50" i="4"/>
  <c r="E51" i="4"/>
  <c r="E52" i="4"/>
  <c r="E53" i="4"/>
  <c r="E54" i="4"/>
  <c r="E55" i="4"/>
  <c r="E5" i="4"/>
  <c r="M127" i="3"/>
  <c r="M126" i="3"/>
  <c r="D50" i="1"/>
  <c r="G99" i="3"/>
  <c r="G100" i="3"/>
  <c r="G101" i="3"/>
  <c r="G102" i="3"/>
  <c r="G103" i="3"/>
  <c r="G104" i="3"/>
  <c r="G105" i="3"/>
  <c r="G106" i="3"/>
  <c r="G107" i="3"/>
  <c r="G108" i="3"/>
  <c r="G109" i="3"/>
  <c r="G110" i="3"/>
  <c r="G112" i="3"/>
  <c r="G113" i="3"/>
  <c r="G114" i="3"/>
  <c r="G115" i="3"/>
  <c r="G116" i="3"/>
  <c r="G117" i="3"/>
  <c r="G118" i="3"/>
  <c r="G119" i="3"/>
  <c r="G120" i="3"/>
  <c r="G121" i="3"/>
  <c r="G122" i="3"/>
  <c r="G123" i="3"/>
  <c r="J72" i="3"/>
  <c r="J73" i="3"/>
  <c r="J74" i="3"/>
  <c r="J75" i="3"/>
  <c r="J76" i="3"/>
  <c r="J77" i="3"/>
  <c r="J78" i="3"/>
  <c r="J79" i="3"/>
  <c r="J80" i="3"/>
  <c r="J81" i="3"/>
  <c r="J82" i="3"/>
  <c r="J83" i="3"/>
  <c r="J84" i="3"/>
  <c r="J85" i="3"/>
  <c r="J86" i="3"/>
  <c r="J87" i="3"/>
  <c r="J88" i="3"/>
  <c r="J89" i="3"/>
  <c r="J90" i="3"/>
  <c r="J91" i="3"/>
  <c r="J92" i="3"/>
  <c r="J93" i="3"/>
  <c r="J94" i="3"/>
  <c r="J95" i="3"/>
  <c r="J96" i="3"/>
  <c r="J97" i="3"/>
  <c r="J98" i="3"/>
  <c r="J99" i="3"/>
  <c r="J100" i="3"/>
  <c r="J101" i="3"/>
  <c r="J102" i="3"/>
  <c r="J103" i="3"/>
  <c r="J104" i="3"/>
  <c r="J105" i="3"/>
  <c r="J106" i="3"/>
  <c r="J107" i="3"/>
  <c r="J108" i="3"/>
  <c r="J109" i="3"/>
  <c r="J110" i="3"/>
  <c r="J111" i="3"/>
  <c r="J112" i="3"/>
  <c r="J113" i="3"/>
  <c r="J114" i="3"/>
  <c r="J115" i="3"/>
  <c r="J116" i="3"/>
  <c r="J117" i="3"/>
  <c r="J118" i="3"/>
  <c r="J119" i="3"/>
  <c r="J120" i="3"/>
  <c r="J121" i="3"/>
  <c r="J122" i="3"/>
  <c r="J123" i="3"/>
  <c r="L72" i="3"/>
  <c r="M72" i="3"/>
  <c r="L73" i="3"/>
  <c r="M73" i="3"/>
  <c r="L74" i="3"/>
  <c r="M74" i="3"/>
  <c r="L75" i="3"/>
  <c r="M75" i="3"/>
  <c r="L76" i="3"/>
  <c r="M76" i="3"/>
  <c r="L77" i="3"/>
  <c r="M77" i="3"/>
  <c r="L78" i="3"/>
  <c r="M78" i="3"/>
  <c r="L79" i="3"/>
  <c r="M79" i="3"/>
  <c r="L80" i="3"/>
  <c r="M80" i="3"/>
  <c r="L81" i="3"/>
  <c r="M81" i="3"/>
  <c r="L82" i="3"/>
  <c r="M82" i="3"/>
  <c r="L83" i="3"/>
  <c r="M83" i="3"/>
  <c r="L84" i="3"/>
  <c r="M84" i="3"/>
  <c r="L85" i="3"/>
  <c r="M85" i="3"/>
  <c r="L86" i="3"/>
  <c r="M86" i="3"/>
  <c r="L87" i="3"/>
  <c r="M87" i="3"/>
  <c r="L88" i="3"/>
  <c r="M88" i="3"/>
  <c r="L89" i="3"/>
  <c r="M89" i="3"/>
  <c r="L90" i="3"/>
  <c r="M90" i="3"/>
  <c r="L91" i="3"/>
  <c r="M91" i="3"/>
  <c r="L92" i="3"/>
  <c r="M92" i="3"/>
  <c r="L93" i="3"/>
  <c r="M93" i="3"/>
  <c r="L94" i="3"/>
  <c r="M94" i="3"/>
  <c r="L95" i="3"/>
  <c r="M95" i="3"/>
  <c r="L96" i="3"/>
  <c r="M96" i="3"/>
  <c r="L97" i="3"/>
  <c r="M97" i="3"/>
  <c r="L98" i="3"/>
  <c r="M98" i="3"/>
  <c r="L99" i="3"/>
  <c r="M99" i="3"/>
  <c r="L100" i="3"/>
  <c r="M100" i="3"/>
  <c r="L101" i="3"/>
  <c r="M101" i="3"/>
  <c r="L102" i="3"/>
  <c r="M102" i="3"/>
  <c r="L103" i="3"/>
  <c r="M103" i="3"/>
  <c r="L104" i="3"/>
  <c r="M104" i="3"/>
  <c r="L105" i="3"/>
  <c r="M105" i="3"/>
  <c r="L106" i="3"/>
  <c r="M106" i="3"/>
  <c r="L107" i="3"/>
  <c r="M107" i="3"/>
  <c r="L108" i="3"/>
  <c r="M108" i="3"/>
  <c r="L109" i="3"/>
  <c r="M109" i="3"/>
  <c r="L110" i="3"/>
  <c r="M110" i="3"/>
  <c r="L111" i="3"/>
  <c r="M111" i="3"/>
  <c r="L112" i="3"/>
  <c r="M112" i="3"/>
  <c r="L113" i="3"/>
  <c r="M113" i="3"/>
  <c r="L114" i="3"/>
  <c r="M114" i="3"/>
  <c r="L115" i="3"/>
  <c r="M115" i="3"/>
  <c r="L116" i="3"/>
  <c r="M116" i="3"/>
  <c r="L117" i="3"/>
  <c r="M117" i="3"/>
  <c r="L118" i="3"/>
  <c r="M118" i="3"/>
  <c r="L119" i="3"/>
  <c r="M119" i="3"/>
  <c r="L120" i="3"/>
  <c r="M120" i="3"/>
  <c r="L121" i="3"/>
  <c r="M121" i="3"/>
  <c r="L122" i="3"/>
  <c r="M122" i="3"/>
  <c r="M123" i="3"/>
  <c r="G128" i="3"/>
  <c r="N112" i="3"/>
  <c r="N89" i="3"/>
  <c r="N95" i="3"/>
  <c r="N96" i="3"/>
  <c r="N97" i="3"/>
  <c r="N99" i="3"/>
  <c r="N100" i="3"/>
  <c r="N101" i="3"/>
  <c r="N111" i="3"/>
  <c r="N115" i="3"/>
  <c r="N119" i="3"/>
  <c r="N123" i="3"/>
  <c r="N72" i="3"/>
  <c r="O81" i="3"/>
  <c r="O82" i="3"/>
  <c r="O83" i="3"/>
  <c r="O85" i="3"/>
  <c r="O86" i="3"/>
  <c r="O87" i="3"/>
  <c r="O88" i="3"/>
  <c r="O79" i="3"/>
  <c r="O91" i="3"/>
  <c r="O92" i="3"/>
  <c r="O96" i="3"/>
  <c r="O108" i="3"/>
  <c r="O109" i="3"/>
  <c r="O110" i="3"/>
  <c r="O111" i="3"/>
  <c r="O114" i="3"/>
  <c r="O118" i="3"/>
  <c r="O122" i="3"/>
  <c r="O123" i="3"/>
  <c r="J125" i="3"/>
  <c r="R72" i="3"/>
  <c r="R73" i="3"/>
  <c r="R74" i="3"/>
  <c r="R75" i="3"/>
  <c r="R76" i="3"/>
  <c r="R77" i="3"/>
  <c r="R78" i="3"/>
  <c r="R79" i="3"/>
  <c r="R80" i="3"/>
  <c r="R81" i="3"/>
  <c r="R82" i="3"/>
  <c r="R83" i="3"/>
  <c r="R84" i="3"/>
  <c r="R85" i="3"/>
  <c r="R86" i="3"/>
  <c r="R87" i="3"/>
  <c r="R88" i="3"/>
  <c r="R89" i="3"/>
  <c r="R90" i="3"/>
  <c r="R91" i="3"/>
  <c r="R92" i="3"/>
  <c r="R93" i="3"/>
  <c r="R94" i="3"/>
  <c r="R95" i="3"/>
  <c r="R96" i="3"/>
  <c r="R97" i="3"/>
  <c r="R98" i="3"/>
  <c r="R99" i="3"/>
  <c r="R100" i="3"/>
  <c r="R101" i="3"/>
  <c r="R102" i="3"/>
  <c r="R103" i="3"/>
  <c r="R104" i="3"/>
  <c r="R105" i="3"/>
  <c r="R106" i="3"/>
  <c r="R107" i="3"/>
  <c r="R108" i="3"/>
  <c r="R109" i="3"/>
  <c r="R110" i="3"/>
  <c r="R111" i="3"/>
  <c r="R112" i="3"/>
  <c r="R113" i="3"/>
  <c r="R114" i="3"/>
  <c r="R115" i="3"/>
  <c r="R116" i="3"/>
  <c r="R117" i="3"/>
  <c r="R118" i="3"/>
  <c r="R119" i="3"/>
  <c r="R120" i="3"/>
  <c r="R121" i="3"/>
  <c r="R122" i="3"/>
  <c r="R123" i="3"/>
  <c r="S73" i="3"/>
  <c r="S74" i="3"/>
  <c r="S75" i="3"/>
  <c r="S76" i="3"/>
  <c r="S77" i="3"/>
  <c r="S78" i="3"/>
  <c r="S79" i="3"/>
  <c r="S80" i="3"/>
  <c r="S81" i="3"/>
  <c r="S82" i="3"/>
  <c r="S83" i="3"/>
  <c r="S84" i="3"/>
  <c r="S85" i="3"/>
  <c r="S86" i="3"/>
  <c r="S87" i="3"/>
  <c r="S88" i="3"/>
  <c r="S89" i="3"/>
  <c r="S90" i="3"/>
  <c r="S91" i="3"/>
  <c r="S92" i="3"/>
  <c r="S93" i="3"/>
  <c r="S94" i="3"/>
  <c r="S95" i="3"/>
  <c r="S96" i="3"/>
  <c r="S97" i="3"/>
  <c r="S98" i="3"/>
  <c r="S99" i="3"/>
  <c r="S100" i="3"/>
  <c r="S101" i="3"/>
  <c r="S102" i="3"/>
  <c r="S103" i="3"/>
  <c r="S104" i="3"/>
  <c r="S105" i="3"/>
  <c r="S106" i="3"/>
  <c r="S107" i="3"/>
  <c r="S108" i="3"/>
  <c r="S109" i="3"/>
  <c r="S110" i="3"/>
  <c r="S111" i="3"/>
  <c r="S112" i="3"/>
  <c r="S113" i="3"/>
  <c r="S114" i="3"/>
  <c r="S115" i="3"/>
  <c r="S116" i="3"/>
  <c r="S117" i="3"/>
  <c r="S118" i="3"/>
  <c r="S119" i="3"/>
  <c r="S120" i="3"/>
  <c r="S121" i="3"/>
  <c r="S122" i="3"/>
  <c r="S123" i="3"/>
  <c r="S72" i="3"/>
  <c r="L123" i="3"/>
  <c r="K123" i="3"/>
  <c r="I123" i="3"/>
  <c r="H123" i="3"/>
  <c r="F123" i="3"/>
  <c r="E123" i="3"/>
  <c r="G56" i="3"/>
  <c r="J5" i="3"/>
  <c r="J6" i="3"/>
  <c r="J7" i="3"/>
  <c r="J8" i="3"/>
  <c r="J9" i="3"/>
  <c r="J10" i="3"/>
  <c r="J11" i="3"/>
  <c r="J12" i="3"/>
  <c r="J13" i="3"/>
  <c r="J14" i="3"/>
  <c r="J15" i="3"/>
  <c r="J16" i="3"/>
  <c r="J17" i="3"/>
  <c r="J18" i="3"/>
  <c r="J19" i="3"/>
  <c r="J20" i="3"/>
  <c r="J21" i="3"/>
  <c r="J22" i="3"/>
  <c r="J23" i="3"/>
  <c r="J24" i="3"/>
  <c r="J25" i="3"/>
  <c r="J26" i="3"/>
  <c r="J27" i="3"/>
  <c r="J28" i="3"/>
  <c r="J29" i="3"/>
  <c r="J30" i="3"/>
  <c r="J31" i="3"/>
  <c r="J32" i="3"/>
  <c r="J33" i="3"/>
  <c r="J34" i="3"/>
  <c r="J35" i="3"/>
  <c r="J36" i="3"/>
  <c r="J37" i="3"/>
  <c r="J38" i="3"/>
  <c r="J39" i="3"/>
  <c r="J40" i="3"/>
  <c r="J41" i="3"/>
  <c r="J42" i="3"/>
  <c r="J43" i="3"/>
  <c r="J44" i="3"/>
  <c r="J45" i="3"/>
  <c r="J46" i="3"/>
  <c r="J47" i="3"/>
  <c r="J48" i="3"/>
  <c r="J49" i="3"/>
  <c r="J50" i="3"/>
  <c r="J51" i="3"/>
  <c r="J52" i="3"/>
  <c r="J53" i="3"/>
  <c r="J54" i="3"/>
  <c r="J55" i="3"/>
  <c r="J56" i="3"/>
  <c r="L5" i="3"/>
  <c r="M5" i="3"/>
  <c r="L6" i="3"/>
  <c r="M6" i="3"/>
  <c r="L7" i="3"/>
  <c r="M7" i="3"/>
  <c r="L8" i="3"/>
  <c r="M8" i="3"/>
  <c r="L9" i="3"/>
  <c r="M9" i="3"/>
  <c r="L10" i="3"/>
  <c r="M10" i="3"/>
  <c r="L11" i="3"/>
  <c r="M11" i="3"/>
  <c r="L12" i="3"/>
  <c r="M12" i="3"/>
  <c r="L13" i="3"/>
  <c r="M13" i="3"/>
  <c r="L14" i="3"/>
  <c r="M14" i="3"/>
  <c r="L15" i="3"/>
  <c r="M15" i="3"/>
  <c r="L16" i="3"/>
  <c r="M16" i="3"/>
  <c r="L17" i="3"/>
  <c r="M17" i="3"/>
  <c r="L18" i="3"/>
  <c r="M18" i="3"/>
  <c r="L19" i="3"/>
  <c r="M19" i="3"/>
  <c r="L20" i="3"/>
  <c r="M20" i="3"/>
  <c r="L21" i="3"/>
  <c r="M21" i="3"/>
  <c r="L22" i="3"/>
  <c r="M22" i="3"/>
  <c r="L23" i="3"/>
  <c r="M23" i="3"/>
  <c r="L24" i="3"/>
  <c r="M24" i="3"/>
  <c r="L25" i="3"/>
  <c r="M25" i="3"/>
  <c r="L26" i="3"/>
  <c r="M26" i="3"/>
  <c r="L27" i="3"/>
  <c r="M27" i="3"/>
  <c r="L28" i="3"/>
  <c r="M28" i="3"/>
  <c r="L29" i="3"/>
  <c r="M29" i="3"/>
  <c r="L30" i="3"/>
  <c r="M30" i="3"/>
  <c r="L31" i="3"/>
  <c r="M31" i="3"/>
  <c r="L32" i="3"/>
  <c r="M32" i="3"/>
  <c r="L33" i="3"/>
  <c r="M33" i="3"/>
  <c r="L34" i="3"/>
  <c r="M34" i="3"/>
  <c r="L35" i="3"/>
  <c r="M35" i="3"/>
  <c r="L36" i="3"/>
  <c r="M36" i="3"/>
  <c r="L37" i="3"/>
  <c r="M37" i="3"/>
  <c r="L38" i="3"/>
  <c r="M38" i="3"/>
  <c r="L39" i="3"/>
  <c r="M39" i="3"/>
  <c r="L40" i="3"/>
  <c r="M40" i="3"/>
  <c r="L41" i="3"/>
  <c r="M41" i="3"/>
  <c r="L42" i="3"/>
  <c r="M42" i="3"/>
  <c r="L43" i="3"/>
  <c r="M43" i="3"/>
  <c r="L44" i="3"/>
  <c r="M44" i="3"/>
  <c r="L45" i="3"/>
  <c r="M45" i="3"/>
  <c r="L46" i="3"/>
  <c r="M46" i="3"/>
  <c r="L47" i="3"/>
  <c r="M47" i="3"/>
  <c r="L48" i="3"/>
  <c r="M48" i="3"/>
  <c r="L49" i="3"/>
  <c r="M49" i="3"/>
  <c r="L50" i="3"/>
  <c r="M50" i="3"/>
  <c r="L51" i="3"/>
  <c r="M51" i="3"/>
  <c r="L52" i="3"/>
  <c r="M52" i="3"/>
  <c r="L53" i="3"/>
  <c r="M53" i="3"/>
  <c r="L54" i="3"/>
  <c r="M54" i="3"/>
  <c r="L55" i="3"/>
  <c r="M55" i="3"/>
  <c r="M56" i="3"/>
  <c r="J59" i="3"/>
  <c r="H56" i="3"/>
  <c r="I56" i="3"/>
  <c r="K56" i="3"/>
  <c r="L56" i="3"/>
  <c r="M60" i="3"/>
  <c r="R56" i="3"/>
  <c r="R47" i="3"/>
  <c r="R46" i="3"/>
  <c r="R45" i="3"/>
  <c r="S43" i="3"/>
  <c r="S42" i="3"/>
  <c r="S41" i="3"/>
  <c r="S40" i="3"/>
  <c r="S39" i="3"/>
  <c r="S38" i="3"/>
  <c r="S37" i="3"/>
  <c r="S36" i="3"/>
  <c r="S35" i="3"/>
  <c r="R43" i="3"/>
  <c r="R42" i="3"/>
  <c r="R41" i="3"/>
  <c r="R40" i="3"/>
  <c r="R39" i="3"/>
  <c r="R38" i="3"/>
  <c r="R37" i="3"/>
  <c r="R36" i="3"/>
  <c r="R35" i="3"/>
  <c r="S34" i="3"/>
  <c r="R34" i="3"/>
  <c r="R33" i="3"/>
  <c r="R32" i="3"/>
  <c r="S33" i="3"/>
  <c r="S32" i="3"/>
  <c r="F56" i="3"/>
  <c r="E56" i="3"/>
  <c r="J8" i="2"/>
  <c r="H50" i="2"/>
  <c r="H51" i="2"/>
  <c r="H52" i="2"/>
  <c r="H53" i="2"/>
  <c r="H54" i="2"/>
  <c r="E7" i="2"/>
  <c r="F7" i="2"/>
  <c r="H31" i="2"/>
  <c r="H33" i="2"/>
  <c r="H34" i="2"/>
  <c r="H35" i="2"/>
  <c r="H36" i="2"/>
  <c r="H37" i="2"/>
  <c r="H40" i="2"/>
  <c r="H41" i="2"/>
  <c r="H42" i="2"/>
  <c r="H43" i="2"/>
  <c r="H48" i="2"/>
  <c r="H49" i="2"/>
  <c r="E6" i="2"/>
  <c r="F6" i="2"/>
  <c r="H19" i="2"/>
  <c r="H20" i="2"/>
  <c r="H21" i="2"/>
  <c r="H22" i="2"/>
  <c r="H23" i="2"/>
  <c r="H24" i="2"/>
  <c r="H26" i="2"/>
  <c r="E5" i="2"/>
  <c r="E8" i="2"/>
  <c r="G8" i="2"/>
  <c r="H55" i="2"/>
</calcChain>
</file>

<file path=xl/sharedStrings.xml><?xml version="1.0" encoding="utf-8"?>
<sst xmlns="http://schemas.openxmlformats.org/spreadsheetml/2006/main" count="366" uniqueCount="170">
  <si>
    <t>1. Equipo de traducción simultánea</t>
  </si>
  <si>
    <t xml:space="preserve">Inglaterra </t>
  </si>
  <si>
    <t>Brasil</t>
  </si>
  <si>
    <t>Estados Unidos</t>
  </si>
  <si>
    <t>México</t>
  </si>
  <si>
    <t>República Checa</t>
  </si>
  <si>
    <t>Argentina</t>
  </si>
  <si>
    <t>España</t>
  </si>
  <si>
    <t>Ecuador</t>
  </si>
  <si>
    <t>Chile</t>
  </si>
  <si>
    <t>b)Alojamiento, alimentación y transporte interno:</t>
  </si>
  <si>
    <t>3. Material de Apoyo</t>
  </si>
  <si>
    <t>Entre 50 y 100 libretas</t>
  </si>
  <si>
    <t xml:space="preserve">Entre 50 y 100 esferos </t>
  </si>
  <si>
    <t>Entre 50 y 100 memorias</t>
  </si>
  <si>
    <t>Entre 101 y 200 libretas</t>
  </si>
  <si>
    <t xml:space="preserve">Entre 101 y 200 esferos </t>
  </si>
  <si>
    <t>Entre 101 y 200 memorias</t>
  </si>
  <si>
    <t>Entre 201 y 300 libretas</t>
  </si>
  <si>
    <t xml:space="preserve">Entre 201 y 300 esferos </t>
  </si>
  <si>
    <t>Entre 201 y 300 memorias</t>
  </si>
  <si>
    <t>Entre 301 y 400 libretas</t>
  </si>
  <si>
    <t xml:space="preserve">Entre 301 y 400 esferos </t>
  </si>
  <si>
    <t>Entre 301 y 400 memorias</t>
  </si>
  <si>
    <t>01 pendón</t>
  </si>
  <si>
    <t xml:space="preserve">1 – 500 brochures </t>
  </si>
  <si>
    <t>501 – 1000 brochures</t>
  </si>
  <si>
    <t>Más de 1000 brochueres</t>
  </si>
  <si>
    <t xml:space="preserve">5.Refrigerios opción 1 </t>
  </si>
  <si>
    <t>Refrigerios opción 2</t>
  </si>
  <si>
    <t>VALOR ANTES DE IMPUESTO</t>
  </si>
  <si>
    <t>IMPUESTO</t>
  </si>
  <si>
    <t>TOTAL</t>
  </si>
  <si>
    <t>VALOR TOTAL</t>
  </si>
  <si>
    <t>SERVICIO LOGÍSTICO</t>
  </si>
  <si>
    <t>DETALLE SEGÚN ANEXO TÉCNICO</t>
  </si>
  <si>
    <t>4. Divulgación y promoción</t>
  </si>
  <si>
    <t>01. - 25 refrigerios</t>
  </si>
  <si>
    <t>26-50 refrigerios</t>
  </si>
  <si>
    <t>51-75 refrigerios</t>
  </si>
  <si>
    <t>75-100 refrigerios</t>
  </si>
  <si>
    <t>ANEXO VALOR OFERTADO</t>
  </si>
  <si>
    <t>1 horas al día entre 50 y 200 personas</t>
  </si>
  <si>
    <t>1 horas al día entre 201 y 400 personas</t>
  </si>
  <si>
    <t>2 horas al día entre 50 y 200 personas</t>
  </si>
  <si>
    <t>2 horas al día entre  entre 201 y 400 personas</t>
  </si>
  <si>
    <t>3 horas al día entre 50 y 200 personas</t>
  </si>
  <si>
    <t>3 horas al día entre  entre 201 y 400 personas</t>
  </si>
  <si>
    <t>4 horas al día entre 50 y 200 personas</t>
  </si>
  <si>
    <t>4 horas al día  entre  entre 201 y 400 personas</t>
  </si>
  <si>
    <t>Una noche a todo costo en Bogotá</t>
  </si>
  <si>
    <t>Dos noches a todo costo en Bogotá</t>
  </si>
  <si>
    <t>Dos noches, tres días a todo costo en Bogotá</t>
  </si>
  <si>
    <t>Tres noches, cuatro días en Bogotá</t>
  </si>
  <si>
    <t>Cuatro noches, cinco días en Bogotá</t>
  </si>
  <si>
    <t>Seis noches, seis días en Bogotá</t>
  </si>
  <si>
    <t>Una noche, dos días en Puerto Salgar - Cundinamarca</t>
  </si>
  <si>
    <t>Cinco noches, seis días en Puerto Salgar - Cundinamarca</t>
  </si>
  <si>
    <t>Tres noches, cuatro días en Rionegro-Antioquía</t>
  </si>
  <si>
    <t>Cuatro noches, cuatro días en Rionegro-Antioquía</t>
  </si>
  <si>
    <t>2. Expertos temáticos a)Desplazamiento:      Ida y regreso por persona.</t>
  </si>
  <si>
    <t>PAC OCTUBRE</t>
  </si>
  <si>
    <t>PAC DICIEMBRE</t>
  </si>
  <si>
    <t>PAC CXP</t>
  </si>
  <si>
    <t>SERVICIOS HASTA AGOSTO</t>
  </si>
  <si>
    <t>SERVICIOS SEPTIEMBRE-OCTUBRE</t>
  </si>
  <si>
    <t>SERVICIOS NOVIEMBRE-DICIEMBRE</t>
  </si>
  <si>
    <t>EVENTOS</t>
  </si>
  <si>
    <t>REQUERIMIENTOS</t>
  </si>
  <si>
    <t xml:space="preserve">*IV Congreso Internacional De Logística Aeronáutica - MAELA
</t>
  </si>
  <si>
    <t>*Curso de Gestión Logística - MAELA</t>
  </si>
  <si>
    <t xml:space="preserve">*III Seminario Internacional En Seguridad Operacional - MAESO
</t>
  </si>
  <si>
    <t xml:space="preserve">*Conversatorio de egresados-MAESO
</t>
  </si>
  <si>
    <t xml:space="preserve">*Simposio de Estudios Militares Aeronáuticos - MACMA
</t>
  </si>
  <si>
    <t>*Clausura Cursos Operaciones de Paz-MACMA</t>
  </si>
  <si>
    <t>PROGRAMA</t>
  </si>
  <si>
    <t>MES</t>
  </si>
  <si>
    <t>MAELA</t>
  </si>
  <si>
    <t>MAESO</t>
  </si>
  <si>
    <t>MACMA</t>
  </si>
  <si>
    <t>Agosto</t>
  </si>
  <si>
    <t>Septiembre</t>
  </si>
  <si>
    <t>Octubre</t>
  </si>
  <si>
    <t>Clausura Curso de francés</t>
  </si>
  <si>
    <t>Taller de apropiación de la filosofía del modelo educativo e investigativo de la EPFAC</t>
  </si>
  <si>
    <t>TODOS LOS PROGRAMAS</t>
  </si>
  <si>
    <t>Noviembre</t>
  </si>
  <si>
    <t>1 ponente Estados Unidos</t>
  </si>
  <si>
    <t>400 libretas</t>
  </si>
  <si>
    <t>400 esferos</t>
  </si>
  <si>
    <t>400 memorias</t>
  </si>
  <si>
    <t>50 libretas</t>
  </si>
  <si>
    <t>50 esferos</t>
  </si>
  <si>
    <t>50 memorias</t>
  </si>
  <si>
    <t>COSTO</t>
  </si>
  <si>
    <t>PRIMER CORTE</t>
  </si>
  <si>
    <t>TODO INCLUIDO 5 NOCHES 6 DÍAS RIO NEGRO</t>
  </si>
  <si>
    <t>ALOJAMIENTO BOGOT PARA 10 PERSONAS 1 NOCHE IDA PARA RIO NEGRO</t>
  </si>
  <si>
    <t>ALOJAMIENTO BOGOT PARA 10 PERSONAS 1 NOCHE REGRESO DE RÍO NEGRO</t>
  </si>
  <si>
    <t>1 ponente España</t>
  </si>
  <si>
    <t>1 ponente Brasil</t>
  </si>
  <si>
    <t>Hotel tres noches cuatro días</t>
  </si>
  <si>
    <t>Pendón</t>
  </si>
  <si>
    <t>80 LIBRETAS</t>
  </si>
  <si>
    <t>80 ESFEROS</t>
  </si>
  <si>
    <t>80 MEMORIAS</t>
  </si>
  <si>
    <t>BROCHURE 2000</t>
  </si>
  <si>
    <t>1 PONENTE BRASIL</t>
  </si>
  <si>
    <t>3 NOCHES, 4 DÍAS</t>
  </si>
  <si>
    <t>100 LIBRETAS</t>
  </si>
  <si>
    <t>100 ESFEROS</t>
  </si>
  <si>
    <t>100 MEMORIAS</t>
  </si>
  <si>
    <t>PENDON</t>
  </si>
  <si>
    <t>90 REFRIGERIOS</t>
  </si>
  <si>
    <t>30 REFRIGERIOS</t>
  </si>
  <si>
    <t>80 REFRIGERIOS</t>
  </si>
  <si>
    <t>SEGUNDO CORTE</t>
  </si>
  <si>
    <t>TERCER CORTE</t>
  </si>
  <si>
    <t>Curso Operaciones de paz</t>
  </si>
  <si>
    <t>alojamiento bogotá</t>
  </si>
  <si>
    <t>alojamiento puerto salgar</t>
  </si>
  <si>
    <t>BETHEL</t>
  </si>
  <si>
    <t>TEQUENDAMA</t>
  </si>
  <si>
    <t>TÁKTIKOS</t>
  </si>
  <si>
    <t>Equipo traductor simultánea</t>
  </si>
  <si>
    <t>taktiko</t>
  </si>
  <si>
    <t>vuelos</t>
  </si>
  <si>
    <t xml:space="preserve">hotel </t>
  </si>
  <si>
    <t>tequendam</t>
  </si>
  <si>
    <t>bethel</t>
  </si>
  <si>
    <t>tequendama</t>
  </si>
  <si>
    <t>Preguntar los precios de los hoteles</t>
  </si>
  <si>
    <t>preguntar los precios de los brochures</t>
  </si>
  <si>
    <t>VALOR OFERTADO CON ACLARACIONES</t>
  </si>
  <si>
    <t>MEDIA</t>
  </si>
  <si>
    <t>DESVIACIÓN PROMEDIO</t>
  </si>
  <si>
    <t>1 horas al día entre 50 y 200 personas / Variable de selección</t>
  </si>
  <si>
    <t>Inglaterra / variable de selección</t>
  </si>
  <si>
    <t>Brasil / variable de selección</t>
  </si>
  <si>
    <t>Estados Unidos / variable de selección</t>
  </si>
  <si>
    <t>México / variable de selección</t>
  </si>
  <si>
    <t>República Checa / variable de selección</t>
  </si>
  <si>
    <t>Argentina / variable de selección</t>
  </si>
  <si>
    <t>España / variable de selección</t>
  </si>
  <si>
    <t>Ecuador / variable de selección</t>
  </si>
  <si>
    <t>Chile / variable de selección</t>
  </si>
  <si>
    <t>Una noche en Bogotá / variable de selección</t>
  </si>
  <si>
    <t>Dos noches  en Bogotá</t>
  </si>
  <si>
    <t>Tres noches, cuatro días en Rionegro-Antioquía / variable de selección</t>
  </si>
  <si>
    <t>Una noche, dos días en Puerto Salgar - Cundinamarca / variable de selección</t>
  </si>
  <si>
    <t>Entre 50 y 100 libretas / variable de selección</t>
  </si>
  <si>
    <t>Entre 50 y 100 esferos / variable de selección</t>
  </si>
  <si>
    <t>Entre 50 y 100 memorias / variable de selección</t>
  </si>
  <si>
    <t>01 pendón / variable de selección</t>
  </si>
  <si>
    <t>1 – 500 brochures / variable de selección</t>
  </si>
  <si>
    <t>01. - 25 refrigerios / variable de selección</t>
  </si>
  <si>
    <t>Una noche en Bogotá</t>
  </si>
  <si>
    <t>Dos noches en Bogotá</t>
  </si>
  <si>
    <t>Dos noches, tres días en Bogotá</t>
  </si>
  <si>
    <t>2. Expertos temáticos
Alojamiento, alimentación y transporte interno:</t>
  </si>
  <si>
    <t>SUBTOTAL</t>
  </si>
  <si>
    <t>VALOR 
ANTES DE IMPUESTO</t>
  </si>
  <si>
    <t>ANEXO  : ECONOMICO VALOR DE OFERTA</t>
  </si>
  <si>
    <t>PROCESO No 017-00-P-EPFAC-GRUAC-2019</t>
  </si>
  <si>
    <t>VALOR 
TOTAL</t>
  </si>
  <si>
    <t>FIRMA</t>
  </si>
  <si>
    <t>REPRESENTANTE LEGAL</t>
  </si>
  <si>
    <t>Nombre y Apeliidos</t>
  </si>
  <si>
    <t>Empresa  Proponente</t>
  </si>
  <si>
    <t>INDUHOTEL S.A.S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</si>
</sst>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_-&quot;$&quot;\ * #,##0_-;\-&quot;$&quot;\ * #,##0_-;_-&quot;$&quot;\ * &quot;-&quot;_-;_-@_-"/>
    <numFmt numFmtId="165" formatCode="_-* #,##0_-;\-* #,##0_-;_-* &quot;-&quot;_-;_-@_-"/>
    <numFmt numFmtId="166" formatCode="&quot;$&quot;\ #,##0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b/>
      <sz val="11"/>
      <color theme="1"/>
      <name val="Calibri"/>
      <family val="2"/>
      <scheme val="minor"/>
    </font>
    <font>
      <sz val="8"/>
      <color theme="1"/>
      <name val="Arial"/>
      <family val="2"/>
    </font>
    <font>
      <sz val="10"/>
      <color rgb="FFFF0000"/>
      <name val="Arial"/>
      <family val="2"/>
    </font>
    <font>
      <b/>
      <sz val="10"/>
      <name val="Arial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</borders>
  <cellStyleXfs count="19">
    <xf numFmtId="0" fontId="0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</cellStyleXfs>
  <cellXfs count="139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justify" vertical="center" wrapText="1"/>
    </xf>
    <xf numFmtId="0" fontId="2" fillId="0" borderId="4" xfId="0" applyFont="1" applyBorder="1" applyAlignment="1">
      <alignment horizontal="justify" vertical="center" wrapText="1"/>
    </xf>
    <xf numFmtId="0" fontId="2" fillId="0" borderId="5" xfId="0" applyFont="1" applyBorder="1" applyAlignment="1">
      <alignment horizontal="justify" vertical="center" wrapText="1"/>
    </xf>
    <xf numFmtId="165" fontId="2" fillId="0" borderId="3" xfId="1" applyFont="1" applyBorder="1" applyAlignment="1">
      <alignment horizontal="justify" vertical="center" wrapText="1"/>
    </xf>
    <xf numFmtId="165" fontId="2" fillId="0" borderId="4" xfId="1" applyFont="1" applyBorder="1" applyAlignment="1">
      <alignment horizontal="justify" vertical="center" wrapText="1"/>
    </xf>
    <xf numFmtId="165" fontId="2" fillId="0" borderId="5" xfId="1" applyFont="1" applyBorder="1" applyAlignment="1">
      <alignment horizontal="justify" vertical="center" wrapText="1"/>
    </xf>
    <xf numFmtId="0" fontId="2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17" fontId="2" fillId="0" borderId="3" xfId="0" applyNumberFormat="1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5" fillId="0" borderId="0" xfId="0" applyFont="1"/>
    <xf numFmtId="0" fontId="2" fillId="0" borderId="12" xfId="0" applyFont="1" applyBorder="1" applyAlignment="1">
      <alignment horizontal="justify" vertical="center" wrapText="1"/>
    </xf>
    <xf numFmtId="165" fontId="2" fillId="0" borderId="12" xfId="1" applyFont="1" applyBorder="1" applyAlignment="1">
      <alignment horizontal="justify" vertical="center" wrapText="1"/>
    </xf>
    <xf numFmtId="0" fontId="2" fillId="0" borderId="14" xfId="0" applyFont="1" applyBorder="1" applyAlignment="1">
      <alignment horizontal="justify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0" fillId="0" borderId="21" xfId="0" applyBorder="1"/>
    <xf numFmtId="0" fontId="0" fillId="0" borderId="21" xfId="0" applyBorder="1" applyAlignment="1">
      <alignment vertical="center"/>
    </xf>
    <xf numFmtId="0" fontId="6" fillId="0" borderId="21" xfId="0" applyFont="1" applyBorder="1" applyAlignment="1">
      <alignment vertical="center" wrapText="1"/>
    </xf>
    <xf numFmtId="0" fontId="0" fillId="0" borderId="21" xfId="0" applyBorder="1" applyAlignment="1">
      <alignment wrapText="1"/>
    </xf>
    <xf numFmtId="0" fontId="0" fillId="0" borderId="25" xfId="0" applyBorder="1" applyAlignment="1">
      <alignment horizontal="center" vertical="center" wrapText="1"/>
    </xf>
    <xf numFmtId="0" fontId="0" fillId="0" borderId="22" xfId="0" applyBorder="1" applyAlignment="1">
      <alignment vertical="center"/>
    </xf>
    <xf numFmtId="0" fontId="0" fillId="0" borderId="24" xfId="0" applyBorder="1" applyAlignment="1">
      <alignment vertical="center"/>
    </xf>
    <xf numFmtId="165" fontId="0" fillId="0" borderId="0" xfId="1" applyFont="1"/>
    <xf numFmtId="165" fontId="5" fillId="0" borderId="0" xfId="1" applyFont="1"/>
    <xf numFmtId="165" fontId="0" fillId="0" borderId="21" xfId="1" applyFont="1" applyBorder="1"/>
    <xf numFmtId="165" fontId="5" fillId="0" borderId="21" xfId="1" applyFont="1" applyBorder="1"/>
    <xf numFmtId="0" fontId="0" fillId="0" borderId="21" xfId="0" applyFill="1" applyBorder="1"/>
    <xf numFmtId="165" fontId="0" fillId="0" borderId="0" xfId="0" applyNumberFormat="1"/>
    <xf numFmtId="0" fontId="2" fillId="0" borderId="34" xfId="0" applyFont="1" applyBorder="1" applyAlignment="1">
      <alignment horizontal="center" vertical="center" wrapText="1"/>
    </xf>
    <xf numFmtId="165" fontId="2" fillId="0" borderId="33" xfId="1" applyFont="1" applyBorder="1" applyAlignment="1">
      <alignment horizontal="justify" vertical="center" wrapText="1"/>
    </xf>
    <xf numFmtId="165" fontId="2" fillId="0" borderId="7" xfId="1" applyFont="1" applyBorder="1" applyAlignment="1">
      <alignment horizontal="justify" vertical="center" wrapText="1"/>
    </xf>
    <xf numFmtId="165" fontId="2" fillId="0" borderId="20" xfId="1" applyFont="1" applyBorder="1" applyAlignment="1">
      <alignment horizontal="justify" vertical="center" wrapText="1"/>
    </xf>
    <xf numFmtId="165" fontId="2" fillId="0" borderId="8" xfId="1" applyFont="1" applyBorder="1" applyAlignment="1">
      <alignment horizontal="justify" vertical="center" wrapText="1"/>
    </xf>
    <xf numFmtId="165" fontId="2" fillId="0" borderId="3" xfId="1" applyFont="1" applyBorder="1" applyAlignment="1">
      <alignment vertical="center" wrapText="1"/>
    </xf>
    <xf numFmtId="165" fontId="2" fillId="0" borderId="4" xfId="1" applyFont="1" applyBorder="1" applyAlignment="1">
      <alignment vertical="center" wrapText="1"/>
    </xf>
    <xf numFmtId="165" fontId="2" fillId="0" borderId="5" xfId="1" applyFont="1" applyBorder="1" applyAlignment="1">
      <alignment vertical="center" wrapText="1"/>
    </xf>
    <xf numFmtId="165" fontId="2" fillId="0" borderId="3" xfId="1" applyFont="1" applyBorder="1" applyAlignment="1">
      <alignment horizontal="left" vertical="center" wrapText="1"/>
    </xf>
    <xf numFmtId="165" fontId="2" fillId="0" borderId="4" xfId="1" applyFont="1" applyBorder="1" applyAlignment="1">
      <alignment horizontal="left" vertical="center" wrapText="1"/>
    </xf>
    <xf numFmtId="165" fontId="2" fillId="0" borderId="5" xfId="1" applyFont="1" applyBorder="1" applyAlignment="1">
      <alignment horizontal="left" vertical="center" wrapText="1"/>
    </xf>
    <xf numFmtId="0" fontId="2" fillId="0" borderId="9" xfId="0" applyFont="1" applyFill="1" applyBorder="1" applyAlignment="1">
      <alignment vertical="center" wrapText="1"/>
    </xf>
    <xf numFmtId="0" fontId="2" fillId="0" borderId="10" xfId="0" applyFont="1" applyFill="1" applyBorder="1" applyAlignment="1">
      <alignment vertical="center" wrapText="1"/>
    </xf>
    <xf numFmtId="165" fontId="7" fillId="0" borderId="3" xfId="1" applyFont="1" applyBorder="1" applyAlignment="1">
      <alignment vertical="center" wrapText="1"/>
    </xf>
    <xf numFmtId="166" fontId="2" fillId="0" borderId="11" xfId="2" applyNumberFormat="1" applyFont="1" applyBorder="1" applyAlignment="1">
      <alignment horizontal="center" vertical="center" wrapText="1"/>
    </xf>
    <xf numFmtId="166" fontId="2" fillId="0" borderId="11" xfId="0" applyNumberFormat="1" applyFont="1" applyBorder="1" applyAlignment="1">
      <alignment horizontal="center" vertical="center" wrapText="1"/>
    </xf>
    <xf numFmtId="166" fontId="2" fillId="0" borderId="4" xfId="0" applyNumberFormat="1" applyFont="1" applyBorder="1" applyAlignment="1">
      <alignment horizontal="center" vertical="center" wrapText="1"/>
    </xf>
    <xf numFmtId="166" fontId="2" fillId="0" borderId="4" xfId="2" applyNumberFormat="1" applyFont="1" applyBorder="1" applyAlignment="1">
      <alignment horizontal="center" vertical="center" wrapText="1"/>
    </xf>
    <xf numFmtId="166" fontId="2" fillId="0" borderId="5" xfId="2" applyNumberFormat="1" applyFont="1" applyBorder="1" applyAlignment="1">
      <alignment horizontal="center" vertical="center" wrapText="1"/>
    </xf>
    <xf numFmtId="166" fontId="2" fillId="0" borderId="5" xfId="0" applyNumberFormat="1" applyFont="1" applyBorder="1" applyAlignment="1">
      <alignment horizontal="center" vertical="center" wrapText="1"/>
    </xf>
    <xf numFmtId="166" fontId="2" fillId="0" borderId="3" xfId="2" applyNumberFormat="1" applyFont="1" applyBorder="1" applyAlignment="1">
      <alignment horizontal="center" vertical="center" wrapText="1"/>
    </xf>
    <xf numFmtId="166" fontId="2" fillId="0" borderId="3" xfId="0" applyNumberFormat="1" applyFont="1" applyBorder="1" applyAlignment="1">
      <alignment horizontal="center" vertical="center" wrapText="1"/>
    </xf>
    <xf numFmtId="166" fontId="2" fillId="0" borderId="12" xfId="2" applyNumberFormat="1" applyFont="1" applyBorder="1" applyAlignment="1">
      <alignment horizontal="center" vertical="center" wrapText="1"/>
    </xf>
    <xf numFmtId="166" fontId="2" fillId="0" borderId="12" xfId="0" applyNumberFormat="1" applyFont="1" applyBorder="1" applyAlignment="1">
      <alignment horizontal="center" vertical="center" wrapText="1"/>
    </xf>
    <xf numFmtId="166" fontId="2" fillId="0" borderId="19" xfId="2" applyNumberFormat="1" applyFont="1" applyBorder="1" applyAlignment="1">
      <alignment horizontal="center" vertical="center" wrapText="1"/>
    </xf>
    <xf numFmtId="166" fontId="2" fillId="0" borderId="7" xfId="2" applyNumberFormat="1" applyFont="1" applyBorder="1" applyAlignment="1">
      <alignment horizontal="center" vertical="center" wrapText="1"/>
    </xf>
    <xf numFmtId="166" fontId="2" fillId="0" borderId="8" xfId="2" applyNumberFormat="1" applyFont="1" applyBorder="1" applyAlignment="1">
      <alignment horizontal="center" vertical="center" wrapText="1"/>
    </xf>
    <xf numFmtId="166" fontId="2" fillId="0" borderId="6" xfId="2" applyNumberFormat="1" applyFont="1" applyBorder="1" applyAlignment="1">
      <alignment horizontal="center" vertical="center" wrapText="1"/>
    </xf>
    <xf numFmtId="165" fontId="2" fillId="0" borderId="12" xfId="1" applyFont="1" applyBorder="1" applyAlignment="1">
      <alignment horizontal="left" vertical="center" wrapText="1"/>
    </xf>
    <xf numFmtId="165" fontId="2" fillId="0" borderId="35" xfId="0" applyNumberFormat="1" applyFont="1" applyFill="1" applyBorder="1" applyAlignment="1">
      <alignment vertical="center" wrapText="1"/>
    </xf>
    <xf numFmtId="165" fontId="8" fillId="0" borderId="35" xfId="0" applyNumberFormat="1" applyFont="1" applyFill="1" applyBorder="1" applyAlignment="1">
      <alignment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39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2" fillId="0" borderId="0" xfId="0" applyFont="1" applyBorder="1" applyAlignment="1">
      <alignment horizontal="center" vertical="center" wrapText="1"/>
    </xf>
    <xf numFmtId="166" fontId="2" fillId="0" borderId="0" xfId="2" applyNumberFormat="1" applyFont="1" applyBorder="1" applyAlignment="1">
      <alignment horizontal="center" vertical="center" wrapText="1"/>
    </xf>
    <xf numFmtId="165" fontId="8" fillId="0" borderId="0" xfId="0" applyNumberFormat="1" applyFont="1" applyFill="1" applyBorder="1" applyAlignment="1">
      <alignment vertical="center" wrapText="1"/>
    </xf>
    <xf numFmtId="166" fontId="8" fillId="0" borderId="0" xfId="0" applyNumberFormat="1" applyFont="1" applyFill="1" applyBorder="1" applyAlignment="1">
      <alignment vertical="center" wrapText="1"/>
    </xf>
    <xf numFmtId="0" fontId="8" fillId="0" borderId="14" xfId="0" applyFont="1" applyBorder="1" applyAlignment="1">
      <alignment horizontal="justify" vertical="center" wrapText="1"/>
    </xf>
    <xf numFmtId="0" fontId="8" fillId="0" borderId="3" xfId="0" applyFont="1" applyBorder="1" applyAlignment="1">
      <alignment horizontal="justify" vertical="center" wrapText="1"/>
    </xf>
    <xf numFmtId="0" fontId="8" fillId="0" borderId="4" xfId="0" applyFont="1" applyBorder="1" applyAlignment="1">
      <alignment horizontal="justify" vertical="center" wrapText="1"/>
    </xf>
    <xf numFmtId="0" fontId="8" fillId="0" borderId="5" xfId="0" applyFont="1" applyBorder="1" applyAlignment="1">
      <alignment horizontal="justify" vertical="center" wrapText="1"/>
    </xf>
    <xf numFmtId="0" fontId="8" fillId="0" borderId="3" xfId="0" applyFont="1" applyBorder="1" applyAlignment="1">
      <alignment vertical="center" wrapText="1"/>
    </xf>
    <xf numFmtId="0" fontId="8" fillId="0" borderId="12" xfId="0" applyFont="1" applyBorder="1" applyAlignment="1">
      <alignment horizontal="justify" vertical="center" wrapText="1"/>
    </xf>
    <xf numFmtId="0" fontId="8" fillId="0" borderId="4" xfId="0" applyFont="1" applyBorder="1" applyAlignment="1">
      <alignment vertical="center" wrapText="1"/>
    </xf>
    <xf numFmtId="17" fontId="8" fillId="0" borderId="3" xfId="0" applyNumberFormat="1" applyFont="1" applyBorder="1" applyAlignment="1">
      <alignment horizontal="left" vertical="center" wrapText="1"/>
    </xf>
    <xf numFmtId="0" fontId="2" fillId="0" borderId="35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165" fontId="2" fillId="0" borderId="34" xfId="1" applyFont="1" applyBorder="1" applyAlignment="1">
      <alignment horizontal="center" vertical="center" wrapText="1"/>
    </xf>
    <xf numFmtId="0" fontId="11" fillId="0" borderId="0" xfId="0" applyFont="1"/>
    <xf numFmtId="0" fontId="11" fillId="0" borderId="0" xfId="0" applyFont="1" applyAlignment="1"/>
    <xf numFmtId="165" fontId="2" fillId="0" borderId="19" xfId="0" applyNumberFormat="1" applyFont="1" applyBorder="1" applyAlignment="1">
      <alignment horizontal="justify" vertical="center" wrapText="1"/>
    </xf>
    <xf numFmtId="165" fontId="2" fillId="0" borderId="3" xfId="0" applyNumberFormat="1" applyFont="1" applyBorder="1" applyAlignment="1">
      <alignment horizontal="justify" vertical="center" wrapText="1"/>
    </xf>
    <xf numFmtId="165" fontId="0" fillId="0" borderId="1" xfId="0" applyNumberFormat="1" applyBorder="1"/>
    <xf numFmtId="0" fontId="4" fillId="0" borderId="3" xfId="0" applyFont="1" applyBorder="1" applyAlignment="1">
      <alignment horizontal="justify" vertical="center" wrapText="1"/>
    </xf>
    <xf numFmtId="0" fontId="4" fillId="0" borderId="4" xfId="0" applyFont="1" applyBorder="1" applyAlignment="1">
      <alignment horizontal="justify" vertical="center" wrapText="1"/>
    </xf>
    <xf numFmtId="0" fontId="4" fillId="0" borderId="5" xfId="0" applyFont="1" applyBorder="1" applyAlignment="1">
      <alignment horizontal="justify" vertical="center" wrapText="1"/>
    </xf>
    <xf numFmtId="0" fontId="0" fillId="0" borderId="35" xfId="0" applyBorder="1" applyAlignment="1">
      <alignment horizontal="center"/>
    </xf>
    <xf numFmtId="0" fontId="0" fillId="0" borderId="36" xfId="0" applyBorder="1" applyAlignment="1">
      <alignment horizontal="center"/>
    </xf>
    <xf numFmtId="0" fontId="0" fillId="0" borderId="37" xfId="0" applyBorder="1" applyAlignment="1">
      <alignment horizontal="center"/>
    </xf>
    <xf numFmtId="0" fontId="0" fillId="0" borderId="38" xfId="0" applyBorder="1" applyAlignment="1">
      <alignment horizontal="center"/>
    </xf>
    <xf numFmtId="0" fontId="3" fillId="0" borderId="15" xfId="0" applyFont="1" applyBorder="1" applyAlignment="1">
      <alignment horizontal="justify" vertical="center" wrapText="1"/>
    </xf>
    <xf numFmtId="0" fontId="3" fillId="0" borderId="13" xfId="0" applyFont="1" applyBorder="1" applyAlignment="1">
      <alignment horizontal="justify" vertical="center" wrapText="1"/>
    </xf>
    <xf numFmtId="0" fontId="3" fillId="0" borderId="16" xfId="0" applyFont="1" applyBorder="1" applyAlignment="1">
      <alignment horizontal="justify" vertical="center" wrapText="1"/>
    </xf>
    <xf numFmtId="0" fontId="3" fillId="0" borderId="17" xfId="0" applyFont="1" applyBorder="1" applyAlignment="1">
      <alignment horizontal="justify" vertical="center" wrapText="1"/>
    </xf>
    <xf numFmtId="0" fontId="3" fillId="0" borderId="18" xfId="0" applyFont="1" applyBorder="1" applyAlignment="1">
      <alignment horizontal="justify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4" fillId="0" borderId="12" xfId="0" applyFont="1" applyBorder="1" applyAlignment="1">
      <alignment horizontal="justify" vertical="center" wrapText="1"/>
    </xf>
    <xf numFmtId="0" fontId="0" fillId="0" borderId="9" xfId="0" applyBorder="1" applyAlignment="1">
      <alignment horizontal="center"/>
    </xf>
    <xf numFmtId="0" fontId="0" fillId="0" borderId="2" xfId="0" applyBorder="1" applyAlignment="1">
      <alignment horizontal="center"/>
    </xf>
    <xf numFmtId="0" fontId="4" fillId="0" borderId="9" xfId="0" applyFont="1" applyBorder="1" applyAlignment="1">
      <alignment horizontal="right" vertical="center" wrapText="1"/>
    </xf>
    <xf numFmtId="0" fontId="4" fillId="0" borderId="10" xfId="0" applyFont="1" applyBorder="1" applyAlignment="1">
      <alignment horizontal="right" vertical="center" wrapText="1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/>
    </xf>
    <xf numFmtId="0" fontId="0" fillId="0" borderId="28" xfId="0" applyBorder="1" applyAlignment="1">
      <alignment horizontal="center"/>
    </xf>
    <xf numFmtId="0" fontId="0" fillId="0" borderId="0" xfId="0" applyAlignment="1">
      <alignment horizontal="center"/>
    </xf>
    <xf numFmtId="0" fontId="6" fillId="0" borderId="22" xfId="0" applyFont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0" fontId="6" fillId="0" borderId="24" xfId="0" applyFont="1" applyBorder="1" applyAlignment="1">
      <alignment horizontal="center" vertical="center" wrapText="1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1" xfId="0" applyBorder="1" applyAlignment="1">
      <alignment horizontal="center" wrapText="1"/>
    </xf>
    <xf numFmtId="0" fontId="0" fillId="0" borderId="22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0" fillId="0" borderId="28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6" fillId="0" borderId="30" xfId="0" applyFont="1" applyBorder="1" applyAlignment="1">
      <alignment horizontal="center" vertical="center" wrapText="1"/>
    </xf>
    <xf numFmtId="0" fontId="6" fillId="0" borderId="31" xfId="0" applyFont="1" applyBorder="1" applyAlignment="1">
      <alignment horizontal="center" vertical="center" wrapText="1"/>
    </xf>
    <xf numFmtId="0" fontId="6" fillId="0" borderId="32" xfId="0" applyFont="1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</cellXfs>
  <cellStyles count="19">
    <cellStyle name="Hipervínculo" xfId="3" builtinId="8" hidden="1"/>
    <cellStyle name="Hipervínculo" xfId="5" builtinId="8" hidden="1"/>
    <cellStyle name="Hipervínculo" xfId="7" builtinId="8" hidden="1"/>
    <cellStyle name="Hipervínculo" xfId="9" builtinId="8" hidden="1"/>
    <cellStyle name="Hipervínculo" xfId="11" builtinId="8" hidden="1"/>
    <cellStyle name="Hipervínculo" xfId="13" builtinId="8" hidden="1"/>
    <cellStyle name="Hipervínculo" xfId="15" builtinId="8" hidden="1"/>
    <cellStyle name="Hipervínculo" xfId="17" builtinId="8" hidden="1"/>
    <cellStyle name="Hipervínculo visitado" xfId="4" builtinId="9" hidden="1"/>
    <cellStyle name="Hipervínculo visitado" xfId="6" builtinId="9" hidden="1"/>
    <cellStyle name="Hipervínculo visitado" xfId="8" builtinId="9" hidden="1"/>
    <cellStyle name="Hipervínculo visitado" xfId="10" builtinId="9" hidden="1"/>
    <cellStyle name="Hipervínculo visitado" xfId="12" builtinId="9" hidden="1"/>
    <cellStyle name="Hipervínculo visitado" xfId="14" builtinId="9" hidden="1"/>
    <cellStyle name="Hipervínculo visitado" xfId="16" builtinId="9" hidden="1"/>
    <cellStyle name="Hipervínculo visitado" xfId="18" builtinId="9" hidden="1"/>
    <cellStyle name="Millares [0]" xfId="1" builtinId="6"/>
    <cellStyle name="Moneda [0]" xfId="2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56</xdr:row>
      <xdr:rowOff>9525</xdr:rowOff>
    </xdr:from>
    <xdr:to>
      <xdr:col>3</xdr:col>
      <xdr:colOff>1442605</xdr:colOff>
      <xdr:row>59</xdr:row>
      <xdr:rowOff>190327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4000" y="14077950"/>
          <a:ext cx="2909455" cy="75230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U128"/>
  <sheetViews>
    <sheetView topLeftCell="A66" workbookViewId="0">
      <selection activeCell="E72" sqref="E72:E122"/>
    </sheetView>
  </sheetViews>
  <sheetFormatPr baseColWidth="10" defaultRowHeight="15" x14ac:dyDescent="0.25"/>
  <cols>
    <col min="3" max="3" width="22" customWidth="1"/>
    <col min="4" max="4" width="33.85546875" customWidth="1"/>
    <col min="5" max="5" width="17" customWidth="1"/>
    <col min="6" max="6" width="12.42578125" customWidth="1"/>
    <col min="7" max="7" width="19" customWidth="1"/>
    <col min="8" max="8" width="17" customWidth="1"/>
    <col min="9" max="9" width="14.28515625" customWidth="1"/>
    <col min="10" max="10" width="16.42578125" customWidth="1"/>
    <col min="11" max="11" width="15.7109375" customWidth="1"/>
    <col min="12" max="12" width="15.28515625" customWidth="1"/>
    <col min="13" max="16" width="17.28515625" customWidth="1"/>
    <col min="18" max="18" width="12.42578125" bestFit="1" customWidth="1"/>
  </cols>
  <sheetData>
    <row r="1" spans="3:21" x14ac:dyDescent="0.25">
      <c r="K1" s="14" t="s">
        <v>41</v>
      </c>
    </row>
    <row r="2" spans="3:21" ht="15.75" thickBot="1" x14ac:dyDescent="0.3"/>
    <row r="3" spans="3:21" ht="15.75" thickBot="1" x14ac:dyDescent="0.3">
      <c r="C3" s="107"/>
      <c r="D3" s="108"/>
      <c r="E3" s="94" t="s">
        <v>121</v>
      </c>
      <c r="F3" s="95"/>
      <c r="G3" s="96"/>
      <c r="H3" s="94" t="s">
        <v>122</v>
      </c>
      <c r="I3" s="95"/>
      <c r="J3" s="96"/>
      <c r="K3" s="97" t="s">
        <v>123</v>
      </c>
      <c r="L3" s="95"/>
      <c r="M3" s="96"/>
      <c r="N3" s="70"/>
      <c r="O3" s="70"/>
      <c r="P3" s="70"/>
      <c r="S3" t="s">
        <v>124</v>
      </c>
      <c r="U3" t="s">
        <v>125</v>
      </c>
    </row>
    <row r="4" spans="3:21" ht="31.5" customHeight="1" thickBot="1" x14ac:dyDescent="0.3">
      <c r="C4" s="1" t="s">
        <v>34</v>
      </c>
      <c r="D4" s="1" t="s">
        <v>35</v>
      </c>
      <c r="E4" s="35" t="s">
        <v>30</v>
      </c>
      <c r="F4" s="35" t="s">
        <v>31</v>
      </c>
      <c r="G4" s="35" t="s">
        <v>33</v>
      </c>
      <c r="H4" s="35" t="s">
        <v>30</v>
      </c>
      <c r="I4" s="35" t="s">
        <v>31</v>
      </c>
      <c r="J4" s="35" t="s">
        <v>33</v>
      </c>
      <c r="K4" s="35" t="s">
        <v>30</v>
      </c>
      <c r="L4" s="35" t="s">
        <v>31</v>
      </c>
      <c r="M4" s="35" t="s">
        <v>33</v>
      </c>
      <c r="N4" s="71"/>
      <c r="O4" s="71"/>
      <c r="P4" s="71"/>
      <c r="S4" s="66" t="s">
        <v>126</v>
      </c>
      <c r="U4" t="s">
        <v>125</v>
      </c>
    </row>
    <row r="5" spans="3:21" hidden="1" x14ac:dyDescent="0.25">
      <c r="C5" s="98" t="s">
        <v>0</v>
      </c>
      <c r="D5" s="17" t="s">
        <v>42</v>
      </c>
      <c r="E5" s="36">
        <v>2362500</v>
      </c>
      <c r="F5" s="36">
        <v>448875</v>
      </c>
      <c r="G5" s="36">
        <v>2811375</v>
      </c>
      <c r="H5" s="36">
        <v>2350000</v>
      </c>
      <c r="I5" s="36">
        <v>446500</v>
      </c>
      <c r="J5" s="36">
        <f>+H5+I5</f>
        <v>2796500</v>
      </c>
      <c r="K5" s="49">
        <v>350000</v>
      </c>
      <c r="L5" s="50">
        <f>+K5*19%</f>
        <v>66500</v>
      </c>
      <c r="M5" s="49">
        <f>+K5+L5</f>
        <v>416500</v>
      </c>
      <c r="N5" s="72"/>
      <c r="O5" s="72"/>
      <c r="P5" s="72"/>
      <c r="S5" t="s">
        <v>127</v>
      </c>
      <c r="U5" t="s">
        <v>128</v>
      </c>
    </row>
    <row r="6" spans="3:21" ht="25.5" hidden="1" x14ac:dyDescent="0.25">
      <c r="C6" s="99"/>
      <c r="D6" s="3" t="s">
        <v>43</v>
      </c>
      <c r="E6" s="37">
        <v>3937500</v>
      </c>
      <c r="F6" s="37">
        <v>748125</v>
      </c>
      <c r="G6" s="37">
        <v>4685625</v>
      </c>
      <c r="H6" s="37">
        <v>3650000</v>
      </c>
      <c r="I6" s="37">
        <v>693500</v>
      </c>
      <c r="J6" s="37">
        <f>+H6+I6</f>
        <v>4343500</v>
      </c>
      <c r="K6" s="49">
        <v>350000</v>
      </c>
      <c r="L6" s="51">
        <f t="shared" ref="L6:L55" si="0">+K6*19%</f>
        <v>66500</v>
      </c>
      <c r="M6" s="52">
        <f t="shared" ref="M6:M55" si="1">+K6+L6</f>
        <v>416500</v>
      </c>
      <c r="N6" s="72"/>
      <c r="O6" s="72"/>
      <c r="P6" s="72"/>
    </row>
    <row r="7" spans="3:21" hidden="1" x14ac:dyDescent="0.25">
      <c r="C7" s="99"/>
      <c r="D7" s="3" t="s">
        <v>44</v>
      </c>
      <c r="E7" s="37">
        <v>2537500</v>
      </c>
      <c r="F7" s="37">
        <v>482125</v>
      </c>
      <c r="G7" s="37">
        <v>3019625</v>
      </c>
      <c r="H7" s="37">
        <v>2350000</v>
      </c>
      <c r="I7" s="37">
        <v>446500</v>
      </c>
      <c r="J7" s="37">
        <f>+H7+I7</f>
        <v>2796500</v>
      </c>
      <c r="K7" s="52">
        <v>700000</v>
      </c>
      <c r="L7" s="51">
        <f t="shared" si="0"/>
        <v>133000</v>
      </c>
      <c r="M7" s="52">
        <f t="shared" si="1"/>
        <v>833000</v>
      </c>
      <c r="N7" s="72"/>
      <c r="O7" s="72"/>
      <c r="P7" s="72"/>
    </row>
    <row r="8" spans="3:21" ht="25.5" hidden="1" x14ac:dyDescent="0.25">
      <c r="C8" s="100"/>
      <c r="D8" s="3" t="s">
        <v>45</v>
      </c>
      <c r="E8" s="37">
        <v>4112500</v>
      </c>
      <c r="F8" s="37">
        <v>781375</v>
      </c>
      <c r="G8" s="37">
        <v>4893875</v>
      </c>
      <c r="H8" s="37">
        <v>3650000</v>
      </c>
      <c r="I8" s="37">
        <v>693500</v>
      </c>
      <c r="J8" s="37">
        <f t="shared" ref="J8:J11" si="2">+H8+I8</f>
        <v>4343500</v>
      </c>
      <c r="K8" s="52">
        <v>700000</v>
      </c>
      <c r="L8" s="51">
        <f t="shared" si="0"/>
        <v>133000</v>
      </c>
      <c r="M8" s="52">
        <f t="shared" si="1"/>
        <v>833000</v>
      </c>
      <c r="N8" s="72"/>
      <c r="O8" s="72"/>
      <c r="P8" s="72"/>
    </row>
    <row r="9" spans="3:21" hidden="1" x14ac:dyDescent="0.25">
      <c r="C9" s="100"/>
      <c r="D9" s="3" t="s">
        <v>46</v>
      </c>
      <c r="E9" s="37">
        <v>2887500</v>
      </c>
      <c r="F9" s="37">
        <v>548625</v>
      </c>
      <c r="G9" s="37">
        <v>3436125</v>
      </c>
      <c r="H9" s="37">
        <v>3900000</v>
      </c>
      <c r="I9" s="37">
        <v>741000</v>
      </c>
      <c r="J9" s="37">
        <f t="shared" si="2"/>
        <v>4641000</v>
      </c>
      <c r="K9" s="52">
        <v>1050000</v>
      </c>
      <c r="L9" s="51">
        <f t="shared" si="0"/>
        <v>199500</v>
      </c>
      <c r="M9" s="52">
        <f t="shared" si="1"/>
        <v>1249500</v>
      </c>
      <c r="N9" s="72"/>
      <c r="O9" s="72"/>
      <c r="P9" s="72"/>
    </row>
    <row r="10" spans="3:21" ht="25.5" hidden="1" x14ac:dyDescent="0.25">
      <c r="C10" s="100"/>
      <c r="D10" s="3" t="s">
        <v>47</v>
      </c>
      <c r="E10" s="37">
        <v>4462500</v>
      </c>
      <c r="F10" s="37">
        <v>847875</v>
      </c>
      <c r="G10" s="37">
        <v>5310375</v>
      </c>
      <c r="H10" s="37">
        <v>4830000</v>
      </c>
      <c r="I10" s="37">
        <v>917700</v>
      </c>
      <c r="J10" s="37">
        <f t="shared" si="2"/>
        <v>5747700</v>
      </c>
      <c r="K10" s="52">
        <v>1050000</v>
      </c>
      <c r="L10" s="51">
        <f t="shared" si="0"/>
        <v>199500</v>
      </c>
      <c r="M10" s="52">
        <f t="shared" si="1"/>
        <v>1249500</v>
      </c>
      <c r="N10" s="72"/>
      <c r="O10" s="72"/>
      <c r="P10" s="72"/>
    </row>
    <row r="11" spans="3:21" hidden="1" x14ac:dyDescent="0.25">
      <c r="C11" s="101"/>
      <c r="D11" s="3" t="s">
        <v>48</v>
      </c>
      <c r="E11" s="38">
        <v>3062500</v>
      </c>
      <c r="F11" s="38">
        <v>581875</v>
      </c>
      <c r="G11" s="38">
        <v>3644375</v>
      </c>
      <c r="H11" s="38">
        <v>3900000</v>
      </c>
      <c r="I11" s="38">
        <v>741000</v>
      </c>
      <c r="J11" s="37">
        <f t="shared" si="2"/>
        <v>4641000</v>
      </c>
      <c r="K11" s="52">
        <v>1400000</v>
      </c>
      <c r="L11" s="51">
        <f t="shared" si="0"/>
        <v>266000</v>
      </c>
      <c r="M11" s="52">
        <f t="shared" si="1"/>
        <v>1666000</v>
      </c>
      <c r="N11" s="72"/>
      <c r="O11" s="72"/>
      <c r="P11" s="72"/>
    </row>
    <row r="12" spans="3:21" ht="26.25" hidden="1" thickBot="1" x14ac:dyDescent="0.3">
      <c r="C12" s="102"/>
      <c r="D12" s="4" t="s">
        <v>49</v>
      </c>
      <c r="E12" s="39">
        <v>4637500</v>
      </c>
      <c r="F12" s="39">
        <v>881125</v>
      </c>
      <c r="G12" s="39">
        <v>5518625</v>
      </c>
      <c r="H12" s="39">
        <v>4830000</v>
      </c>
      <c r="I12" s="39">
        <v>917700</v>
      </c>
      <c r="J12" s="39">
        <f t="shared" ref="J12:J55" si="3">+H12+I12</f>
        <v>5747700</v>
      </c>
      <c r="K12" s="53">
        <v>1400000</v>
      </c>
      <c r="L12" s="54">
        <f t="shared" si="0"/>
        <v>266000</v>
      </c>
      <c r="M12" s="53">
        <f t="shared" si="1"/>
        <v>1666000</v>
      </c>
      <c r="N12" s="72"/>
      <c r="O12" s="72"/>
      <c r="P12" s="72"/>
    </row>
    <row r="13" spans="3:21" ht="18" customHeight="1" x14ac:dyDescent="0.25">
      <c r="C13" s="103" t="s">
        <v>60</v>
      </c>
      <c r="D13" s="2" t="s">
        <v>1</v>
      </c>
      <c r="E13" s="5">
        <v>5760000</v>
      </c>
      <c r="F13" s="5">
        <v>1094400</v>
      </c>
      <c r="G13" s="5">
        <v>6854400</v>
      </c>
      <c r="H13" s="5">
        <v>8167500</v>
      </c>
      <c r="I13" s="5">
        <v>1551825</v>
      </c>
      <c r="J13" s="5">
        <f t="shared" si="3"/>
        <v>9719325</v>
      </c>
      <c r="K13" s="55">
        <v>4496724</v>
      </c>
      <c r="L13" s="56">
        <f t="shared" si="0"/>
        <v>854377.56</v>
      </c>
      <c r="M13" s="55">
        <f t="shared" si="1"/>
        <v>5351101.5600000005</v>
      </c>
      <c r="N13" s="72"/>
      <c r="O13" s="72"/>
      <c r="P13" s="72"/>
    </row>
    <row r="14" spans="3:21" x14ac:dyDescent="0.25">
      <c r="C14" s="104"/>
      <c r="D14" s="3" t="s">
        <v>2</v>
      </c>
      <c r="E14" s="6">
        <v>3360000</v>
      </c>
      <c r="F14" s="6">
        <v>638400</v>
      </c>
      <c r="G14" s="6">
        <v>3998400</v>
      </c>
      <c r="H14" s="6">
        <v>5161860</v>
      </c>
      <c r="I14" s="6">
        <v>980753</v>
      </c>
      <c r="J14" s="6">
        <f t="shared" si="3"/>
        <v>6142613</v>
      </c>
      <c r="K14" s="52">
        <v>2438820</v>
      </c>
      <c r="L14" s="51">
        <f t="shared" si="0"/>
        <v>463375.8</v>
      </c>
      <c r="M14" s="52">
        <f t="shared" si="1"/>
        <v>2902195.8</v>
      </c>
      <c r="N14" s="72"/>
      <c r="O14" s="72"/>
      <c r="P14" s="72"/>
    </row>
    <row r="15" spans="3:21" x14ac:dyDescent="0.25">
      <c r="C15" s="104"/>
      <c r="D15" s="3" t="s">
        <v>3</v>
      </c>
      <c r="E15" s="6">
        <v>3840000</v>
      </c>
      <c r="F15" s="6">
        <v>729600</v>
      </c>
      <c r="G15" s="6">
        <v>4569600</v>
      </c>
      <c r="H15" s="6">
        <v>3920400</v>
      </c>
      <c r="I15" s="6">
        <v>744876</v>
      </c>
      <c r="J15" s="6">
        <f t="shared" si="3"/>
        <v>4665276</v>
      </c>
      <c r="K15" s="52">
        <v>3546192</v>
      </c>
      <c r="L15" s="51">
        <f t="shared" si="0"/>
        <v>673776.48</v>
      </c>
      <c r="M15" s="52">
        <f t="shared" si="1"/>
        <v>4219968.4800000004</v>
      </c>
      <c r="N15" s="72"/>
      <c r="O15" s="72"/>
      <c r="P15" s="72"/>
    </row>
    <row r="16" spans="3:21" x14ac:dyDescent="0.25">
      <c r="C16" s="104"/>
      <c r="D16" s="3" t="s">
        <v>4</v>
      </c>
      <c r="E16" s="6">
        <v>2080000</v>
      </c>
      <c r="F16" s="6">
        <v>395200</v>
      </c>
      <c r="G16" s="6">
        <v>2475200</v>
      </c>
      <c r="H16" s="6">
        <v>2940300</v>
      </c>
      <c r="I16" s="6">
        <v>558657</v>
      </c>
      <c r="J16" s="6">
        <f t="shared" si="3"/>
        <v>3498957</v>
      </c>
      <c r="K16" s="52">
        <v>2434703</v>
      </c>
      <c r="L16" s="51">
        <f t="shared" si="0"/>
        <v>462593.57</v>
      </c>
      <c r="M16" s="52">
        <f t="shared" si="1"/>
        <v>2897296.57</v>
      </c>
      <c r="N16" s="72"/>
      <c r="O16" s="72"/>
      <c r="P16" s="72"/>
    </row>
    <row r="17" spans="3:19" x14ac:dyDescent="0.25">
      <c r="C17" s="104"/>
      <c r="D17" s="3" t="s">
        <v>5</v>
      </c>
      <c r="E17" s="6">
        <v>5760000</v>
      </c>
      <c r="F17" s="6">
        <v>1094400</v>
      </c>
      <c r="G17" s="6">
        <v>6854400</v>
      </c>
      <c r="H17" s="6">
        <v>10127700</v>
      </c>
      <c r="I17" s="6">
        <v>1924263</v>
      </c>
      <c r="J17" s="6">
        <f t="shared" si="3"/>
        <v>12051963</v>
      </c>
      <c r="K17" s="52">
        <v>7205802</v>
      </c>
      <c r="L17" s="51">
        <f t="shared" si="0"/>
        <v>1369102.3800000001</v>
      </c>
      <c r="M17" s="52">
        <f t="shared" si="1"/>
        <v>8574904.3800000008</v>
      </c>
      <c r="N17" s="72"/>
      <c r="O17" s="72"/>
      <c r="P17" s="72"/>
    </row>
    <row r="18" spans="3:19" x14ac:dyDescent="0.25">
      <c r="C18" s="104"/>
      <c r="D18" s="3" t="s">
        <v>6</v>
      </c>
      <c r="E18" s="6">
        <v>3680000</v>
      </c>
      <c r="F18" s="6">
        <v>699200</v>
      </c>
      <c r="G18" s="6">
        <v>4379200</v>
      </c>
      <c r="H18" s="6">
        <v>5227200</v>
      </c>
      <c r="I18" s="6">
        <v>993168</v>
      </c>
      <c r="J18" s="6">
        <f t="shared" si="3"/>
        <v>6220368</v>
      </c>
      <c r="K18" s="52">
        <v>2511696</v>
      </c>
      <c r="L18" s="51">
        <f t="shared" si="0"/>
        <v>477222.24</v>
      </c>
      <c r="M18" s="52">
        <f t="shared" si="1"/>
        <v>2988918.24</v>
      </c>
      <c r="N18" s="72"/>
      <c r="O18" s="72"/>
      <c r="P18" s="72"/>
    </row>
    <row r="19" spans="3:19" x14ac:dyDescent="0.25">
      <c r="C19" s="104"/>
      <c r="D19" s="3" t="s">
        <v>7</v>
      </c>
      <c r="E19" s="6">
        <v>4160000</v>
      </c>
      <c r="F19" s="6">
        <v>790400</v>
      </c>
      <c r="G19" s="6">
        <v>4950400</v>
      </c>
      <c r="H19" s="6">
        <v>4410450</v>
      </c>
      <c r="I19" s="6">
        <v>837986</v>
      </c>
      <c r="J19" s="6">
        <f t="shared" si="3"/>
        <v>5248436</v>
      </c>
      <c r="K19" s="52">
        <v>3940788</v>
      </c>
      <c r="L19" s="51">
        <f t="shared" si="0"/>
        <v>748749.72</v>
      </c>
      <c r="M19" s="52">
        <f t="shared" si="1"/>
        <v>4689537.72</v>
      </c>
      <c r="N19" s="72"/>
      <c r="O19" s="72"/>
      <c r="P19" s="72"/>
    </row>
    <row r="20" spans="3:19" x14ac:dyDescent="0.25">
      <c r="C20" s="104"/>
      <c r="D20" s="3" t="s">
        <v>8</v>
      </c>
      <c r="E20" s="6">
        <v>3024000</v>
      </c>
      <c r="F20" s="6">
        <v>574560</v>
      </c>
      <c r="G20" s="6">
        <v>3598560</v>
      </c>
      <c r="H20" s="6">
        <v>3920400</v>
      </c>
      <c r="I20" s="6">
        <v>744876</v>
      </c>
      <c r="J20" s="6">
        <f t="shared" si="3"/>
        <v>4665276</v>
      </c>
      <c r="K20" s="52">
        <v>1724988</v>
      </c>
      <c r="L20" s="51">
        <f t="shared" si="0"/>
        <v>327747.72000000003</v>
      </c>
      <c r="M20" s="52">
        <f t="shared" si="1"/>
        <v>2052735.72</v>
      </c>
      <c r="N20" s="72"/>
      <c r="O20" s="72"/>
      <c r="P20" s="72"/>
    </row>
    <row r="21" spans="3:19" ht="15.75" thickBot="1" x14ac:dyDescent="0.3">
      <c r="C21" s="105"/>
      <c r="D21" s="4" t="s">
        <v>9</v>
      </c>
      <c r="E21" s="7">
        <v>3360000</v>
      </c>
      <c r="F21" s="7">
        <v>638400</v>
      </c>
      <c r="G21" s="7">
        <v>3998400</v>
      </c>
      <c r="H21" s="7">
        <v>4247100</v>
      </c>
      <c r="I21" s="7">
        <v>806949</v>
      </c>
      <c r="J21" s="7">
        <f t="shared" si="3"/>
        <v>5054049</v>
      </c>
      <c r="K21" s="57">
        <v>2242944</v>
      </c>
      <c r="L21" s="58">
        <f t="shared" si="0"/>
        <v>426159.35999999999</v>
      </c>
      <c r="M21" s="57">
        <f t="shared" si="1"/>
        <v>2669103.36</v>
      </c>
      <c r="N21" s="72"/>
      <c r="O21" s="72"/>
      <c r="P21" s="72"/>
    </row>
    <row r="22" spans="3:19" x14ac:dyDescent="0.25">
      <c r="C22" s="91" t="s">
        <v>10</v>
      </c>
      <c r="D22" s="8" t="s">
        <v>50</v>
      </c>
      <c r="E22" s="40">
        <v>260800</v>
      </c>
      <c r="F22" s="40">
        <v>49552</v>
      </c>
      <c r="G22" s="40">
        <v>310352</v>
      </c>
      <c r="H22" s="48">
        <v>330000</v>
      </c>
      <c r="I22" s="40">
        <v>62700</v>
      </c>
      <c r="J22" s="40">
        <f t="shared" si="3"/>
        <v>392700</v>
      </c>
      <c r="K22" s="55">
        <v>621400</v>
      </c>
      <c r="L22" s="56">
        <f t="shared" si="0"/>
        <v>118066</v>
      </c>
      <c r="M22" s="59">
        <f t="shared" si="1"/>
        <v>739466</v>
      </c>
      <c r="N22" s="72"/>
      <c r="O22" s="72"/>
      <c r="P22" s="72"/>
    </row>
    <row r="23" spans="3:19" x14ac:dyDescent="0.25">
      <c r="C23" s="92"/>
      <c r="D23" s="9" t="s">
        <v>51</v>
      </c>
      <c r="E23" s="41">
        <v>505600</v>
      </c>
      <c r="F23" s="41">
        <v>96064</v>
      </c>
      <c r="G23" s="41">
        <v>601664</v>
      </c>
      <c r="H23" s="41">
        <v>580000</v>
      </c>
      <c r="I23" s="41">
        <v>110200</v>
      </c>
      <c r="J23" s="41">
        <f t="shared" si="3"/>
        <v>690200</v>
      </c>
      <c r="K23" s="52">
        <v>1242800</v>
      </c>
      <c r="L23" s="51">
        <f t="shared" si="0"/>
        <v>236132</v>
      </c>
      <c r="M23" s="60">
        <f t="shared" si="1"/>
        <v>1478932</v>
      </c>
      <c r="N23" s="72"/>
      <c r="O23" s="72"/>
      <c r="P23" s="72"/>
    </row>
    <row r="24" spans="3:19" ht="25.5" x14ac:dyDescent="0.25">
      <c r="C24" s="92"/>
      <c r="D24" s="3" t="s">
        <v>52</v>
      </c>
      <c r="E24" s="6">
        <v>582400</v>
      </c>
      <c r="F24" s="6">
        <v>110656</v>
      </c>
      <c r="G24" s="6">
        <v>693056</v>
      </c>
      <c r="H24" s="6">
        <v>700000</v>
      </c>
      <c r="I24" s="6">
        <v>133000</v>
      </c>
      <c r="J24" s="6">
        <f t="shared" si="3"/>
        <v>833000</v>
      </c>
      <c r="K24" s="52">
        <v>1864200</v>
      </c>
      <c r="L24" s="51">
        <f t="shared" si="0"/>
        <v>354198</v>
      </c>
      <c r="M24" s="60">
        <f t="shared" si="1"/>
        <v>2218398</v>
      </c>
      <c r="N24" s="72"/>
      <c r="O24" s="72"/>
      <c r="P24" s="72"/>
    </row>
    <row r="25" spans="3:19" x14ac:dyDescent="0.25">
      <c r="C25" s="92"/>
      <c r="D25" s="3" t="s">
        <v>53</v>
      </c>
      <c r="E25" s="6">
        <v>803200</v>
      </c>
      <c r="F25" s="6">
        <v>152608</v>
      </c>
      <c r="G25" s="6">
        <v>955808</v>
      </c>
      <c r="H25" s="6">
        <v>630000</v>
      </c>
      <c r="I25" s="6">
        <v>119700</v>
      </c>
      <c r="J25" s="6">
        <f t="shared" si="3"/>
        <v>749700</v>
      </c>
      <c r="K25" s="52">
        <v>1275000</v>
      </c>
      <c r="L25" s="51">
        <f t="shared" si="0"/>
        <v>242250</v>
      </c>
      <c r="M25" s="60">
        <f t="shared" si="1"/>
        <v>1517250</v>
      </c>
      <c r="N25" s="72"/>
      <c r="O25" s="72"/>
      <c r="P25" s="72"/>
    </row>
    <row r="26" spans="3:19" x14ac:dyDescent="0.25">
      <c r="C26" s="92"/>
      <c r="D26" s="3" t="s">
        <v>54</v>
      </c>
      <c r="E26" s="6">
        <v>1072000</v>
      </c>
      <c r="F26" s="6">
        <v>203680</v>
      </c>
      <c r="G26" s="6">
        <v>1275680</v>
      </c>
      <c r="H26" s="6">
        <v>840000</v>
      </c>
      <c r="I26" s="6">
        <v>159600</v>
      </c>
      <c r="J26" s="6">
        <f t="shared" si="3"/>
        <v>999600</v>
      </c>
      <c r="K26" s="52">
        <v>1700000</v>
      </c>
      <c r="L26" s="51">
        <f t="shared" si="0"/>
        <v>323000</v>
      </c>
      <c r="M26" s="60">
        <f t="shared" si="1"/>
        <v>2023000</v>
      </c>
      <c r="N26" s="72"/>
      <c r="O26" s="72"/>
      <c r="P26" s="72"/>
    </row>
    <row r="27" spans="3:19" x14ac:dyDescent="0.25">
      <c r="C27" s="106"/>
      <c r="D27" s="15" t="s">
        <v>55</v>
      </c>
      <c r="E27" s="16">
        <v>1548800</v>
      </c>
      <c r="F27" s="16">
        <v>294272</v>
      </c>
      <c r="G27" s="16">
        <v>1843072</v>
      </c>
      <c r="H27" s="16">
        <v>1260000</v>
      </c>
      <c r="I27" s="16">
        <v>239400</v>
      </c>
      <c r="J27" s="16">
        <f t="shared" si="3"/>
        <v>1499400</v>
      </c>
      <c r="K27" s="52">
        <v>2550000</v>
      </c>
      <c r="L27" s="51">
        <f t="shared" si="0"/>
        <v>484500</v>
      </c>
      <c r="M27" s="60">
        <f t="shared" si="1"/>
        <v>3034500</v>
      </c>
      <c r="N27" s="72"/>
      <c r="O27" s="72"/>
      <c r="P27" s="72"/>
    </row>
    <row r="28" spans="3:19" ht="25.5" x14ac:dyDescent="0.25">
      <c r="C28" s="106"/>
      <c r="D28" s="15" t="s">
        <v>58</v>
      </c>
      <c r="E28" s="16">
        <v>1088000</v>
      </c>
      <c r="F28" s="16">
        <v>206720</v>
      </c>
      <c r="G28" s="16">
        <v>1294720</v>
      </c>
      <c r="H28" s="16">
        <v>300000</v>
      </c>
      <c r="I28" s="16">
        <v>57000</v>
      </c>
      <c r="J28" s="16">
        <f t="shared" si="3"/>
        <v>357000</v>
      </c>
      <c r="K28" s="52">
        <v>1302114</v>
      </c>
      <c r="L28" s="51">
        <f t="shared" si="0"/>
        <v>247401.66</v>
      </c>
      <c r="M28" s="60">
        <f t="shared" si="1"/>
        <v>1549515.66</v>
      </c>
      <c r="N28" s="72"/>
      <c r="O28" s="72"/>
      <c r="P28" s="72"/>
    </row>
    <row r="29" spans="3:19" ht="25.5" x14ac:dyDescent="0.25">
      <c r="C29" s="106"/>
      <c r="D29" s="15" t="s">
        <v>59</v>
      </c>
      <c r="E29" s="16">
        <v>1292800</v>
      </c>
      <c r="F29" s="16">
        <v>245632</v>
      </c>
      <c r="G29" s="16">
        <v>1538432</v>
      </c>
      <c r="H29" s="16">
        <v>400000</v>
      </c>
      <c r="I29" s="16">
        <v>76000</v>
      </c>
      <c r="J29" s="16">
        <f t="shared" si="3"/>
        <v>476000</v>
      </c>
      <c r="K29" s="52">
        <v>1736152</v>
      </c>
      <c r="L29" s="51">
        <f t="shared" si="0"/>
        <v>329868.88</v>
      </c>
      <c r="M29" s="60">
        <f t="shared" si="1"/>
        <v>2066020.88</v>
      </c>
      <c r="N29" s="72"/>
      <c r="O29" s="72"/>
      <c r="P29" s="72"/>
    </row>
    <row r="30" spans="3:19" ht="25.5" x14ac:dyDescent="0.25">
      <c r="C30" s="106"/>
      <c r="D30" s="15" t="s">
        <v>56</v>
      </c>
      <c r="E30" s="16">
        <v>368000</v>
      </c>
      <c r="F30" s="16">
        <v>69920</v>
      </c>
      <c r="G30" s="16">
        <v>437920</v>
      </c>
      <c r="H30" s="16">
        <v>178000</v>
      </c>
      <c r="I30" s="16">
        <v>33820</v>
      </c>
      <c r="J30" s="16">
        <f t="shared" si="3"/>
        <v>211820</v>
      </c>
      <c r="K30" s="52">
        <v>418000</v>
      </c>
      <c r="L30" s="51">
        <f t="shared" si="0"/>
        <v>79420</v>
      </c>
      <c r="M30" s="60">
        <f t="shared" si="1"/>
        <v>497420</v>
      </c>
      <c r="N30" s="72"/>
      <c r="O30" s="72"/>
      <c r="P30" s="72"/>
    </row>
    <row r="31" spans="3:19" ht="26.25" thickBot="1" x14ac:dyDescent="0.3">
      <c r="C31" s="93"/>
      <c r="D31" s="4" t="s">
        <v>57</v>
      </c>
      <c r="E31" s="7">
        <v>1392000</v>
      </c>
      <c r="F31" s="7">
        <v>264480</v>
      </c>
      <c r="G31" s="7">
        <v>1656480</v>
      </c>
      <c r="H31" s="7">
        <v>890000</v>
      </c>
      <c r="I31" s="7">
        <v>169100</v>
      </c>
      <c r="J31" s="7">
        <f t="shared" si="3"/>
        <v>1059100</v>
      </c>
      <c r="K31" s="53">
        <v>1440000</v>
      </c>
      <c r="L31" s="54">
        <f t="shared" si="0"/>
        <v>273600</v>
      </c>
      <c r="M31" s="61">
        <f t="shared" si="1"/>
        <v>1713600</v>
      </c>
      <c r="N31" s="72"/>
      <c r="O31" s="72"/>
      <c r="P31" s="72"/>
      <c r="R31" t="s">
        <v>129</v>
      </c>
      <c r="S31" t="s">
        <v>130</v>
      </c>
    </row>
    <row r="32" spans="3:19" x14ac:dyDescent="0.25">
      <c r="C32" s="91" t="s">
        <v>11</v>
      </c>
      <c r="D32" s="8" t="s">
        <v>12</v>
      </c>
      <c r="E32" s="40">
        <v>3110.4</v>
      </c>
      <c r="F32" s="40">
        <v>590.976</v>
      </c>
      <c r="G32" s="40">
        <v>3701.3760000000002</v>
      </c>
      <c r="H32" s="40">
        <v>9500</v>
      </c>
      <c r="I32" s="40">
        <v>1805</v>
      </c>
      <c r="J32" s="40">
        <f t="shared" si="3"/>
        <v>11305</v>
      </c>
      <c r="K32" s="55">
        <v>403200</v>
      </c>
      <c r="L32" s="56">
        <f t="shared" si="0"/>
        <v>76608</v>
      </c>
      <c r="M32" s="62">
        <f t="shared" si="1"/>
        <v>479808</v>
      </c>
      <c r="N32" s="72"/>
      <c r="O32" s="72"/>
      <c r="P32" s="72"/>
      <c r="R32" s="29">
        <f>+G32*100</f>
        <v>370137.60000000003</v>
      </c>
      <c r="S32" s="29">
        <f>+J32*100</f>
        <v>1130500</v>
      </c>
    </row>
    <row r="33" spans="3:19" x14ac:dyDescent="0.25">
      <c r="C33" s="92"/>
      <c r="D33" s="9" t="s">
        <v>13</v>
      </c>
      <c r="E33" s="41">
        <v>2432</v>
      </c>
      <c r="F33" s="41">
        <v>462.08</v>
      </c>
      <c r="G33" s="41">
        <v>2894.08</v>
      </c>
      <c r="H33" s="41">
        <v>2400</v>
      </c>
      <c r="I33" s="41">
        <v>456</v>
      </c>
      <c r="J33" s="41">
        <f t="shared" si="3"/>
        <v>2856</v>
      </c>
      <c r="K33" s="52">
        <v>227808</v>
      </c>
      <c r="L33" s="51">
        <f t="shared" si="0"/>
        <v>43283.520000000004</v>
      </c>
      <c r="M33" s="60">
        <f t="shared" si="1"/>
        <v>271091.52</v>
      </c>
      <c r="N33" s="72"/>
      <c r="O33" s="72"/>
      <c r="P33" s="72"/>
      <c r="R33" s="29">
        <f>+G33*100</f>
        <v>289408</v>
      </c>
      <c r="S33" s="29">
        <f>+J33*100</f>
        <v>285600</v>
      </c>
    </row>
    <row r="34" spans="3:19" x14ac:dyDescent="0.25">
      <c r="C34" s="92"/>
      <c r="D34" s="9" t="s">
        <v>14</v>
      </c>
      <c r="E34" s="41">
        <v>26880</v>
      </c>
      <c r="F34" s="41">
        <v>5107.2</v>
      </c>
      <c r="G34" s="41">
        <v>31987.200000000001</v>
      </c>
      <c r="H34" s="41">
        <v>20450</v>
      </c>
      <c r="I34" s="41">
        <v>3886</v>
      </c>
      <c r="J34" s="41">
        <f t="shared" si="3"/>
        <v>24336</v>
      </c>
      <c r="K34" s="52">
        <v>1572480</v>
      </c>
      <c r="L34" s="51">
        <f t="shared" si="0"/>
        <v>298771.20000000001</v>
      </c>
      <c r="M34" s="60">
        <f t="shared" si="1"/>
        <v>1871251.2</v>
      </c>
      <c r="N34" s="72"/>
      <c r="O34" s="72"/>
      <c r="P34" s="72"/>
      <c r="R34" s="29">
        <f>+G34*100</f>
        <v>3198720</v>
      </c>
      <c r="S34" s="29">
        <f>+G34*100</f>
        <v>3198720</v>
      </c>
    </row>
    <row r="35" spans="3:19" x14ac:dyDescent="0.25">
      <c r="C35" s="92"/>
      <c r="D35" s="9" t="s">
        <v>15</v>
      </c>
      <c r="E35" s="41">
        <v>2816</v>
      </c>
      <c r="F35" s="41">
        <v>535.04</v>
      </c>
      <c r="G35" s="41">
        <v>3351.04</v>
      </c>
      <c r="H35" s="41">
        <v>8500</v>
      </c>
      <c r="I35" s="41">
        <v>1615</v>
      </c>
      <c r="J35" s="41">
        <f t="shared" si="3"/>
        <v>10115</v>
      </c>
      <c r="K35" s="52">
        <v>761600</v>
      </c>
      <c r="L35" s="51">
        <f t="shared" si="0"/>
        <v>144704</v>
      </c>
      <c r="M35" s="60">
        <f t="shared" si="1"/>
        <v>906304</v>
      </c>
      <c r="N35" s="72"/>
      <c r="O35" s="72"/>
      <c r="P35" s="72"/>
      <c r="R35" s="29">
        <f>+G35*200</f>
        <v>670208</v>
      </c>
      <c r="S35" s="29">
        <f t="shared" ref="S35:S43" si="4">+J35*200</f>
        <v>2023000</v>
      </c>
    </row>
    <row r="36" spans="3:19" x14ac:dyDescent="0.25">
      <c r="C36" s="92"/>
      <c r="D36" s="3" t="s">
        <v>16</v>
      </c>
      <c r="E36" s="6">
        <v>2304</v>
      </c>
      <c r="F36" s="6">
        <v>437.76</v>
      </c>
      <c r="G36" s="6">
        <v>2741.76</v>
      </c>
      <c r="H36" s="6">
        <v>1500</v>
      </c>
      <c r="I36" s="6">
        <v>285</v>
      </c>
      <c r="J36" s="6">
        <f t="shared" si="3"/>
        <v>1785</v>
      </c>
      <c r="K36" s="52">
        <v>456960</v>
      </c>
      <c r="L36" s="51">
        <f t="shared" si="0"/>
        <v>86822.399999999994</v>
      </c>
      <c r="M36" s="60">
        <f t="shared" si="1"/>
        <v>543782.40000000002</v>
      </c>
      <c r="N36" s="72"/>
      <c r="O36" s="72"/>
      <c r="P36" s="72"/>
      <c r="R36" s="29">
        <f>+G36*200</f>
        <v>548352</v>
      </c>
      <c r="S36" s="29">
        <f t="shared" si="4"/>
        <v>357000</v>
      </c>
    </row>
    <row r="37" spans="3:19" x14ac:dyDescent="0.25">
      <c r="C37" s="92"/>
      <c r="D37" s="3" t="s">
        <v>17</v>
      </c>
      <c r="E37" s="6">
        <v>25600</v>
      </c>
      <c r="F37" s="6">
        <v>4864</v>
      </c>
      <c r="G37" s="6">
        <v>30464</v>
      </c>
      <c r="H37" s="6">
        <v>19700</v>
      </c>
      <c r="I37" s="6">
        <v>3743</v>
      </c>
      <c r="J37" s="6">
        <f t="shared" si="3"/>
        <v>23443</v>
      </c>
      <c r="K37" s="52">
        <v>3032960</v>
      </c>
      <c r="L37" s="51">
        <f t="shared" si="0"/>
        <v>576262.40000000002</v>
      </c>
      <c r="M37" s="60">
        <f t="shared" si="1"/>
        <v>3609222.4</v>
      </c>
      <c r="N37" s="72"/>
      <c r="O37" s="72"/>
      <c r="P37" s="72"/>
      <c r="R37" s="29">
        <f>+G37*200</f>
        <v>6092800</v>
      </c>
      <c r="S37" s="29">
        <f t="shared" si="4"/>
        <v>4688600</v>
      </c>
    </row>
    <row r="38" spans="3:19" x14ac:dyDescent="0.25">
      <c r="C38" s="92"/>
      <c r="D38" s="3" t="s">
        <v>18</v>
      </c>
      <c r="E38" s="6">
        <v>2688</v>
      </c>
      <c r="F38" s="6">
        <v>510.72</v>
      </c>
      <c r="G38" s="6">
        <v>3198.7200000000003</v>
      </c>
      <c r="H38" s="6">
        <v>8350</v>
      </c>
      <c r="I38" s="6">
        <v>1587</v>
      </c>
      <c r="J38" s="6">
        <f t="shared" si="3"/>
        <v>9937</v>
      </c>
      <c r="K38" s="52">
        <v>1075200</v>
      </c>
      <c r="L38" s="51">
        <f t="shared" si="0"/>
        <v>204288</v>
      </c>
      <c r="M38" s="60">
        <f t="shared" si="1"/>
        <v>1279488</v>
      </c>
      <c r="N38" s="72"/>
      <c r="O38" s="72"/>
      <c r="P38" s="72"/>
      <c r="R38" s="29">
        <f>+G38*300</f>
        <v>959616.00000000012</v>
      </c>
      <c r="S38" s="29">
        <f t="shared" si="4"/>
        <v>1987400</v>
      </c>
    </row>
    <row r="39" spans="3:19" x14ac:dyDescent="0.25">
      <c r="C39" s="92"/>
      <c r="D39" s="3" t="s">
        <v>19</v>
      </c>
      <c r="E39" s="6">
        <v>2176</v>
      </c>
      <c r="F39" s="6">
        <v>413.44</v>
      </c>
      <c r="G39" s="6">
        <v>2589.44</v>
      </c>
      <c r="H39" s="6">
        <v>1200</v>
      </c>
      <c r="I39" s="6">
        <v>228</v>
      </c>
      <c r="J39" s="6">
        <f t="shared" si="3"/>
        <v>1428</v>
      </c>
      <c r="K39" s="52">
        <v>658560</v>
      </c>
      <c r="L39" s="51">
        <f t="shared" si="0"/>
        <v>125126.40000000001</v>
      </c>
      <c r="M39" s="60">
        <f t="shared" si="1"/>
        <v>783686.4</v>
      </c>
      <c r="N39" s="72"/>
      <c r="O39" s="72"/>
      <c r="P39" s="72"/>
      <c r="R39" s="29">
        <f>+G39*300</f>
        <v>776832</v>
      </c>
      <c r="S39" s="29">
        <f t="shared" si="4"/>
        <v>285600</v>
      </c>
    </row>
    <row r="40" spans="3:19" x14ac:dyDescent="0.25">
      <c r="C40" s="92"/>
      <c r="D40" s="3" t="s">
        <v>20</v>
      </c>
      <c r="E40" s="6">
        <v>24320</v>
      </c>
      <c r="F40" s="6">
        <v>4620.8</v>
      </c>
      <c r="G40" s="6">
        <v>28940.799999999999</v>
      </c>
      <c r="H40" s="6">
        <v>19250</v>
      </c>
      <c r="I40" s="6">
        <v>3658</v>
      </c>
      <c r="J40" s="6">
        <f t="shared" si="3"/>
        <v>22908</v>
      </c>
      <c r="K40" s="52">
        <v>4536000</v>
      </c>
      <c r="L40" s="51">
        <f t="shared" si="0"/>
        <v>861840</v>
      </c>
      <c r="M40" s="60">
        <f t="shared" si="1"/>
        <v>5397840</v>
      </c>
      <c r="N40" s="72"/>
      <c r="O40" s="72"/>
      <c r="P40" s="72"/>
      <c r="R40" s="29">
        <f>+G40*300</f>
        <v>8682240</v>
      </c>
      <c r="S40" s="29">
        <f t="shared" si="4"/>
        <v>4581600</v>
      </c>
    </row>
    <row r="41" spans="3:19" x14ac:dyDescent="0.25">
      <c r="C41" s="92"/>
      <c r="D41" s="3" t="s">
        <v>21</v>
      </c>
      <c r="E41" s="6">
        <v>2560</v>
      </c>
      <c r="F41" s="6">
        <v>486.4</v>
      </c>
      <c r="G41" s="6">
        <v>3046.4</v>
      </c>
      <c r="H41" s="6">
        <v>8000</v>
      </c>
      <c r="I41" s="6">
        <v>1520</v>
      </c>
      <c r="J41" s="6">
        <f t="shared" si="3"/>
        <v>9520</v>
      </c>
      <c r="K41" s="52">
        <v>1388800</v>
      </c>
      <c r="L41" s="51">
        <f t="shared" si="0"/>
        <v>263872</v>
      </c>
      <c r="M41" s="60">
        <f t="shared" si="1"/>
        <v>1652672</v>
      </c>
      <c r="N41" s="72"/>
      <c r="O41" s="72"/>
      <c r="P41" s="72"/>
      <c r="R41" s="29">
        <f>+G41*400</f>
        <v>1218560</v>
      </c>
      <c r="S41" s="29">
        <f t="shared" si="4"/>
        <v>1904000</v>
      </c>
    </row>
    <row r="42" spans="3:19" x14ac:dyDescent="0.25">
      <c r="C42" s="92"/>
      <c r="D42" s="3" t="s">
        <v>22</v>
      </c>
      <c r="E42" s="6">
        <v>2048</v>
      </c>
      <c r="F42" s="6">
        <v>389.12</v>
      </c>
      <c r="G42" s="6">
        <v>2437.12</v>
      </c>
      <c r="H42" s="6">
        <v>1100</v>
      </c>
      <c r="I42" s="6">
        <v>209</v>
      </c>
      <c r="J42" s="6">
        <f t="shared" si="3"/>
        <v>1309</v>
      </c>
      <c r="K42" s="52">
        <v>869120</v>
      </c>
      <c r="L42" s="51">
        <f t="shared" si="0"/>
        <v>165132.79999999999</v>
      </c>
      <c r="M42" s="60">
        <f t="shared" si="1"/>
        <v>1034252.8</v>
      </c>
      <c r="N42" s="72"/>
      <c r="O42" s="72"/>
      <c r="P42" s="72"/>
      <c r="R42" s="29">
        <f>+G42*400</f>
        <v>974848</v>
      </c>
      <c r="S42" s="29">
        <f t="shared" si="4"/>
        <v>261800</v>
      </c>
    </row>
    <row r="43" spans="3:19" ht="15.75" thickBot="1" x14ac:dyDescent="0.3">
      <c r="C43" s="93"/>
      <c r="D43" s="4" t="s">
        <v>23</v>
      </c>
      <c r="E43" s="7">
        <v>23040</v>
      </c>
      <c r="F43" s="7">
        <v>4377.6000000000004</v>
      </c>
      <c r="G43" s="7">
        <v>27417.599999999999</v>
      </c>
      <c r="H43" s="7">
        <v>18900</v>
      </c>
      <c r="I43" s="7">
        <v>3591</v>
      </c>
      <c r="J43" s="7">
        <f t="shared" si="3"/>
        <v>22491</v>
      </c>
      <c r="K43" s="53">
        <v>5958400</v>
      </c>
      <c r="L43" s="54">
        <f t="shared" si="0"/>
        <v>1132096</v>
      </c>
      <c r="M43" s="61">
        <f t="shared" si="1"/>
        <v>7090496</v>
      </c>
      <c r="N43" s="72"/>
      <c r="O43" s="72"/>
      <c r="P43" s="72"/>
      <c r="R43" s="29">
        <f>+G43*400</f>
        <v>10967040</v>
      </c>
      <c r="S43" s="29">
        <f t="shared" si="4"/>
        <v>4498200</v>
      </c>
    </row>
    <row r="44" spans="3:19" x14ac:dyDescent="0.25">
      <c r="C44" s="91" t="s">
        <v>36</v>
      </c>
      <c r="D44" s="8" t="s">
        <v>24</v>
      </c>
      <c r="E44" s="40">
        <v>585000</v>
      </c>
      <c r="F44" s="40">
        <v>111150</v>
      </c>
      <c r="G44" s="40">
        <v>696150</v>
      </c>
      <c r="H44" s="40">
        <v>210000</v>
      </c>
      <c r="I44" s="40">
        <v>39900</v>
      </c>
      <c r="J44" s="40">
        <f t="shared" si="3"/>
        <v>249900</v>
      </c>
      <c r="K44" s="55">
        <v>220000</v>
      </c>
      <c r="L44" s="56">
        <f t="shared" si="0"/>
        <v>41800</v>
      </c>
      <c r="M44" s="55">
        <f t="shared" si="1"/>
        <v>261800</v>
      </c>
      <c r="N44" s="72"/>
      <c r="O44" s="72"/>
      <c r="P44" s="72"/>
    </row>
    <row r="45" spans="3:19" x14ac:dyDescent="0.25">
      <c r="C45" s="92"/>
      <c r="D45" s="9" t="s">
        <v>25</v>
      </c>
      <c r="E45" s="41">
        <v>33000</v>
      </c>
      <c r="F45" s="41">
        <v>6270</v>
      </c>
      <c r="G45" s="41">
        <v>39270</v>
      </c>
      <c r="H45" s="41">
        <v>210000</v>
      </c>
      <c r="I45" s="41">
        <v>39900</v>
      </c>
      <c r="J45" s="41">
        <f t="shared" si="3"/>
        <v>249900</v>
      </c>
      <c r="K45" s="52">
        <v>3584000</v>
      </c>
      <c r="L45" s="51">
        <f t="shared" si="0"/>
        <v>680960</v>
      </c>
      <c r="M45" s="52">
        <f t="shared" si="1"/>
        <v>4264960</v>
      </c>
      <c r="N45" s="72"/>
      <c r="O45" s="72"/>
      <c r="P45" s="72"/>
      <c r="R45" s="29">
        <f>+G45*500</f>
        <v>19635000</v>
      </c>
    </row>
    <row r="46" spans="3:19" x14ac:dyDescent="0.25">
      <c r="C46" s="92"/>
      <c r="D46" s="9" t="s">
        <v>26</v>
      </c>
      <c r="E46" s="41">
        <v>30000</v>
      </c>
      <c r="F46" s="41">
        <v>5700</v>
      </c>
      <c r="G46" s="41">
        <v>35700</v>
      </c>
      <c r="H46" s="41">
        <v>210000</v>
      </c>
      <c r="I46" s="41">
        <v>39900</v>
      </c>
      <c r="J46" s="41">
        <f t="shared" si="3"/>
        <v>249900</v>
      </c>
      <c r="K46" s="52">
        <v>6944000</v>
      </c>
      <c r="L46" s="51">
        <f t="shared" si="0"/>
        <v>1319360</v>
      </c>
      <c r="M46" s="52">
        <f t="shared" si="1"/>
        <v>8263360</v>
      </c>
      <c r="N46" s="72"/>
      <c r="O46" s="72"/>
      <c r="P46" s="72"/>
      <c r="R46" s="29">
        <f>+G46*1000</f>
        <v>35700000</v>
      </c>
    </row>
    <row r="47" spans="3:19" ht="15.75" thickBot="1" x14ac:dyDescent="0.3">
      <c r="C47" s="93"/>
      <c r="D47" s="10" t="s">
        <v>27</v>
      </c>
      <c r="E47" s="42">
        <v>28500</v>
      </c>
      <c r="F47" s="42">
        <v>5415</v>
      </c>
      <c r="G47" s="42">
        <v>33915</v>
      </c>
      <c r="H47" s="42">
        <v>210000</v>
      </c>
      <c r="I47" s="42">
        <v>39000</v>
      </c>
      <c r="J47" s="42">
        <f t="shared" si="3"/>
        <v>249000</v>
      </c>
      <c r="K47" s="53">
        <v>6608000</v>
      </c>
      <c r="L47" s="54">
        <f t="shared" si="0"/>
        <v>1255520</v>
      </c>
      <c r="M47" s="53">
        <f t="shared" si="1"/>
        <v>7863520</v>
      </c>
      <c r="N47" s="72"/>
      <c r="O47" s="72"/>
      <c r="P47" s="72"/>
      <c r="R47" s="29">
        <f>+G47*1000</f>
        <v>33915000</v>
      </c>
    </row>
    <row r="48" spans="3:19" x14ac:dyDescent="0.25">
      <c r="C48" s="91" t="s">
        <v>28</v>
      </c>
      <c r="D48" s="11" t="s">
        <v>37</v>
      </c>
      <c r="E48" s="43">
        <v>15400</v>
      </c>
      <c r="F48" s="43">
        <v>2926</v>
      </c>
      <c r="G48" s="43">
        <v>18326</v>
      </c>
      <c r="H48" s="43">
        <v>11500</v>
      </c>
      <c r="I48" s="43">
        <v>2185</v>
      </c>
      <c r="J48" s="43">
        <f t="shared" si="3"/>
        <v>13685</v>
      </c>
      <c r="K48" s="55">
        <v>238000</v>
      </c>
      <c r="L48" s="56">
        <f t="shared" si="0"/>
        <v>45220</v>
      </c>
      <c r="M48" s="55">
        <f t="shared" si="1"/>
        <v>283220</v>
      </c>
      <c r="N48" s="72"/>
      <c r="O48" s="72"/>
      <c r="P48" s="72"/>
    </row>
    <row r="49" spans="3:18" x14ac:dyDescent="0.25">
      <c r="C49" s="92"/>
      <c r="D49" s="18" t="s">
        <v>38</v>
      </c>
      <c r="E49" s="44">
        <v>14700</v>
      </c>
      <c r="F49" s="44">
        <v>2793</v>
      </c>
      <c r="G49" s="44">
        <v>17493</v>
      </c>
      <c r="H49" s="44">
        <v>11500</v>
      </c>
      <c r="I49" s="44">
        <v>2185</v>
      </c>
      <c r="J49" s="44">
        <f t="shared" si="3"/>
        <v>13685</v>
      </c>
      <c r="K49" s="52">
        <v>464800</v>
      </c>
      <c r="L49" s="51">
        <f t="shared" si="0"/>
        <v>88312</v>
      </c>
      <c r="M49" s="52">
        <f t="shared" si="1"/>
        <v>553112</v>
      </c>
      <c r="N49" s="72"/>
      <c r="O49" s="72"/>
      <c r="P49" s="72"/>
    </row>
    <row r="50" spans="3:18" x14ac:dyDescent="0.25">
      <c r="C50" s="92"/>
      <c r="D50" s="18" t="s">
        <v>39</v>
      </c>
      <c r="E50" s="44">
        <v>14000</v>
      </c>
      <c r="F50" s="44">
        <v>2660</v>
      </c>
      <c r="G50" s="44">
        <v>16660</v>
      </c>
      <c r="H50" s="44">
        <v>11500</v>
      </c>
      <c r="I50" s="44">
        <v>2185</v>
      </c>
      <c r="J50" s="44">
        <f t="shared" si="3"/>
        <v>13685</v>
      </c>
      <c r="K50" s="52">
        <v>688800</v>
      </c>
      <c r="L50" s="51">
        <f t="shared" si="0"/>
        <v>130872</v>
      </c>
      <c r="M50" s="52">
        <f t="shared" si="1"/>
        <v>819672</v>
      </c>
      <c r="N50" s="72"/>
      <c r="O50" s="72"/>
      <c r="P50" s="72"/>
    </row>
    <row r="51" spans="3:18" ht="15.75" thickBot="1" x14ac:dyDescent="0.3">
      <c r="C51" s="93"/>
      <c r="D51" s="19" t="s">
        <v>40</v>
      </c>
      <c r="E51" s="45">
        <v>13300</v>
      </c>
      <c r="F51" s="45">
        <v>2527</v>
      </c>
      <c r="G51" s="45">
        <v>15827</v>
      </c>
      <c r="H51" s="45">
        <v>11500</v>
      </c>
      <c r="I51" s="45">
        <v>2185</v>
      </c>
      <c r="J51" s="45">
        <f t="shared" si="3"/>
        <v>13685</v>
      </c>
      <c r="K51" s="53">
        <v>907200</v>
      </c>
      <c r="L51" s="54">
        <f t="shared" si="0"/>
        <v>172368</v>
      </c>
      <c r="M51" s="53">
        <f t="shared" si="1"/>
        <v>1079568</v>
      </c>
      <c r="N51" s="72"/>
      <c r="O51" s="72"/>
      <c r="P51" s="72"/>
    </row>
    <row r="52" spans="3:18" x14ac:dyDescent="0.25">
      <c r="C52" s="91" t="s">
        <v>29</v>
      </c>
      <c r="D52" s="11" t="s">
        <v>37</v>
      </c>
      <c r="E52" s="43">
        <v>11480</v>
      </c>
      <c r="F52" s="43">
        <v>2181.1999999999998</v>
      </c>
      <c r="G52" s="43">
        <v>13661.2</v>
      </c>
      <c r="H52" s="43">
        <v>6500</v>
      </c>
      <c r="I52" s="43">
        <v>1235</v>
      </c>
      <c r="J52" s="43">
        <f t="shared" si="3"/>
        <v>7735</v>
      </c>
      <c r="K52" s="55">
        <v>308000</v>
      </c>
      <c r="L52" s="56">
        <f t="shared" si="0"/>
        <v>58520</v>
      </c>
      <c r="M52" s="55">
        <f t="shared" si="1"/>
        <v>366520</v>
      </c>
      <c r="N52" s="72"/>
      <c r="O52" s="72"/>
      <c r="P52" s="72"/>
    </row>
    <row r="53" spans="3:18" x14ac:dyDescent="0.25">
      <c r="C53" s="92"/>
      <c r="D53" s="18" t="s">
        <v>38</v>
      </c>
      <c r="E53" s="44">
        <v>10920</v>
      </c>
      <c r="F53" s="44">
        <v>2074.8000000000002</v>
      </c>
      <c r="G53" s="44">
        <v>12994.8</v>
      </c>
      <c r="H53" s="44">
        <v>6300</v>
      </c>
      <c r="I53" s="44">
        <v>1197</v>
      </c>
      <c r="J53" s="44">
        <f t="shared" si="3"/>
        <v>7497</v>
      </c>
      <c r="K53" s="52">
        <v>588000</v>
      </c>
      <c r="L53" s="51">
        <f t="shared" si="0"/>
        <v>111720</v>
      </c>
      <c r="M53" s="52">
        <f t="shared" si="1"/>
        <v>699720</v>
      </c>
      <c r="N53" s="72"/>
      <c r="O53" s="72"/>
      <c r="P53" s="72"/>
    </row>
    <row r="54" spans="3:18" x14ac:dyDescent="0.25">
      <c r="C54" s="92"/>
      <c r="D54" s="18" t="s">
        <v>39</v>
      </c>
      <c r="E54" s="44">
        <v>10500</v>
      </c>
      <c r="F54" s="44">
        <v>1995</v>
      </c>
      <c r="G54" s="44">
        <v>12495</v>
      </c>
      <c r="H54" s="44">
        <v>6200</v>
      </c>
      <c r="I54" s="44">
        <v>1178</v>
      </c>
      <c r="J54" s="44">
        <f t="shared" si="3"/>
        <v>7378</v>
      </c>
      <c r="K54" s="52">
        <v>840000</v>
      </c>
      <c r="L54" s="51">
        <f t="shared" si="0"/>
        <v>159600</v>
      </c>
      <c r="M54" s="52">
        <f t="shared" si="1"/>
        <v>999600</v>
      </c>
      <c r="N54" s="72"/>
      <c r="O54" s="72"/>
      <c r="P54" s="72"/>
    </row>
    <row r="55" spans="3:18" ht="15.75" thickBot="1" x14ac:dyDescent="0.3">
      <c r="C55" s="93"/>
      <c r="D55" s="19" t="s">
        <v>40</v>
      </c>
      <c r="E55" s="63">
        <v>10220</v>
      </c>
      <c r="F55" s="63">
        <v>1941.8</v>
      </c>
      <c r="G55" s="63">
        <v>12161.8</v>
      </c>
      <c r="H55" s="45">
        <v>6000</v>
      </c>
      <c r="I55" s="45">
        <v>1140</v>
      </c>
      <c r="J55" s="45">
        <f t="shared" si="3"/>
        <v>7140</v>
      </c>
      <c r="K55" s="53">
        <v>1064000</v>
      </c>
      <c r="L55" s="54">
        <f t="shared" si="0"/>
        <v>202160</v>
      </c>
      <c r="M55" s="53">
        <f t="shared" si="1"/>
        <v>1266160</v>
      </c>
      <c r="N55" s="72"/>
      <c r="O55" s="72"/>
      <c r="P55" s="72"/>
    </row>
    <row r="56" spans="3:18" ht="15.75" thickBot="1" x14ac:dyDescent="0.3">
      <c r="C56" s="46" t="s">
        <v>32</v>
      </c>
      <c r="D56" s="47"/>
      <c r="E56" s="64">
        <f>SUM(E5:E55)</f>
        <v>72834594.400000006</v>
      </c>
      <c r="F56" s="64">
        <f t="shared" ref="F56:G56" si="5">SUM(F5:F55)</f>
        <v>13838572.935999999</v>
      </c>
      <c r="G56" s="65">
        <f t="shared" si="5"/>
        <v>86673167.33600001</v>
      </c>
      <c r="H56" s="64">
        <f t="shared" ref="H56" si="6">SUM(H5:H55)</f>
        <v>84720760</v>
      </c>
      <c r="I56" s="64">
        <f t="shared" ref="I56" si="7">SUM(I5:I55)</f>
        <v>16096046</v>
      </c>
      <c r="J56" s="65">
        <f t="shared" ref="J56" si="8">SUM(J5:J55)</f>
        <v>100816806</v>
      </c>
      <c r="K56" s="64">
        <f t="shared" ref="K56" si="9">SUM(K5:K55)</f>
        <v>95088211</v>
      </c>
      <c r="L56" s="64">
        <f t="shared" ref="L56" si="10">SUM(L5:L55)</f>
        <v>18066760.090000004</v>
      </c>
      <c r="M56" s="65">
        <f t="shared" ref="M56" si="11">SUM(M5:M55)</f>
        <v>113154971.09</v>
      </c>
      <c r="N56" s="73"/>
      <c r="O56" s="73"/>
      <c r="P56" s="73"/>
      <c r="R56" s="34">
        <f>AVERAGE(G56:Q56)</f>
        <v>73516674.502285719</v>
      </c>
    </row>
    <row r="57" spans="3:18" x14ac:dyDescent="0.25">
      <c r="H57" s="29"/>
      <c r="I57" s="29"/>
      <c r="J57" s="29"/>
    </row>
    <row r="58" spans="3:18" x14ac:dyDescent="0.25">
      <c r="H58" s="29"/>
      <c r="I58" s="29"/>
      <c r="J58" s="29"/>
    </row>
    <row r="59" spans="3:18" x14ac:dyDescent="0.25">
      <c r="H59" s="29"/>
      <c r="I59" s="29"/>
      <c r="J59" s="29">
        <f>(+G56+J56+M56)/3</f>
        <v>100214981.47533333</v>
      </c>
    </row>
    <row r="60" spans="3:18" x14ac:dyDescent="0.25">
      <c r="H60" s="29"/>
      <c r="I60" s="29"/>
      <c r="J60" s="29"/>
      <c r="M60" s="34">
        <f>AVERAGE(G56:M56)</f>
        <v>73516674.502285719</v>
      </c>
      <c r="N60" s="34"/>
      <c r="O60" s="34"/>
      <c r="P60" s="34"/>
    </row>
    <row r="61" spans="3:18" x14ac:dyDescent="0.25">
      <c r="H61" s="29"/>
      <c r="I61" s="29"/>
      <c r="J61" s="29"/>
    </row>
    <row r="62" spans="3:18" x14ac:dyDescent="0.25">
      <c r="H62" s="29"/>
      <c r="I62" s="29"/>
      <c r="J62" s="29"/>
    </row>
    <row r="63" spans="3:18" x14ac:dyDescent="0.25">
      <c r="H63" s="29"/>
      <c r="I63" s="29"/>
      <c r="J63" s="29"/>
    </row>
    <row r="64" spans="3:18" x14ac:dyDescent="0.25">
      <c r="D64" t="s">
        <v>131</v>
      </c>
      <c r="H64" s="29"/>
      <c r="I64" s="29"/>
      <c r="J64" s="29"/>
    </row>
    <row r="65" spans="3:19" x14ac:dyDescent="0.25">
      <c r="D65" t="s">
        <v>132</v>
      </c>
    </row>
    <row r="67" spans="3:19" x14ac:dyDescent="0.25">
      <c r="F67" t="s">
        <v>133</v>
      </c>
    </row>
    <row r="69" spans="3:19" ht="15.75" thickBot="1" x14ac:dyDescent="0.3"/>
    <row r="70" spans="3:19" ht="15.75" thickBot="1" x14ac:dyDescent="0.3">
      <c r="C70" s="107"/>
      <c r="D70" s="108"/>
      <c r="E70" s="94" t="s">
        <v>121</v>
      </c>
      <c r="F70" s="95"/>
      <c r="G70" s="96"/>
      <c r="H70" s="94" t="s">
        <v>122</v>
      </c>
      <c r="I70" s="95"/>
      <c r="J70" s="96"/>
      <c r="K70" s="97" t="s">
        <v>123</v>
      </c>
      <c r="L70" s="95"/>
      <c r="M70" s="96"/>
      <c r="N70" s="70"/>
      <c r="O70" s="70"/>
      <c r="P70" s="70"/>
    </row>
    <row r="71" spans="3:19" ht="39" thickBot="1" x14ac:dyDescent="0.3">
      <c r="C71" s="1" t="s">
        <v>34</v>
      </c>
      <c r="D71" s="1" t="s">
        <v>35</v>
      </c>
      <c r="E71" s="35" t="s">
        <v>30</v>
      </c>
      <c r="F71" s="35" t="s">
        <v>31</v>
      </c>
      <c r="G71" s="35" t="s">
        <v>33</v>
      </c>
      <c r="H71" s="35" t="s">
        <v>30</v>
      </c>
      <c r="I71" s="35" t="s">
        <v>31</v>
      </c>
      <c r="J71" s="35" t="s">
        <v>33</v>
      </c>
      <c r="K71" s="35" t="s">
        <v>30</v>
      </c>
      <c r="L71" s="35" t="s">
        <v>31</v>
      </c>
      <c r="M71" s="35" t="s">
        <v>33</v>
      </c>
      <c r="N71" s="71"/>
      <c r="O71" s="71"/>
      <c r="P71" s="71"/>
      <c r="R71" s="69" t="s">
        <v>134</v>
      </c>
      <c r="S71" s="69" t="s">
        <v>135</v>
      </c>
    </row>
    <row r="72" spans="3:19" x14ac:dyDescent="0.25">
      <c r="C72" s="98" t="s">
        <v>0</v>
      </c>
      <c r="D72" s="17" t="s">
        <v>42</v>
      </c>
      <c r="E72" s="36">
        <v>2362500</v>
      </c>
      <c r="F72" s="36">
        <v>448875</v>
      </c>
      <c r="G72" s="36">
        <v>2811375</v>
      </c>
      <c r="H72" s="36">
        <v>2350000</v>
      </c>
      <c r="I72" s="36">
        <v>446500</v>
      </c>
      <c r="J72" s="36">
        <f>+H72+I72</f>
        <v>2796500</v>
      </c>
      <c r="K72" s="49">
        <v>350000</v>
      </c>
      <c r="L72" s="50">
        <f>+K72*19%</f>
        <v>66500</v>
      </c>
      <c r="M72" s="49">
        <f>+K72+L72</f>
        <v>416500</v>
      </c>
      <c r="N72" s="72">
        <f>G72</f>
        <v>2811375</v>
      </c>
      <c r="O72" s="72"/>
      <c r="P72" s="72"/>
      <c r="R72" s="34">
        <f>+(G72+J72+M72)/3</f>
        <v>2008125</v>
      </c>
      <c r="S72" s="34">
        <f>_xlfn.STDEV.P(G72,J72,M72)</f>
        <v>1125465.2139967128</v>
      </c>
    </row>
    <row r="73" spans="3:19" ht="25.5" x14ac:dyDescent="0.25">
      <c r="C73" s="99"/>
      <c r="D73" s="3" t="s">
        <v>43</v>
      </c>
      <c r="E73" s="37">
        <v>3937500</v>
      </c>
      <c r="F73" s="37">
        <v>748125</v>
      </c>
      <c r="G73" s="37">
        <v>4685625</v>
      </c>
      <c r="H73" s="37">
        <v>3650000</v>
      </c>
      <c r="I73" s="37">
        <v>693500</v>
      </c>
      <c r="J73" s="37">
        <f>+H73+I73</f>
        <v>4343500</v>
      </c>
      <c r="K73" s="49">
        <v>350000</v>
      </c>
      <c r="L73" s="51">
        <f t="shared" ref="L73:L122" si="12">+K73*19%</f>
        <v>66500</v>
      </c>
      <c r="M73" s="52">
        <f t="shared" ref="M73:N122" si="13">+K73+L73</f>
        <v>416500</v>
      </c>
      <c r="N73" s="72"/>
      <c r="O73" s="72"/>
      <c r="P73" s="72"/>
      <c r="R73" s="34">
        <f t="shared" ref="R73:R122" si="14">+(G73+J73+M73)/3</f>
        <v>3148541.6666666665</v>
      </c>
      <c r="S73" s="34">
        <f t="shared" ref="S73:S123" si="15">_xlfn.STDEV.P(G73,J73,M73)</f>
        <v>1936887.7321118938</v>
      </c>
    </row>
    <row r="74" spans="3:19" x14ac:dyDescent="0.25">
      <c r="C74" s="99"/>
      <c r="D74" s="3" t="s">
        <v>44</v>
      </c>
      <c r="E74" s="37">
        <v>2537500</v>
      </c>
      <c r="F74" s="37">
        <v>482125</v>
      </c>
      <c r="G74" s="37">
        <v>3019625</v>
      </c>
      <c r="H74" s="37">
        <v>2350000</v>
      </c>
      <c r="I74" s="37">
        <v>446500</v>
      </c>
      <c r="J74" s="37">
        <f>+H74+I74</f>
        <v>2796500</v>
      </c>
      <c r="K74" s="52">
        <v>700000</v>
      </c>
      <c r="L74" s="51">
        <f t="shared" si="12"/>
        <v>133000</v>
      </c>
      <c r="M74" s="52">
        <f t="shared" si="13"/>
        <v>833000</v>
      </c>
      <c r="N74" s="72"/>
      <c r="O74" s="72"/>
      <c r="P74" s="72"/>
      <c r="R74" s="34">
        <f t="shared" si="14"/>
        <v>2216375</v>
      </c>
      <c r="S74" s="34">
        <f t="shared" si="15"/>
        <v>982425.90369452292</v>
      </c>
    </row>
    <row r="75" spans="3:19" ht="25.5" x14ac:dyDescent="0.25">
      <c r="C75" s="100"/>
      <c r="D75" s="3" t="s">
        <v>45</v>
      </c>
      <c r="E75" s="37">
        <v>4112500</v>
      </c>
      <c r="F75" s="37">
        <v>781375</v>
      </c>
      <c r="G75" s="37">
        <v>4893875</v>
      </c>
      <c r="H75" s="37">
        <v>3650000</v>
      </c>
      <c r="I75" s="37">
        <v>693500</v>
      </c>
      <c r="J75" s="37">
        <f t="shared" ref="J75:J114" si="16">+H75+I75</f>
        <v>4343500</v>
      </c>
      <c r="K75" s="52">
        <v>700000</v>
      </c>
      <c r="L75" s="51">
        <f t="shared" si="12"/>
        <v>133000</v>
      </c>
      <c r="M75" s="52">
        <f t="shared" si="13"/>
        <v>833000</v>
      </c>
      <c r="N75" s="72"/>
      <c r="O75" s="72"/>
      <c r="P75" s="72"/>
      <c r="R75" s="34">
        <f t="shared" si="14"/>
        <v>3356791.6666666665</v>
      </c>
      <c r="S75" s="34">
        <f t="shared" si="15"/>
        <v>1798679.4123668126</v>
      </c>
    </row>
    <row r="76" spans="3:19" x14ac:dyDescent="0.25">
      <c r="C76" s="100"/>
      <c r="D76" s="3" t="s">
        <v>46</v>
      </c>
      <c r="E76" s="37">
        <v>2887500</v>
      </c>
      <c r="F76" s="37">
        <v>548625</v>
      </c>
      <c r="G76" s="37">
        <v>3436125</v>
      </c>
      <c r="H76" s="37">
        <v>3900000</v>
      </c>
      <c r="I76" s="37">
        <v>741000</v>
      </c>
      <c r="J76" s="37">
        <f t="shared" si="16"/>
        <v>4641000</v>
      </c>
      <c r="K76" s="52">
        <v>1050000</v>
      </c>
      <c r="L76" s="51">
        <f t="shared" si="12"/>
        <v>199500</v>
      </c>
      <c r="M76" s="52">
        <f t="shared" si="13"/>
        <v>1249500</v>
      </c>
      <c r="N76" s="72"/>
      <c r="O76" s="72"/>
      <c r="P76" s="72"/>
      <c r="R76" s="34">
        <f t="shared" si="14"/>
        <v>3108875</v>
      </c>
      <c r="S76" s="34">
        <f t="shared" si="15"/>
        <v>1403777.6377510792</v>
      </c>
    </row>
    <row r="77" spans="3:19" ht="25.5" x14ac:dyDescent="0.25">
      <c r="C77" s="100"/>
      <c r="D77" s="3" t="s">
        <v>47</v>
      </c>
      <c r="E77" s="37">
        <v>4462500</v>
      </c>
      <c r="F77" s="37">
        <v>847875</v>
      </c>
      <c r="G77" s="37">
        <v>5310375</v>
      </c>
      <c r="H77" s="37">
        <v>4830000</v>
      </c>
      <c r="I77" s="37">
        <v>917700</v>
      </c>
      <c r="J77" s="37">
        <f t="shared" si="16"/>
        <v>5747700</v>
      </c>
      <c r="K77" s="52">
        <v>1050000</v>
      </c>
      <c r="L77" s="51">
        <f t="shared" si="12"/>
        <v>199500</v>
      </c>
      <c r="M77" s="52">
        <f t="shared" si="13"/>
        <v>1249500</v>
      </c>
      <c r="N77" s="72"/>
      <c r="O77" s="72"/>
      <c r="P77" s="72"/>
      <c r="R77" s="34">
        <f t="shared" si="14"/>
        <v>4102525</v>
      </c>
      <c r="S77" s="34">
        <f t="shared" si="15"/>
        <v>2025278.0923246071</v>
      </c>
    </row>
    <row r="78" spans="3:19" x14ac:dyDescent="0.25">
      <c r="C78" s="101"/>
      <c r="D78" s="3" t="s">
        <v>48</v>
      </c>
      <c r="E78" s="38">
        <v>3062500</v>
      </c>
      <c r="F78" s="38">
        <v>581875</v>
      </c>
      <c r="G78" s="38">
        <v>3644375</v>
      </c>
      <c r="H78" s="38">
        <v>3900000</v>
      </c>
      <c r="I78" s="38">
        <v>741000</v>
      </c>
      <c r="J78" s="37">
        <f t="shared" si="16"/>
        <v>4641000</v>
      </c>
      <c r="K78" s="52">
        <v>1400000</v>
      </c>
      <c r="L78" s="51">
        <f t="shared" si="12"/>
        <v>266000</v>
      </c>
      <c r="M78" s="52">
        <f t="shared" si="13"/>
        <v>1666000</v>
      </c>
      <c r="N78" s="72"/>
      <c r="O78" s="72"/>
      <c r="P78" s="72"/>
      <c r="R78" s="34">
        <f t="shared" si="14"/>
        <v>3317125</v>
      </c>
      <c r="S78" s="34">
        <f t="shared" si="15"/>
        <v>1236386.0432391926</v>
      </c>
    </row>
    <row r="79" spans="3:19" ht="26.25" thickBot="1" x14ac:dyDescent="0.3">
      <c r="C79" s="102"/>
      <c r="D79" s="4" t="s">
        <v>49</v>
      </c>
      <c r="E79" s="39">
        <v>4637500</v>
      </c>
      <c r="F79" s="39">
        <v>881125</v>
      </c>
      <c r="G79" s="39">
        <v>5518625</v>
      </c>
      <c r="H79" s="39">
        <v>4830000</v>
      </c>
      <c r="I79" s="39">
        <v>917700</v>
      </c>
      <c r="J79" s="39">
        <f t="shared" si="16"/>
        <v>5747700</v>
      </c>
      <c r="K79" s="53">
        <v>1400000</v>
      </c>
      <c r="L79" s="54">
        <f t="shared" si="12"/>
        <v>266000</v>
      </c>
      <c r="M79" s="53">
        <f t="shared" si="13"/>
        <v>1666000</v>
      </c>
      <c r="N79" s="72"/>
      <c r="O79" s="72">
        <f>J79</f>
        <v>5747700</v>
      </c>
      <c r="P79" s="72"/>
      <c r="R79" s="34">
        <f t="shared" si="14"/>
        <v>4310775</v>
      </c>
      <c r="S79" s="34">
        <f t="shared" si="15"/>
        <v>1872475.178184391</v>
      </c>
    </row>
    <row r="80" spans="3:19" x14ac:dyDescent="0.25">
      <c r="C80" s="103" t="s">
        <v>60</v>
      </c>
      <c r="D80" s="2" t="s">
        <v>1</v>
      </c>
      <c r="E80" s="5">
        <v>5760000</v>
      </c>
      <c r="F80" s="5">
        <v>1094400</v>
      </c>
      <c r="G80" s="5">
        <v>6854400</v>
      </c>
      <c r="H80" s="5">
        <v>8167500</v>
      </c>
      <c r="I80" s="5">
        <v>1551825</v>
      </c>
      <c r="J80" s="5">
        <f t="shared" si="16"/>
        <v>9719325</v>
      </c>
      <c r="K80" s="55">
        <v>4496724</v>
      </c>
      <c r="L80" s="56">
        <f t="shared" si="12"/>
        <v>854377.56</v>
      </c>
      <c r="M80" s="55">
        <f t="shared" si="13"/>
        <v>5351101.5600000005</v>
      </c>
      <c r="N80" s="5">
        <v>5351101.5600000005</v>
      </c>
      <c r="O80" s="72"/>
      <c r="P80" s="72"/>
      <c r="R80" s="34">
        <f t="shared" si="14"/>
        <v>7308275.5200000005</v>
      </c>
      <c r="S80" s="34">
        <f t="shared" si="15"/>
        <v>1811968.7720235488</v>
      </c>
    </row>
    <row r="81" spans="3:19" x14ac:dyDescent="0.25">
      <c r="C81" s="104"/>
      <c r="D81" s="3" t="s">
        <v>2</v>
      </c>
      <c r="E81" s="6">
        <v>3360000</v>
      </c>
      <c r="F81" s="6">
        <v>638400</v>
      </c>
      <c r="G81" s="6">
        <v>3998400</v>
      </c>
      <c r="H81" s="6">
        <v>5161860</v>
      </c>
      <c r="I81" s="6">
        <v>980753</v>
      </c>
      <c r="J81" s="6">
        <f t="shared" si="16"/>
        <v>6142613</v>
      </c>
      <c r="K81" s="52">
        <v>2438820</v>
      </c>
      <c r="L81" s="51">
        <f t="shared" si="12"/>
        <v>463375.8</v>
      </c>
      <c r="M81" s="52">
        <f t="shared" si="13"/>
        <v>2902195.8</v>
      </c>
      <c r="N81" s="6">
        <v>2902195.8</v>
      </c>
      <c r="O81" s="6">
        <f t="shared" ref="O81:O88" si="17">+M81+N81</f>
        <v>5804391.5999999996</v>
      </c>
      <c r="P81" s="72"/>
      <c r="R81" s="34">
        <f t="shared" si="14"/>
        <v>4347736.2666666666</v>
      </c>
      <c r="S81" s="34">
        <f t="shared" si="15"/>
        <v>1345759.4579320659</v>
      </c>
    </row>
    <row r="82" spans="3:19" x14ac:dyDescent="0.25">
      <c r="C82" s="104"/>
      <c r="D82" s="3" t="s">
        <v>3</v>
      </c>
      <c r="E82" s="6">
        <v>3840000</v>
      </c>
      <c r="F82" s="6">
        <v>729600</v>
      </c>
      <c r="G82" s="6">
        <v>4569600</v>
      </c>
      <c r="H82" s="6">
        <v>3920400</v>
      </c>
      <c r="I82" s="6">
        <v>744876</v>
      </c>
      <c r="J82" s="6">
        <f t="shared" si="16"/>
        <v>4665276</v>
      </c>
      <c r="K82" s="52">
        <v>3546192</v>
      </c>
      <c r="L82" s="51">
        <f t="shared" si="12"/>
        <v>673776.48</v>
      </c>
      <c r="M82" s="52">
        <f t="shared" si="13"/>
        <v>4219968.4800000004</v>
      </c>
      <c r="N82" s="6">
        <v>4219968.4800000004</v>
      </c>
      <c r="O82" s="6">
        <f t="shared" si="17"/>
        <v>8439936.9600000009</v>
      </c>
      <c r="P82" s="72"/>
      <c r="R82" s="34">
        <f t="shared" si="14"/>
        <v>4484948.16</v>
      </c>
      <c r="S82" s="34">
        <f t="shared" si="15"/>
        <v>191396.87798512055</v>
      </c>
    </row>
    <row r="83" spans="3:19" x14ac:dyDescent="0.25">
      <c r="C83" s="104"/>
      <c r="D83" s="3" t="s">
        <v>4</v>
      </c>
      <c r="E83" s="6">
        <v>2080000</v>
      </c>
      <c r="F83" s="6">
        <v>395200</v>
      </c>
      <c r="G83" s="6">
        <v>2475200</v>
      </c>
      <c r="H83" s="6">
        <v>2940300</v>
      </c>
      <c r="I83" s="6">
        <v>558657</v>
      </c>
      <c r="J83" s="6">
        <f t="shared" si="16"/>
        <v>3498957</v>
      </c>
      <c r="K83" s="52">
        <v>2434703</v>
      </c>
      <c r="L83" s="51">
        <f t="shared" si="12"/>
        <v>462593.57</v>
      </c>
      <c r="M83" s="52">
        <f t="shared" si="13"/>
        <v>2897296.57</v>
      </c>
      <c r="N83" s="6">
        <v>2897296.57</v>
      </c>
      <c r="O83" s="6">
        <f t="shared" si="17"/>
        <v>5794593.1399999997</v>
      </c>
      <c r="P83" s="72"/>
      <c r="R83" s="34">
        <f t="shared" si="14"/>
        <v>2957151.19</v>
      </c>
      <c r="S83" s="34">
        <f t="shared" si="15"/>
        <v>420084.53943919257</v>
      </c>
    </row>
    <row r="84" spans="3:19" x14ac:dyDescent="0.25">
      <c r="C84" s="104"/>
      <c r="D84" s="3" t="s">
        <v>5</v>
      </c>
      <c r="E84" s="6">
        <v>5760000</v>
      </c>
      <c r="F84" s="6">
        <v>1094400</v>
      </c>
      <c r="G84" s="6">
        <v>6854400</v>
      </c>
      <c r="H84" s="6">
        <v>10127700</v>
      </c>
      <c r="I84" s="6">
        <v>1924263</v>
      </c>
      <c r="J84" s="6">
        <f t="shared" si="16"/>
        <v>12051963</v>
      </c>
      <c r="K84" s="52">
        <v>7205802</v>
      </c>
      <c r="L84" s="51">
        <f t="shared" si="12"/>
        <v>1369102.3800000001</v>
      </c>
      <c r="M84" s="52">
        <f t="shared" si="13"/>
        <v>8574904.3800000008</v>
      </c>
      <c r="N84" s="6">
        <v>8574904.3800000008</v>
      </c>
      <c r="O84" s="6"/>
      <c r="P84" s="72"/>
      <c r="R84" s="34">
        <f t="shared" si="14"/>
        <v>9160422.4600000009</v>
      </c>
      <c r="S84" s="34">
        <f t="shared" si="15"/>
        <v>2161911.0143955778</v>
      </c>
    </row>
    <row r="85" spans="3:19" x14ac:dyDescent="0.25">
      <c r="C85" s="104"/>
      <c r="D85" s="3" t="s">
        <v>6</v>
      </c>
      <c r="E85" s="6">
        <v>3680000</v>
      </c>
      <c r="F85" s="6">
        <v>699200</v>
      </c>
      <c r="G85" s="6">
        <v>4379200</v>
      </c>
      <c r="H85" s="6">
        <v>5227200</v>
      </c>
      <c r="I85" s="6">
        <v>993168</v>
      </c>
      <c r="J85" s="6">
        <f t="shared" si="16"/>
        <v>6220368</v>
      </c>
      <c r="K85" s="52">
        <v>2511696</v>
      </c>
      <c r="L85" s="51">
        <f t="shared" si="12"/>
        <v>477222.24</v>
      </c>
      <c r="M85" s="52">
        <f t="shared" si="13"/>
        <v>2988918.24</v>
      </c>
      <c r="N85" s="6">
        <v>2988918.24</v>
      </c>
      <c r="O85" s="6">
        <f t="shared" si="17"/>
        <v>5977836.4800000004</v>
      </c>
      <c r="P85" s="72"/>
      <c r="R85" s="34">
        <f t="shared" si="14"/>
        <v>4529495.4133333331</v>
      </c>
      <c r="S85" s="34">
        <f t="shared" si="15"/>
        <v>1323507.5673635309</v>
      </c>
    </row>
    <row r="86" spans="3:19" x14ac:dyDescent="0.25">
      <c r="C86" s="104"/>
      <c r="D86" s="3" t="s">
        <v>7</v>
      </c>
      <c r="E86" s="6">
        <v>4160000</v>
      </c>
      <c r="F86" s="6">
        <v>790400</v>
      </c>
      <c r="G86" s="6">
        <v>4950400</v>
      </c>
      <c r="H86" s="6">
        <v>4410450</v>
      </c>
      <c r="I86" s="6">
        <v>837986</v>
      </c>
      <c r="J86" s="6">
        <f t="shared" si="16"/>
        <v>5248436</v>
      </c>
      <c r="K86" s="52">
        <v>3940788</v>
      </c>
      <c r="L86" s="51">
        <f t="shared" si="12"/>
        <v>748749.72</v>
      </c>
      <c r="M86" s="52">
        <f t="shared" si="13"/>
        <v>4689537.72</v>
      </c>
      <c r="N86" s="6">
        <v>4689537.72</v>
      </c>
      <c r="O86" s="6">
        <f t="shared" si="17"/>
        <v>9379075.4399999995</v>
      </c>
      <c r="P86" s="72"/>
      <c r="R86" s="34">
        <f t="shared" si="14"/>
        <v>4962791.2399999993</v>
      </c>
      <c r="S86" s="34">
        <f t="shared" si="15"/>
        <v>228337.43884624334</v>
      </c>
    </row>
    <row r="87" spans="3:19" x14ac:dyDescent="0.25">
      <c r="C87" s="104"/>
      <c r="D87" s="3" t="s">
        <v>8</v>
      </c>
      <c r="E87" s="6">
        <v>3024000</v>
      </c>
      <c r="F87" s="6">
        <v>574560</v>
      </c>
      <c r="G87" s="6">
        <v>3598560</v>
      </c>
      <c r="H87" s="6">
        <v>3920400</v>
      </c>
      <c r="I87" s="6">
        <v>744876</v>
      </c>
      <c r="J87" s="6">
        <f t="shared" si="16"/>
        <v>4665276</v>
      </c>
      <c r="K87" s="52">
        <v>1724988</v>
      </c>
      <c r="L87" s="51">
        <f t="shared" si="12"/>
        <v>327747.72000000003</v>
      </c>
      <c r="M87" s="52">
        <f t="shared" si="13"/>
        <v>2052735.72</v>
      </c>
      <c r="N87" s="6">
        <v>2052735.72</v>
      </c>
      <c r="O87" s="6">
        <f t="shared" si="17"/>
        <v>4105471.44</v>
      </c>
      <c r="P87" s="72"/>
      <c r="R87" s="34">
        <f t="shared" si="14"/>
        <v>3438857.24</v>
      </c>
      <c r="S87" s="34">
        <f t="shared" si="15"/>
        <v>1072526.738538278</v>
      </c>
    </row>
    <row r="88" spans="3:19" ht="15.75" thickBot="1" x14ac:dyDescent="0.3">
      <c r="C88" s="105"/>
      <c r="D88" s="4" t="s">
        <v>9</v>
      </c>
      <c r="E88" s="7">
        <v>3360000</v>
      </c>
      <c r="F88" s="7">
        <v>638400</v>
      </c>
      <c r="G88" s="7">
        <v>3998400</v>
      </c>
      <c r="H88" s="7">
        <v>4247100</v>
      </c>
      <c r="I88" s="7">
        <v>806949</v>
      </c>
      <c r="J88" s="7">
        <f t="shared" si="16"/>
        <v>5054049</v>
      </c>
      <c r="K88" s="57">
        <v>2242944</v>
      </c>
      <c r="L88" s="58">
        <f t="shared" si="12"/>
        <v>426159.35999999999</v>
      </c>
      <c r="M88" s="57">
        <f t="shared" si="13"/>
        <v>2669103.36</v>
      </c>
      <c r="N88" s="7">
        <v>2669103.36</v>
      </c>
      <c r="O88" s="7">
        <f t="shared" si="17"/>
        <v>5338206.72</v>
      </c>
      <c r="P88" s="72"/>
      <c r="R88" s="34">
        <f t="shared" si="14"/>
        <v>3907184.1199999996</v>
      </c>
      <c r="S88" s="34">
        <f t="shared" si="15"/>
        <v>975784.01948104799</v>
      </c>
    </row>
    <row r="89" spans="3:19" x14ac:dyDescent="0.25">
      <c r="C89" s="91" t="s">
        <v>10</v>
      </c>
      <c r="D89" s="8" t="s">
        <v>50</v>
      </c>
      <c r="E89" s="40">
        <v>260800</v>
      </c>
      <c r="F89" s="40">
        <v>49552</v>
      </c>
      <c r="G89" s="40">
        <v>310352</v>
      </c>
      <c r="H89" s="48">
        <v>330000</v>
      </c>
      <c r="I89" s="40">
        <v>62700</v>
      </c>
      <c r="J89" s="40">
        <f t="shared" si="16"/>
        <v>392700</v>
      </c>
      <c r="K89" s="55">
        <v>621400</v>
      </c>
      <c r="L89" s="56">
        <f t="shared" si="12"/>
        <v>118066</v>
      </c>
      <c r="M89" s="59">
        <f t="shared" si="13"/>
        <v>739466</v>
      </c>
      <c r="N89" s="59">
        <f t="shared" si="13"/>
        <v>857532</v>
      </c>
      <c r="O89" s="72"/>
      <c r="P89" s="72"/>
      <c r="R89" s="34">
        <f t="shared" si="14"/>
        <v>480839.33333333331</v>
      </c>
      <c r="S89" s="34">
        <f t="shared" si="15"/>
        <v>185941.05304160839</v>
      </c>
    </row>
    <row r="90" spans="3:19" x14ac:dyDescent="0.25">
      <c r="C90" s="92"/>
      <c r="D90" s="9" t="s">
        <v>51</v>
      </c>
      <c r="E90" s="41">
        <v>505600</v>
      </c>
      <c r="F90" s="41">
        <v>96064</v>
      </c>
      <c r="G90" s="41">
        <v>601664</v>
      </c>
      <c r="H90" s="41">
        <v>580000</v>
      </c>
      <c r="I90" s="41">
        <v>110200</v>
      </c>
      <c r="J90" s="41">
        <f t="shared" si="16"/>
        <v>690200</v>
      </c>
      <c r="K90" s="52">
        <v>1242800</v>
      </c>
      <c r="L90" s="51">
        <f t="shared" si="12"/>
        <v>236132</v>
      </c>
      <c r="M90" s="60">
        <f t="shared" si="13"/>
        <v>1478932</v>
      </c>
      <c r="N90" s="60"/>
      <c r="O90" s="72"/>
      <c r="P90" s="72"/>
      <c r="R90" s="34">
        <f t="shared" si="14"/>
        <v>923598.66666666663</v>
      </c>
      <c r="S90" s="34">
        <f t="shared" si="15"/>
        <v>394339.94569603971</v>
      </c>
    </row>
    <row r="91" spans="3:19" ht="25.5" x14ac:dyDescent="0.25">
      <c r="C91" s="92"/>
      <c r="D91" s="3" t="s">
        <v>52</v>
      </c>
      <c r="E91" s="6">
        <v>582400</v>
      </c>
      <c r="F91" s="6">
        <v>110656</v>
      </c>
      <c r="G91" s="6">
        <v>693056</v>
      </c>
      <c r="H91" s="6">
        <v>700000</v>
      </c>
      <c r="I91" s="6">
        <v>133000</v>
      </c>
      <c r="J91" s="6">
        <f t="shared" si="16"/>
        <v>833000</v>
      </c>
      <c r="K91" s="52">
        <v>1864200</v>
      </c>
      <c r="L91" s="51">
        <f t="shared" si="12"/>
        <v>354198</v>
      </c>
      <c r="M91" s="60">
        <f t="shared" si="13"/>
        <v>2218398</v>
      </c>
      <c r="N91" s="60"/>
      <c r="O91" s="72">
        <f>M91*2</f>
        <v>4436796</v>
      </c>
      <c r="P91" s="72"/>
      <c r="R91" s="34">
        <f t="shared" si="14"/>
        <v>1248151.3333333333</v>
      </c>
      <c r="S91" s="34">
        <f t="shared" si="15"/>
        <v>688442.69982685486</v>
      </c>
    </row>
    <row r="92" spans="3:19" x14ac:dyDescent="0.25">
      <c r="C92" s="92"/>
      <c r="D92" s="3" t="s">
        <v>53</v>
      </c>
      <c r="E92" s="6">
        <v>803200</v>
      </c>
      <c r="F92" s="6">
        <v>152608</v>
      </c>
      <c r="G92" s="6">
        <v>955808</v>
      </c>
      <c r="H92" s="6">
        <v>630000</v>
      </c>
      <c r="I92" s="6">
        <v>119700</v>
      </c>
      <c r="J92" s="6">
        <f t="shared" si="16"/>
        <v>749700</v>
      </c>
      <c r="K92" s="52">
        <v>1275000</v>
      </c>
      <c r="L92" s="51">
        <f t="shared" si="12"/>
        <v>242250</v>
      </c>
      <c r="M92" s="60">
        <f t="shared" si="13"/>
        <v>1517250</v>
      </c>
      <c r="N92" s="60"/>
      <c r="O92" s="72">
        <f>M92*3</f>
        <v>4551750</v>
      </c>
      <c r="P92" s="72"/>
      <c r="R92" s="34">
        <f t="shared" si="14"/>
        <v>1074252.6666666667</v>
      </c>
      <c r="S92" s="34">
        <f t="shared" si="15"/>
        <v>324350.74114434962</v>
      </c>
    </row>
    <row r="93" spans="3:19" x14ac:dyDescent="0.25">
      <c r="C93" s="92"/>
      <c r="D93" s="3" t="s">
        <v>54</v>
      </c>
      <c r="E93" s="6">
        <v>1072000</v>
      </c>
      <c r="F93" s="6">
        <v>203680</v>
      </c>
      <c r="G93" s="6">
        <v>1275680</v>
      </c>
      <c r="H93" s="6">
        <v>840000</v>
      </c>
      <c r="I93" s="6">
        <v>159600</v>
      </c>
      <c r="J93" s="6">
        <f t="shared" si="16"/>
        <v>999600</v>
      </c>
      <c r="K93" s="52">
        <v>1700000</v>
      </c>
      <c r="L93" s="51">
        <f t="shared" si="12"/>
        <v>323000</v>
      </c>
      <c r="M93" s="60">
        <f t="shared" si="13"/>
        <v>2023000</v>
      </c>
      <c r="N93" s="60"/>
      <c r="O93" s="72"/>
      <c r="P93" s="72"/>
      <c r="R93" s="34">
        <f t="shared" si="14"/>
        <v>1432760</v>
      </c>
      <c r="S93" s="34">
        <f t="shared" si="15"/>
        <v>432313.53190325497</v>
      </c>
    </row>
    <row r="94" spans="3:19" x14ac:dyDescent="0.25">
      <c r="C94" s="106"/>
      <c r="D94" s="15" t="s">
        <v>55</v>
      </c>
      <c r="E94" s="16">
        <v>1548800</v>
      </c>
      <c r="F94" s="16">
        <v>294272</v>
      </c>
      <c r="G94" s="16">
        <v>1843072</v>
      </c>
      <c r="H94" s="16">
        <v>1260000</v>
      </c>
      <c r="I94" s="16">
        <v>239400</v>
      </c>
      <c r="J94" s="16">
        <f t="shared" si="16"/>
        <v>1499400</v>
      </c>
      <c r="K94" s="52">
        <v>2550000</v>
      </c>
      <c r="L94" s="51">
        <f t="shared" si="12"/>
        <v>484500</v>
      </c>
      <c r="M94" s="60">
        <f t="shared" si="13"/>
        <v>3034500</v>
      </c>
      <c r="N94" s="60"/>
      <c r="O94" s="72"/>
      <c r="P94" s="72"/>
      <c r="R94" s="34">
        <f t="shared" si="14"/>
        <v>2125657.3333333335</v>
      </c>
      <c r="S94" s="34">
        <f t="shared" si="15"/>
        <v>657786.11288743059</v>
      </c>
    </row>
    <row r="95" spans="3:19" ht="25.5" x14ac:dyDescent="0.25">
      <c r="C95" s="106"/>
      <c r="D95" s="15" t="s">
        <v>58</v>
      </c>
      <c r="E95" s="16">
        <v>1088000</v>
      </c>
      <c r="F95" s="16">
        <v>206720</v>
      </c>
      <c r="G95" s="16">
        <v>1294720</v>
      </c>
      <c r="H95" s="16">
        <v>300000</v>
      </c>
      <c r="I95" s="16">
        <v>57000</v>
      </c>
      <c r="J95" s="16">
        <f t="shared" si="16"/>
        <v>357000</v>
      </c>
      <c r="K95" s="52">
        <v>1302114</v>
      </c>
      <c r="L95" s="51">
        <f t="shared" si="12"/>
        <v>247401.66</v>
      </c>
      <c r="M95" s="60">
        <f t="shared" si="13"/>
        <v>1549515.66</v>
      </c>
      <c r="N95" s="60">
        <f t="shared" si="13"/>
        <v>1796917.3199999998</v>
      </c>
      <c r="O95" s="72"/>
      <c r="P95" s="72"/>
      <c r="R95" s="34">
        <f t="shared" si="14"/>
        <v>1067078.5533333335</v>
      </c>
      <c r="S95" s="34">
        <f t="shared" si="15"/>
        <v>512763.01934823551</v>
      </c>
    </row>
    <row r="96" spans="3:19" ht="25.5" x14ac:dyDescent="0.25">
      <c r="C96" s="106"/>
      <c r="D96" s="15" t="s">
        <v>59</v>
      </c>
      <c r="E96" s="16">
        <v>1292800</v>
      </c>
      <c r="F96" s="16">
        <v>245632</v>
      </c>
      <c r="G96" s="16">
        <v>1538432</v>
      </c>
      <c r="H96" s="16">
        <v>400000</v>
      </c>
      <c r="I96" s="16">
        <v>76000</v>
      </c>
      <c r="J96" s="16">
        <f t="shared" si="16"/>
        <v>476000</v>
      </c>
      <c r="K96" s="52">
        <v>1736152</v>
      </c>
      <c r="L96" s="51">
        <f t="shared" si="12"/>
        <v>329868.88</v>
      </c>
      <c r="M96" s="60">
        <f t="shared" si="13"/>
        <v>2066020.88</v>
      </c>
      <c r="N96" s="60">
        <f t="shared" si="13"/>
        <v>2395889.7599999998</v>
      </c>
      <c r="O96" s="72">
        <f>M96*2</f>
        <v>4132041.76</v>
      </c>
      <c r="P96" s="72"/>
      <c r="R96" s="34">
        <f t="shared" si="14"/>
        <v>1360150.96</v>
      </c>
      <c r="S96" s="34">
        <f t="shared" si="15"/>
        <v>661251.18607409939</v>
      </c>
    </row>
    <row r="97" spans="3:19" ht="25.5" x14ac:dyDescent="0.25">
      <c r="C97" s="106"/>
      <c r="D97" s="15" t="s">
        <v>56</v>
      </c>
      <c r="E97" s="16">
        <v>368000</v>
      </c>
      <c r="F97" s="16">
        <v>69920</v>
      </c>
      <c r="G97" s="16">
        <v>437920</v>
      </c>
      <c r="H97" s="16">
        <v>178000</v>
      </c>
      <c r="I97" s="16">
        <v>33820</v>
      </c>
      <c r="J97" s="16">
        <f t="shared" si="16"/>
        <v>211820</v>
      </c>
      <c r="K97" s="52">
        <v>418000</v>
      </c>
      <c r="L97" s="51">
        <f t="shared" si="12"/>
        <v>79420</v>
      </c>
      <c r="M97" s="60">
        <f t="shared" si="13"/>
        <v>497420</v>
      </c>
      <c r="N97" s="60">
        <f t="shared" si="13"/>
        <v>576840</v>
      </c>
      <c r="O97" s="72"/>
      <c r="P97" s="72"/>
      <c r="R97" s="34">
        <f t="shared" si="14"/>
        <v>382386.66666666669</v>
      </c>
      <c r="S97" s="34">
        <f t="shared" si="15"/>
        <v>123030.62852621519</v>
      </c>
    </row>
    <row r="98" spans="3:19" ht="26.25" thickBot="1" x14ac:dyDescent="0.3">
      <c r="C98" s="93"/>
      <c r="D98" s="4" t="s">
        <v>57</v>
      </c>
      <c r="E98" s="7">
        <v>1392000</v>
      </c>
      <c r="F98" s="7">
        <v>264480</v>
      </c>
      <c r="G98" s="7">
        <v>1656480</v>
      </c>
      <c r="H98" s="7">
        <v>890000</v>
      </c>
      <c r="I98" s="7">
        <v>169100</v>
      </c>
      <c r="J98" s="7">
        <f t="shared" si="16"/>
        <v>1059100</v>
      </c>
      <c r="K98" s="53">
        <v>1440000</v>
      </c>
      <c r="L98" s="54">
        <f t="shared" si="12"/>
        <v>273600</v>
      </c>
      <c r="M98" s="61">
        <f t="shared" si="13"/>
        <v>1713600</v>
      </c>
      <c r="N98" s="61"/>
      <c r="O98" s="72"/>
      <c r="P98" s="72"/>
      <c r="R98" s="34">
        <f t="shared" si="14"/>
        <v>1476393.3333333333</v>
      </c>
      <c r="S98" s="34">
        <f t="shared" si="15"/>
        <v>295990.95496690815</v>
      </c>
    </row>
    <row r="99" spans="3:19" x14ac:dyDescent="0.25">
      <c r="C99" s="91" t="s">
        <v>11</v>
      </c>
      <c r="D99" s="8" t="s">
        <v>12</v>
      </c>
      <c r="E99" s="40">
        <v>3110.4</v>
      </c>
      <c r="F99" s="40">
        <v>590.976</v>
      </c>
      <c r="G99" s="40">
        <f>3701.376*100</f>
        <v>370137.60000000003</v>
      </c>
      <c r="H99" s="40">
        <v>9500</v>
      </c>
      <c r="I99" s="40">
        <v>1805</v>
      </c>
      <c r="J99" s="40">
        <f>+(H99+I99)*100</f>
        <v>1130500</v>
      </c>
      <c r="K99" s="55">
        <v>403200</v>
      </c>
      <c r="L99" s="56">
        <f t="shared" si="12"/>
        <v>76608</v>
      </c>
      <c r="M99" s="62">
        <f t="shared" si="13"/>
        <v>479808</v>
      </c>
      <c r="N99" s="72">
        <f>J99</f>
        <v>1130500</v>
      </c>
      <c r="O99" s="72"/>
      <c r="P99" s="72"/>
      <c r="R99" s="34">
        <f t="shared" si="14"/>
        <v>660148.53333333333</v>
      </c>
      <c r="S99" s="34">
        <f t="shared" si="15"/>
        <v>335588.81169833749</v>
      </c>
    </row>
    <row r="100" spans="3:19" x14ac:dyDescent="0.25">
      <c r="C100" s="92"/>
      <c r="D100" s="9" t="s">
        <v>13</v>
      </c>
      <c r="E100" s="41">
        <v>2432</v>
      </c>
      <c r="F100" s="41">
        <v>462.08</v>
      </c>
      <c r="G100" s="41">
        <f>2894.08*100</f>
        <v>289408</v>
      </c>
      <c r="H100" s="41">
        <v>2400</v>
      </c>
      <c r="I100" s="41">
        <v>456</v>
      </c>
      <c r="J100" s="41">
        <f>+(H100+I100)*100</f>
        <v>285600</v>
      </c>
      <c r="K100" s="52">
        <v>227808</v>
      </c>
      <c r="L100" s="51">
        <f t="shared" si="12"/>
        <v>43283.520000000004</v>
      </c>
      <c r="M100" s="60">
        <f t="shared" si="13"/>
        <v>271091.52</v>
      </c>
      <c r="N100" s="72">
        <f>G100</f>
        <v>289408</v>
      </c>
      <c r="O100" s="72"/>
      <c r="P100" s="72"/>
      <c r="R100" s="34">
        <f t="shared" si="14"/>
        <v>282033.17333333334</v>
      </c>
      <c r="S100" s="34">
        <f t="shared" si="15"/>
        <v>7891.5587497077377</v>
      </c>
    </row>
    <row r="101" spans="3:19" x14ac:dyDescent="0.25">
      <c r="C101" s="92"/>
      <c r="D101" s="9" t="s">
        <v>14</v>
      </c>
      <c r="E101" s="41">
        <v>26880</v>
      </c>
      <c r="F101" s="41">
        <v>5107.2</v>
      </c>
      <c r="G101" s="41">
        <f>31987.2*100</f>
        <v>3198720</v>
      </c>
      <c r="H101" s="41">
        <v>20450</v>
      </c>
      <c r="I101" s="41">
        <v>3886</v>
      </c>
      <c r="J101" s="41">
        <f>+(H101+I101)*100</f>
        <v>2433600</v>
      </c>
      <c r="K101" s="52">
        <v>1572480</v>
      </c>
      <c r="L101" s="51">
        <f t="shared" si="12"/>
        <v>298771.20000000001</v>
      </c>
      <c r="M101" s="60">
        <f t="shared" si="13"/>
        <v>1871251.2</v>
      </c>
      <c r="N101" s="72">
        <f>G101</f>
        <v>3198720</v>
      </c>
      <c r="O101" s="72"/>
      <c r="P101" s="72"/>
      <c r="R101" s="34">
        <f t="shared" si="14"/>
        <v>2501190.4</v>
      </c>
      <c r="S101" s="34">
        <f t="shared" si="15"/>
        <v>544040.25609169796</v>
      </c>
    </row>
    <row r="102" spans="3:19" x14ac:dyDescent="0.25">
      <c r="C102" s="92"/>
      <c r="D102" s="9" t="s">
        <v>15</v>
      </c>
      <c r="E102" s="41">
        <v>2816</v>
      </c>
      <c r="F102" s="41">
        <v>535.04</v>
      </c>
      <c r="G102" s="41">
        <f>3351.04*200</f>
        <v>670208</v>
      </c>
      <c r="H102" s="41">
        <v>8500</v>
      </c>
      <c r="I102" s="41">
        <v>1615</v>
      </c>
      <c r="J102" s="41">
        <f>+(H102+I102)*200</f>
        <v>2023000</v>
      </c>
      <c r="K102" s="52">
        <v>761600</v>
      </c>
      <c r="L102" s="51">
        <f t="shared" si="12"/>
        <v>144704</v>
      </c>
      <c r="M102" s="60">
        <f t="shared" si="13"/>
        <v>906304</v>
      </c>
      <c r="N102" s="72"/>
      <c r="O102" s="72"/>
      <c r="P102" s="72"/>
      <c r="R102" s="34">
        <f t="shared" si="14"/>
        <v>1199837.3333333333</v>
      </c>
      <c r="S102" s="34">
        <f t="shared" si="15"/>
        <v>589990.34576809441</v>
      </c>
    </row>
    <row r="103" spans="3:19" x14ac:dyDescent="0.25">
      <c r="C103" s="92"/>
      <c r="D103" s="3" t="s">
        <v>16</v>
      </c>
      <c r="E103" s="6">
        <v>2304</v>
      </c>
      <c r="F103" s="6">
        <v>437.76</v>
      </c>
      <c r="G103" s="6">
        <f>2741.76*200</f>
        <v>548352</v>
      </c>
      <c r="H103" s="6">
        <v>1500</v>
      </c>
      <c r="I103" s="6">
        <v>285</v>
      </c>
      <c r="J103" s="6">
        <f>+(H103+I103)*200</f>
        <v>357000</v>
      </c>
      <c r="K103" s="52">
        <v>456960</v>
      </c>
      <c r="L103" s="51">
        <f t="shared" si="12"/>
        <v>86822.399999999994</v>
      </c>
      <c r="M103" s="60">
        <f t="shared" si="13"/>
        <v>543782.40000000002</v>
      </c>
      <c r="N103" s="72"/>
      <c r="O103" s="72"/>
      <c r="P103" s="72"/>
      <c r="R103" s="34">
        <f t="shared" si="14"/>
        <v>483044.8</v>
      </c>
      <c r="S103" s="34">
        <f t="shared" si="15"/>
        <v>89146.654513111411</v>
      </c>
    </row>
    <row r="104" spans="3:19" x14ac:dyDescent="0.25">
      <c r="C104" s="92"/>
      <c r="D104" s="3" t="s">
        <v>17</v>
      </c>
      <c r="E104" s="6">
        <v>25600</v>
      </c>
      <c r="F104" s="6">
        <v>4864</v>
      </c>
      <c r="G104" s="6">
        <f>30464*200</f>
        <v>6092800</v>
      </c>
      <c r="H104" s="6">
        <v>19700</v>
      </c>
      <c r="I104" s="6">
        <v>3743</v>
      </c>
      <c r="J104" s="6">
        <f>+(H104+I104)*200</f>
        <v>4688600</v>
      </c>
      <c r="K104" s="52">
        <v>3032960</v>
      </c>
      <c r="L104" s="51">
        <f t="shared" si="12"/>
        <v>576262.40000000002</v>
      </c>
      <c r="M104" s="60">
        <f t="shared" si="13"/>
        <v>3609222.4</v>
      </c>
      <c r="N104" s="72"/>
      <c r="O104" s="72"/>
      <c r="P104" s="72"/>
      <c r="R104" s="34">
        <f t="shared" si="14"/>
        <v>4796874.1333333338</v>
      </c>
      <c r="S104" s="34">
        <f t="shared" si="15"/>
        <v>1016802.7962744316</v>
      </c>
    </row>
    <row r="105" spans="3:19" x14ac:dyDescent="0.25">
      <c r="C105" s="92"/>
      <c r="D105" s="3" t="s">
        <v>18</v>
      </c>
      <c r="E105" s="6">
        <v>2688</v>
      </c>
      <c r="F105" s="6">
        <v>510.72</v>
      </c>
      <c r="G105" s="6">
        <f>3198.72*300</f>
        <v>959615.99999999988</v>
      </c>
      <c r="H105" s="6">
        <v>8350</v>
      </c>
      <c r="I105" s="6">
        <v>1587</v>
      </c>
      <c r="J105" s="6">
        <f>+(H105+I105)*300</f>
        <v>2981100</v>
      </c>
      <c r="K105" s="52">
        <v>1075200</v>
      </c>
      <c r="L105" s="51">
        <f t="shared" si="12"/>
        <v>204288</v>
      </c>
      <c r="M105" s="60">
        <f t="shared" si="13"/>
        <v>1279488</v>
      </c>
      <c r="N105" s="72"/>
      <c r="O105" s="72"/>
      <c r="P105" s="72"/>
      <c r="R105" s="34">
        <f t="shared" si="14"/>
        <v>1740068</v>
      </c>
      <c r="S105" s="34">
        <f t="shared" si="15"/>
        <v>887205.29111136391</v>
      </c>
    </row>
    <row r="106" spans="3:19" x14ac:dyDescent="0.25">
      <c r="C106" s="92"/>
      <c r="D106" s="3" t="s">
        <v>19</v>
      </c>
      <c r="E106" s="6">
        <v>2176</v>
      </c>
      <c r="F106" s="6">
        <v>413.44</v>
      </c>
      <c r="G106" s="6">
        <f>2589.44*300</f>
        <v>776832</v>
      </c>
      <c r="H106" s="6">
        <v>1200</v>
      </c>
      <c r="I106" s="6">
        <v>228</v>
      </c>
      <c r="J106" s="6">
        <f>+(H106+I106)*300</f>
        <v>428400</v>
      </c>
      <c r="K106" s="52">
        <v>658560</v>
      </c>
      <c r="L106" s="51">
        <f t="shared" si="12"/>
        <v>125126.40000000001</v>
      </c>
      <c r="M106" s="60">
        <f t="shared" si="13"/>
        <v>783686.4</v>
      </c>
      <c r="N106" s="72"/>
      <c r="O106" s="72"/>
      <c r="P106" s="72"/>
      <c r="R106" s="34">
        <f t="shared" si="14"/>
        <v>662972.79999999993</v>
      </c>
      <c r="S106" s="34">
        <f t="shared" si="15"/>
        <v>165891.62039259257</v>
      </c>
    </row>
    <row r="107" spans="3:19" x14ac:dyDescent="0.25">
      <c r="C107" s="92"/>
      <c r="D107" s="3" t="s">
        <v>20</v>
      </c>
      <c r="E107" s="6">
        <v>24320</v>
      </c>
      <c r="F107" s="6">
        <v>4620.8</v>
      </c>
      <c r="G107" s="6">
        <f>28940.8*300</f>
        <v>8682240</v>
      </c>
      <c r="H107" s="6">
        <v>19250</v>
      </c>
      <c r="I107" s="6">
        <v>3658</v>
      </c>
      <c r="J107" s="6">
        <f>+(H107+I107)*300</f>
        <v>6872400</v>
      </c>
      <c r="K107" s="52">
        <v>4536000</v>
      </c>
      <c r="L107" s="51">
        <f t="shared" si="12"/>
        <v>861840</v>
      </c>
      <c r="M107" s="60">
        <f t="shared" si="13"/>
        <v>5397840</v>
      </c>
      <c r="N107" s="72"/>
      <c r="O107" s="72"/>
      <c r="P107" s="72"/>
      <c r="R107" s="34">
        <f t="shared" si="14"/>
        <v>6984160</v>
      </c>
      <c r="S107" s="34">
        <f t="shared" si="15"/>
        <v>1343177.4673512059</v>
      </c>
    </row>
    <row r="108" spans="3:19" x14ac:dyDescent="0.25">
      <c r="C108" s="92"/>
      <c r="D108" s="3" t="s">
        <v>21</v>
      </c>
      <c r="E108" s="6">
        <v>2560</v>
      </c>
      <c r="F108" s="6">
        <v>486.4</v>
      </c>
      <c r="G108" s="6">
        <f>3046.4*400</f>
        <v>1218560</v>
      </c>
      <c r="H108" s="6">
        <v>8000</v>
      </c>
      <c r="I108" s="6">
        <v>1520</v>
      </c>
      <c r="J108" s="6">
        <f>+(H108+I108)*400</f>
        <v>3808000</v>
      </c>
      <c r="K108" s="52">
        <v>1388800</v>
      </c>
      <c r="L108" s="51">
        <f t="shared" si="12"/>
        <v>263872</v>
      </c>
      <c r="M108" s="60">
        <f t="shared" si="13"/>
        <v>1652672</v>
      </c>
      <c r="N108" s="72"/>
      <c r="O108" s="72">
        <f>J108</f>
        <v>3808000</v>
      </c>
      <c r="P108" s="72"/>
      <c r="R108" s="34">
        <f t="shared" si="14"/>
        <v>2226410.6666666665</v>
      </c>
      <c r="S108" s="34">
        <f t="shared" si="15"/>
        <v>1132307.9444571997</v>
      </c>
    </row>
    <row r="109" spans="3:19" x14ac:dyDescent="0.25">
      <c r="C109" s="92"/>
      <c r="D109" s="3" t="s">
        <v>22</v>
      </c>
      <c r="E109" s="6">
        <v>2048</v>
      </c>
      <c r="F109" s="6">
        <v>389.12</v>
      </c>
      <c r="G109" s="6">
        <f>2437.12*400</f>
        <v>974848</v>
      </c>
      <c r="H109" s="6">
        <v>1100</v>
      </c>
      <c r="I109" s="6">
        <v>209</v>
      </c>
      <c r="J109" s="6">
        <f>+(H109+I109)*400</f>
        <v>523600</v>
      </c>
      <c r="K109" s="52">
        <v>869120</v>
      </c>
      <c r="L109" s="51">
        <f t="shared" si="12"/>
        <v>165132.79999999999</v>
      </c>
      <c r="M109" s="60">
        <f t="shared" si="13"/>
        <v>1034252.8</v>
      </c>
      <c r="N109" s="72"/>
      <c r="O109" s="72">
        <f>M109</f>
        <v>1034252.8</v>
      </c>
      <c r="P109" s="72"/>
      <c r="R109" s="34">
        <f t="shared" si="14"/>
        <v>844233.6</v>
      </c>
      <c r="S109" s="34">
        <f t="shared" si="15"/>
        <v>228015.58667845515</v>
      </c>
    </row>
    <row r="110" spans="3:19" ht="15.75" thickBot="1" x14ac:dyDescent="0.3">
      <c r="C110" s="93"/>
      <c r="D110" s="4" t="s">
        <v>23</v>
      </c>
      <c r="E110" s="7">
        <v>23040</v>
      </c>
      <c r="F110" s="7">
        <v>4377.6000000000004</v>
      </c>
      <c r="G110" s="7">
        <f>27417.6*400</f>
        <v>10967040</v>
      </c>
      <c r="H110" s="7">
        <v>18900</v>
      </c>
      <c r="I110" s="7">
        <v>3591</v>
      </c>
      <c r="J110" s="7">
        <f>+(H110+I110)*400</f>
        <v>8996400</v>
      </c>
      <c r="K110" s="53">
        <v>5958400</v>
      </c>
      <c r="L110" s="54">
        <f t="shared" si="12"/>
        <v>1132096</v>
      </c>
      <c r="M110" s="61">
        <f t="shared" si="13"/>
        <v>7090496</v>
      </c>
      <c r="N110" s="72"/>
      <c r="O110" s="72">
        <f>G110</f>
        <v>10967040</v>
      </c>
      <c r="P110" s="72"/>
      <c r="R110" s="34">
        <f t="shared" si="14"/>
        <v>9017978.666666666</v>
      </c>
      <c r="S110" s="34">
        <f t="shared" si="15"/>
        <v>1582666.0155415677</v>
      </c>
    </row>
    <row r="111" spans="3:19" x14ac:dyDescent="0.25">
      <c r="C111" s="91" t="s">
        <v>36</v>
      </c>
      <c r="D111" s="8" t="s">
        <v>24</v>
      </c>
      <c r="E111" s="40">
        <v>585000</v>
      </c>
      <c r="F111" s="40">
        <v>111150</v>
      </c>
      <c r="G111" s="40">
        <v>696150</v>
      </c>
      <c r="H111" s="40">
        <v>210000</v>
      </c>
      <c r="I111" s="40">
        <v>39900</v>
      </c>
      <c r="J111" s="40">
        <f t="shared" si="16"/>
        <v>249900</v>
      </c>
      <c r="K111" s="55">
        <v>220000</v>
      </c>
      <c r="L111" s="56">
        <f t="shared" si="12"/>
        <v>41800</v>
      </c>
      <c r="M111" s="55">
        <f t="shared" si="13"/>
        <v>261800</v>
      </c>
      <c r="N111" s="72">
        <f>G111</f>
        <v>696150</v>
      </c>
      <c r="O111" s="72">
        <f>G111</f>
        <v>696150</v>
      </c>
      <c r="P111" s="72"/>
      <c r="R111" s="34">
        <f t="shared" si="14"/>
        <v>402616.66666666669</v>
      </c>
      <c r="S111" s="34">
        <f t="shared" si="15"/>
        <v>207616.25792686746</v>
      </c>
    </row>
    <row r="112" spans="3:19" x14ac:dyDescent="0.25">
      <c r="C112" s="92"/>
      <c r="D112" s="9" t="s">
        <v>25</v>
      </c>
      <c r="E112" s="41">
        <v>33000</v>
      </c>
      <c r="F112" s="41">
        <v>6270</v>
      </c>
      <c r="G112" s="41">
        <f>3332*500</f>
        <v>1666000</v>
      </c>
      <c r="H112" s="41">
        <v>210000</v>
      </c>
      <c r="I112" s="41">
        <v>39900</v>
      </c>
      <c r="J112" s="41">
        <f t="shared" si="16"/>
        <v>249900</v>
      </c>
      <c r="K112" s="52">
        <v>3584000</v>
      </c>
      <c r="L112" s="51">
        <f t="shared" si="12"/>
        <v>680960</v>
      </c>
      <c r="M112" s="52">
        <f t="shared" si="13"/>
        <v>4264960</v>
      </c>
      <c r="N112" s="72">
        <f>G112</f>
        <v>1666000</v>
      </c>
      <c r="O112" s="72"/>
      <c r="P112" s="72"/>
      <c r="R112" s="34">
        <f t="shared" si="14"/>
        <v>2060286.6666666667</v>
      </c>
      <c r="S112" s="34">
        <f t="shared" si="15"/>
        <v>1662683.2094606063</v>
      </c>
    </row>
    <row r="113" spans="3:19" x14ac:dyDescent="0.25">
      <c r="C113" s="92"/>
      <c r="D113" s="9" t="s">
        <v>26</v>
      </c>
      <c r="E113" s="41">
        <v>30000</v>
      </c>
      <c r="F113" s="41">
        <v>5700</v>
      </c>
      <c r="G113" s="41">
        <f>3094*1000</f>
        <v>3094000</v>
      </c>
      <c r="H113" s="41">
        <v>210000</v>
      </c>
      <c r="I113" s="41">
        <v>39900</v>
      </c>
      <c r="J113" s="41">
        <f t="shared" si="16"/>
        <v>249900</v>
      </c>
      <c r="K113" s="52">
        <v>6944000</v>
      </c>
      <c r="L113" s="51">
        <f t="shared" si="12"/>
        <v>1319360</v>
      </c>
      <c r="M113" s="52">
        <f t="shared" si="13"/>
        <v>8263360</v>
      </c>
      <c r="N113" s="72"/>
      <c r="O113" s="72"/>
      <c r="P113" s="72"/>
      <c r="R113" s="34">
        <f t="shared" si="14"/>
        <v>3869086.6666666665</v>
      </c>
      <c r="S113" s="34">
        <f t="shared" si="15"/>
        <v>3317072.4842380048</v>
      </c>
    </row>
    <row r="114" spans="3:19" ht="15.75" thickBot="1" x14ac:dyDescent="0.3">
      <c r="C114" s="93"/>
      <c r="D114" s="10" t="s">
        <v>27</v>
      </c>
      <c r="E114" s="42">
        <v>28500</v>
      </c>
      <c r="F114" s="42">
        <v>5415</v>
      </c>
      <c r="G114" s="42">
        <f>2737*1000</f>
        <v>2737000</v>
      </c>
      <c r="H114" s="42">
        <v>210000</v>
      </c>
      <c r="I114" s="42">
        <v>39000</v>
      </c>
      <c r="J114" s="42">
        <f t="shared" si="16"/>
        <v>249000</v>
      </c>
      <c r="K114" s="53">
        <v>6608000</v>
      </c>
      <c r="L114" s="54">
        <f t="shared" si="12"/>
        <v>1255520</v>
      </c>
      <c r="M114" s="53">
        <f t="shared" si="13"/>
        <v>7863520</v>
      </c>
      <c r="N114" s="72"/>
      <c r="O114" s="72">
        <f>M114*3</f>
        <v>23590560</v>
      </c>
      <c r="P114" s="72"/>
      <c r="R114" s="34">
        <f t="shared" si="14"/>
        <v>3616506.6666666665</v>
      </c>
      <c r="S114" s="34">
        <f t="shared" si="15"/>
        <v>3170213.2094580363</v>
      </c>
    </row>
    <row r="115" spans="3:19" x14ac:dyDescent="0.25">
      <c r="C115" s="91" t="s">
        <v>28</v>
      </c>
      <c r="D115" s="11" t="s">
        <v>37</v>
      </c>
      <c r="E115" s="43">
        <v>15400</v>
      </c>
      <c r="F115" s="43">
        <v>2926</v>
      </c>
      <c r="G115" s="43">
        <f>18326*25</f>
        <v>458150</v>
      </c>
      <c r="H115" s="43">
        <v>11500</v>
      </c>
      <c r="I115" s="43">
        <v>2185</v>
      </c>
      <c r="J115" s="43">
        <f>+(H115+I115)*25</f>
        <v>342125</v>
      </c>
      <c r="K115" s="55">
        <v>238000</v>
      </c>
      <c r="L115" s="56">
        <f t="shared" si="12"/>
        <v>45220</v>
      </c>
      <c r="M115" s="55">
        <f t="shared" si="13"/>
        <v>283220</v>
      </c>
      <c r="N115" s="72">
        <f>G115</f>
        <v>458150</v>
      </c>
      <c r="O115" s="72"/>
      <c r="P115" s="72"/>
      <c r="R115" s="34">
        <f t="shared" si="14"/>
        <v>361165</v>
      </c>
      <c r="S115" s="34">
        <f t="shared" si="15"/>
        <v>72672.862541666822</v>
      </c>
    </row>
    <row r="116" spans="3:19" x14ac:dyDescent="0.25">
      <c r="C116" s="92"/>
      <c r="D116" s="20" t="s">
        <v>38</v>
      </c>
      <c r="E116" s="44">
        <v>14700</v>
      </c>
      <c r="F116" s="44">
        <v>2793</v>
      </c>
      <c r="G116" s="44">
        <f>17493*50</f>
        <v>874650</v>
      </c>
      <c r="H116" s="44">
        <v>11500</v>
      </c>
      <c r="I116" s="44">
        <v>2185</v>
      </c>
      <c r="J116" s="44">
        <f>+(H116+I116)*50</f>
        <v>684250</v>
      </c>
      <c r="K116" s="52">
        <v>464800</v>
      </c>
      <c r="L116" s="51">
        <f t="shared" si="12"/>
        <v>88312</v>
      </c>
      <c r="M116" s="52">
        <f t="shared" si="13"/>
        <v>553112</v>
      </c>
      <c r="N116" s="72"/>
      <c r="O116" s="72"/>
      <c r="P116" s="72"/>
      <c r="R116" s="34">
        <f t="shared" si="14"/>
        <v>704004</v>
      </c>
      <c r="S116" s="34">
        <f t="shared" si="15"/>
        <v>132008.42586239209</v>
      </c>
    </row>
    <row r="117" spans="3:19" x14ac:dyDescent="0.25">
      <c r="C117" s="92"/>
      <c r="D117" s="20" t="s">
        <v>39</v>
      </c>
      <c r="E117" s="44">
        <v>14000</v>
      </c>
      <c r="F117" s="44">
        <v>2660</v>
      </c>
      <c r="G117" s="44">
        <f>16660*75</f>
        <v>1249500</v>
      </c>
      <c r="H117" s="44">
        <v>11500</v>
      </c>
      <c r="I117" s="44">
        <v>2185</v>
      </c>
      <c r="J117" s="44">
        <f>+(H117+I117)*75</f>
        <v>1026375</v>
      </c>
      <c r="K117" s="52">
        <v>688800</v>
      </c>
      <c r="L117" s="51">
        <f t="shared" si="12"/>
        <v>130872</v>
      </c>
      <c r="M117" s="52">
        <f t="shared" si="13"/>
        <v>819672</v>
      </c>
      <c r="N117" s="72"/>
      <c r="O117" s="72"/>
      <c r="P117" s="72"/>
      <c r="R117" s="34">
        <f t="shared" si="14"/>
        <v>1031849</v>
      </c>
      <c r="S117" s="34">
        <f t="shared" si="15"/>
        <v>175519.2314306327</v>
      </c>
    </row>
    <row r="118" spans="3:19" ht="15.75" thickBot="1" x14ac:dyDescent="0.3">
      <c r="C118" s="93"/>
      <c r="D118" s="21" t="s">
        <v>40</v>
      </c>
      <c r="E118" s="45">
        <v>13300</v>
      </c>
      <c r="F118" s="45">
        <v>2527</v>
      </c>
      <c r="G118" s="45">
        <f>15827*100</f>
        <v>1582700</v>
      </c>
      <c r="H118" s="45">
        <v>11500</v>
      </c>
      <c r="I118" s="45">
        <v>2185</v>
      </c>
      <c r="J118" s="45">
        <f>+(H118+I118)*100</f>
        <v>1368500</v>
      </c>
      <c r="K118" s="53">
        <v>907200</v>
      </c>
      <c r="L118" s="54">
        <f t="shared" si="12"/>
        <v>172368</v>
      </c>
      <c r="M118" s="53">
        <f t="shared" si="13"/>
        <v>1079568</v>
      </c>
      <c r="N118" s="72"/>
      <c r="O118" s="72">
        <f>G118</f>
        <v>1582700</v>
      </c>
      <c r="P118" s="72"/>
      <c r="R118" s="34">
        <f t="shared" si="14"/>
        <v>1343589.3333333333</v>
      </c>
      <c r="S118" s="34">
        <f t="shared" si="15"/>
        <v>206156.66913188997</v>
      </c>
    </row>
    <row r="119" spans="3:19" x14ac:dyDescent="0.25">
      <c r="C119" s="91" t="s">
        <v>29</v>
      </c>
      <c r="D119" s="11" t="s">
        <v>37</v>
      </c>
      <c r="E119" s="43">
        <v>11480</v>
      </c>
      <c r="F119" s="43">
        <v>2181.1999999999998</v>
      </c>
      <c r="G119" s="43">
        <f>13661.2*25</f>
        <v>341530</v>
      </c>
      <c r="H119" s="43">
        <v>6500</v>
      </c>
      <c r="I119" s="43">
        <v>1235</v>
      </c>
      <c r="J119" s="43">
        <f>+(H119+I119)*25</f>
        <v>193375</v>
      </c>
      <c r="K119" s="55">
        <v>308000</v>
      </c>
      <c r="L119" s="56">
        <f t="shared" si="12"/>
        <v>58520</v>
      </c>
      <c r="M119" s="55">
        <f t="shared" si="13"/>
        <v>366520</v>
      </c>
      <c r="N119" s="72">
        <f>M119</f>
        <v>366520</v>
      </c>
      <c r="O119" s="72"/>
      <c r="P119" s="72"/>
      <c r="R119" s="34">
        <f t="shared" si="14"/>
        <v>300475</v>
      </c>
      <c r="S119" s="34">
        <f t="shared" si="15"/>
        <v>76415.236373383028</v>
      </c>
    </row>
    <row r="120" spans="3:19" x14ac:dyDescent="0.25">
      <c r="C120" s="92"/>
      <c r="D120" s="20" t="s">
        <v>38</v>
      </c>
      <c r="E120" s="44">
        <v>10920</v>
      </c>
      <c r="F120" s="44">
        <v>2074.8000000000002</v>
      </c>
      <c r="G120" s="44">
        <f>12994.8*50</f>
        <v>649740</v>
      </c>
      <c r="H120" s="44">
        <v>6300</v>
      </c>
      <c r="I120" s="44">
        <v>1197</v>
      </c>
      <c r="J120" s="44">
        <f>+(H120+I120)*50</f>
        <v>374850</v>
      </c>
      <c r="K120" s="52">
        <v>588000</v>
      </c>
      <c r="L120" s="51">
        <f t="shared" si="12"/>
        <v>111720</v>
      </c>
      <c r="M120" s="52">
        <f t="shared" si="13"/>
        <v>699720</v>
      </c>
      <c r="N120" s="72"/>
      <c r="O120" s="72"/>
      <c r="P120" s="72"/>
      <c r="R120" s="34">
        <f t="shared" si="14"/>
        <v>574770</v>
      </c>
      <c r="S120" s="34">
        <f t="shared" si="15"/>
        <v>142829.74690168712</v>
      </c>
    </row>
    <row r="121" spans="3:19" x14ac:dyDescent="0.25">
      <c r="C121" s="92"/>
      <c r="D121" s="20" t="s">
        <v>39</v>
      </c>
      <c r="E121" s="44">
        <v>10500</v>
      </c>
      <c r="F121" s="44">
        <v>1995</v>
      </c>
      <c r="G121" s="44">
        <f>12495*75</f>
        <v>937125</v>
      </c>
      <c r="H121" s="44">
        <v>6200</v>
      </c>
      <c r="I121" s="44">
        <v>1178</v>
      </c>
      <c r="J121" s="44">
        <f>+(H121+I121)*75</f>
        <v>553350</v>
      </c>
      <c r="K121" s="52">
        <v>840000</v>
      </c>
      <c r="L121" s="51">
        <f t="shared" si="12"/>
        <v>159600</v>
      </c>
      <c r="M121" s="52">
        <f t="shared" si="13"/>
        <v>999600</v>
      </c>
      <c r="N121" s="72"/>
      <c r="O121" s="72"/>
      <c r="P121" s="72"/>
      <c r="R121" s="34">
        <f t="shared" si="14"/>
        <v>830025</v>
      </c>
      <c r="S121" s="34">
        <f t="shared" si="15"/>
        <v>197294.32011591209</v>
      </c>
    </row>
    <row r="122" spans="3:19" ht="15.75" thickBot="1" x14ac:dyDescent="0.3">
      <c r="C122" s="93"/>
      <c r="D122" s="21" t="s">
        <v>40</v>
      </c>
      <c r="E122" s="63">
        <v>10220</v>
      </c>
      <c r="F122" s="63">
        <v>1941.8</v>
      </c>
      <c r="G122" s="63">
        <f>12161.8*100</f>
        <v>1216180</v>
      </c>
      <c r="H122" s="45">
        <v>6000</v>
      </c>
      <c r="I122" s="45">
        <v>1140</v>
      </c>
      <c r="J122" s="45">
        <f>+(H122+I122)*100</f>
        <v>714000</v>
      </c>
      <c r="K122" s="53">
        <v>1064000</v>
      </c>
      <c r="L122" s="54">
        <f t="shared" si="12"/>
        <v>202160</v>
      </c>
      <c r="M122" s="53">
        <f t="shared" si="13"/>
        <v>1266160</v>
      </c>
      <c r="N122" s="72"/>
      <c r="O122" s="72">
        <f>M122</f>
        <v>1266160</v>
      </c>
      <c r="P122" s="72"/>
      <c r="R122" s="34">
        <f t="shared" si="14"/>
        <v>1065446.6666666667</v>
      </c>
      <c r="S122" s="34">
        <f t="shared" si="15"/>
        <v>249346.57237579094</v>
      </c>
    </row>
    <row r="123" spans="3:19" ht="15.75" thickBot="1" x14ac:dyDescent="0.3">
      <c r="C123" s="46" t="s">
        <v>32</v>
      </c>
      <c r="D123" s="47"/>
      <c r="E123" s="64">
        <f>SUM(E72:E122)</f>
        <v>72834594.400000006</v>
      </c>
      <c r="F123" s="64">
        <f t="shared" ref="F123:M123" si="18">SUM(F72:F122)</f>
        <v>13838572.935999999</v>
      </c>
      <c r="G123" s="65">
        <f t="shared" si="18"/>
        <v>135857230.59999999</v>
      </c>
      <c r="H123" s="64">
        <f t="shared" si="18"/>
        <v>84720760</v>
      </c>
      <c r="I123" s="64">
        <f t="shared" si="18"/>
        <v>16096046</v>
      </c>
      <c r="J123" s="65">
        <f t="shared" si="18"/>
        <v>140375908</v>
      </c>
      <c r="K123" s="64">
        <f t="shared" si="18"/>
        <v>95088211</v>
      </c>
      <c r="L123" s="64">
        <f t="shared" si="18"/>
        <v>18066760.090000004</v>
      </c>
      <c r="M123" s="65">
        <f t="shared" si="18"/>
        <v>113154971.09</v>
      </c>
      <c r="N123" s="74">
        <f>SUM(N73:N122)</f>
        <v>49778388.909999996</v>
      </c>
      <c r="O123" s="74">
        <f>SUM(O73:O122)</f>
        <v>106652662.33999999</v>
      </c>
      <c r="P123" s="73"/>
      <c r="R123" s="34">
        <f>SUM(R72:R122)</f>
        <v>129796036.56333335</v>
      </c>
      <c r="S123" s="34">
        <f t="shared" si="15"/>
        <v>11910734.833953856</v>
      </c>
    </row>
    <row r="125" spans="3:19" x14ac:dyDescent="0.25">
      <c r="J125" s="29">
        <f>+(G123+J123+M123)/3</f>
        <v>129796036.56333335</v>
      </c>
    </row>
    <row r="126" spans="3:19" x14ac:dyDescent="0.25">
      <c r="M126" s="34">
        <f>M123+J123+G123</f>
        <v>389388109.69</v>
      </c>
    </row>
    <row r="127" spans="3:19" x14ac:dyDescent="0.25">
      <c r="M127" s="34">
        <f>M126/3</f>
        <v>129796036.56333333</v>
      </c>
    </row>
    <row r="128" spans="3:19" x14ac:dyDescent="0.25">
      <c r="G128" s="29">
        <f>(G123+J123+M123)/3</f>
        <v>129796036.56333335</v>
      </c>
    </row>
  </sheetData>
  <mergeCells count="22">
    <mergeCell ref="C119:C122"/>
    <mergeCell ref="C80:C88"/>
    <mergeCell ref="C89:C98"/>
    <mergeCell ref="C99:C110"/>
    <mergeCell ref="C111:C114"/>
    <mergeCell ref="C115:C118"/>
    <mergeCell ref="C70:D70"/>
    <mergeCell ref="E70:G70"/>
    <mergeCell ref="H70:J70"/>
    <mergeCell ref="K70:M70"/>
    <mergeCell ref="C72:C79"/>
    <mergeCell ref="C52:C55"/>
    <mergeCell ref="E3:G3"/>
    <mergeCell ref="H3:J3"/>
    <mergeCell ref="K3:M3"/>
    <mergeCell ref="C5:C12"/>
    <mergeCell ref="C13:C21"/>
    <mergeCell ref="C22:C31"/>
    <mergeCell ref="C32:C43"/>
    <mergeCell ref="C44:C47"/>
    <mergeCell ref="C48:C51"/>
    <mergeCell ref="C3:D3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58"/>
  <sheetViews>
    <sheetView topLeftCell="A16" workbookViewId="0">
      <selection activeCell="I13" sqref="I13"/>
    </sheetView>
  </sheetViews>
  <sheetFormatPr baseColWidth="10" defaultRowHeight="15" x14ac:dyDescent="0.25"/>
  <cols>
    <col min="1" max="1" width="7.42578125" customWidth="1"/>
    <col min="2" max="2" width="31.5703125" customWidth="1"/>
    <col min="3" max="3" width="39.7109375" customWidth="1"/>
    <col min="4" max="4" width="25.5703125" customWidth="1"/>
    <col min="5" max="5" width="22.42578125" customWidth="1"/>
    <col min="6" max="6" width="28.140625" customWidth="1"/>
  </cols>
  <sheetData>
    <row r="1" spans="2:9" x14ac:dyDescent="0.25">
      <c r="B1" s="112" t="s">
        <v>162</v>
      </c>
      <c r="C1" s="112"/>
      <c r="D1" s="112"/>
      <c r="E1" s="112"/>
      <c r="F1" s="112"/>
    </row>
    <row r="2" spans="2:9" x14ac:dyDescent="0.25">
      <c r="B2" s="112"/>
      <c r="C2" s="112"/>
      <c r="D2" s="112"/>
      <c r="E2" s="112"/>
      <c r="F2" s="112"/>
    </row>
    <row r="3" spans="2:9" ht="7.5" customHeight="1" x14ac:dyDescent="0.25">
      <c r="D3" s="14"/>
    </row>
    <row r="4" spans="2:9" ht="21.75" customHeight="1" x14ac:dyDescent="0.25">
      <c r="B4" s="111" t="s">
        <v>163</v>
      </c>
      <c r="C4" s="111"/>
      <c r="D4" s="111"/>
      <c r="E4" s="111"/>
      <c r="F4" s="111"/>
      <c r="I4" s="86"/>
    </row>
    <row r="5" spans="2:9" x14ac:dyDescent="0.25">
      <c r="C5" s="87"/>
      <c r="D5" s="87"/>
      <c r="E5" s="87"/>
      <c r="F5" s="87"/>
    </row>
    <row r="6" spans="2:9" ht="15.75" thickBot="1" x14ac:dyDescent="0.3"/>
    <row r="7" spans="2:9" ht="26.25" thickBot="1" x14ac:dyDescent="0.3">
      <c r="B7" s="1" t="s">
        <v>34</v>
      </c>
      <c r="C7" s="1" t="s">
        <v>35</v>
      </c>
      <c r="D7" s="1" t="s">
        <v>161</v>
      </c>
      <c r="E7" s="1" t="s">
        <v>31</v>
      </c>
      <c r="F7" s="1" t="s">
        <v>164</v>
      </c>
    </row>
    <row r="8" spans="2:9" ht="15.75" thickBot="1" x14ac:dyDescent="0.3">
      <c r="B8" s="98" t="s">
        <v>0</v>
      </c>
      <c r="C8" s="17" t="s">
        <v>42</v>
      </c>
      <c r="D8" s="88">
        <f>F8/1.19</f>
        <v>1985294.1176470588</v>
      </c>
      <c r="E8" s="89">
        <f>D8*19%</f>
        <v>377205.8823529412</v>
      </c>
      <c r="F8" s="36">
        <v>2362500</v>
      </c>
    </row>
    <row r="9" spans="2:9" ht="15.75" thickBot="1" x14ac:dyDescent="0.3">
      <c r="B9" s="99"/>
      <c r="C9" s="3" t="s">
        <v>43</v>
      </c>
      <c r="D9" s="88">
        <f t="shared" ref="D9:D49" si="0">F9/1.19</f>
        <v>3308823.5294117648</v>
      </c>
      <c r="E9" s="89">
        <f t="shared" ref="E9:E49" si="1">D9*19%</f>
        <v>628676.4705882353</v>
      </c>
      <c r="F9" s="37">
        <v>3937500</v>
      </c>
    </row>
    <row r="10" spans="2:9" ht="15.75" thickBot="1" x14ac:dyDescent="0.3">
      <c r="B10" s="99"/>
      <c r="C10" s="3" t="s">
        <v>44</v>
      </c>
      <c r="D10" s="88">
        <f t="shared" si="0"/>
        <v>2132352.9411764708</v>
      </c>
      <c r="E10" s="89">
        <f t="shared" si="1"/>
        <v>405147.05882352946</v>
      </c>
      <c r="F10" s="37">
        <v>2537500</v>
      </c>
    </row>
    <row r="11" spans="2:9" ht="15.75" thickBot="1" x14ac:dyDescent="0.3">
      <c r="B11" s="100"/>
      <c r="C11" s="3" t="s">
        <v>45</v>
      </c>
      <c r="D11" s="88">
        <f t="shared" si="0"/>
        <v>3455882.3529411769</v>
      </c>
      <c r="E11" s="89">
        <f t="shared" si="1"/>
        <v>656617.64705882361</v>
      </c>
      <c r="F11" s="37">
        <v>4112500</v>
      </c>
    </row>
    <row r="12" spans="2:9" ht="15.75" thickBot="1" x14ac:dyDescent="0.3">
      <c r="B12" s="100"/>
      <c r="C12" s="3" t="s">
        <v>46</v>
      </c>
      <c r="D12" s="88">
        <f t="shared" si="0"/>
        <v>2426470.5882352944</v>
      </c>
      <c r="E12" s="89">
        <f t="shared" si="1"/>
        <v>461029.41176470596</v>
      </c>
      <c r="F12" s="37">
        <v>2887500</v>
      </c>
    </row>
    <row r="13" spans="2:9" ht="15.75" thickBot="1" x14ac:dyDescent="0.3">
      <c r="B13" s="100"/>
      <c r="C13" s="3" t="s">
        <v>47</v>
      </c>
      <c r="D13" s="88">
        <f t="shared" si="0"/>
        <v>3750000</v>
      </c>
      <c r="E13" s="89">
        <f t="shared" si="1"/>
        <v>712500</v>
      </c>
      <c r="F13" s="37">
        <v>4462500</v>
      </c>
    </row>
    <row r="14" spans="2:9" ht="15.75" thickBot="1" x14ac:dyDescent="0.3">
      <c r="B14" s="101"/>
      <c r="C14" s="3" t="s">
        <v>48</v>
      </c>
      <c r="D14" s="88">
        <f t="shared" si="0"/>
        <v>2573529.411764706</v>
      </c>
      <c r="E14" s="89">
        <f t="shared" si="1"/>
        <v>488970.58823529416</v>
      </c>
      <c r="F14" s="38">
        <v>3062500</v>
      </c>
    </row>
    <row r="15" spans="2:9" ht="26.25" thickBot="1" x14ac:dyDescent="0.3">
      <c r="B15" s="102"/>
      <c r="C15" s="4" t="s">
        <v>49</v>
      </c>
      <c r="D15" s="88">
        <f t="shared" si="0"/>
        <v>3897058.823529412</v>
      </c>
      <c r="E15" s="89">
        <f t="shared" si="1"/>
        <v>740441.17647058831</v>
      </c>
      <c r="F15" s="39">
        <v>4637500</v>
      </c>
    </row>
    <row r="16" spans="2:9" ht="15.75" thickBot="1" x14ac:dyDescent="0.3">
      <c r="B16" s="91" t="s">
        <v>159</v>
      </c>
      <c r="C16" s="8" t="s">
        <v>156</v>
      </c>
      <c r="D16" s="88">
        <f t="shared" si="0"/>
        <v>219159.66386554623</v>
      </c>
      <c r="E16" s="89">
        <f t="shared" si="1"/>
        <v>41640.336134453784</v>
      </c>
      <c r="F16" s="5">
        <v>260800</v>
      </c>
    </row>
    <row r="17" spans="2:6" ht="15.75" thickBot="1" x14ac:dyDescent="0.3">
      <c r="B17" s="92"/>
      <c r="C17" s="9" t="s">
        <v>157</v>
      </c>
      <c r="D17" s="88">
        <f t="shared" si="0"/>
        <v>424873.94957983197</v>
      </c>
      <c r="E17" s="89">
        <f t="shared" si="1"/>
        <v>80726.050420168074</v>
      </c>
      <c r="F17" s="6">
        <v>505600</v>
      </c>
    </row>
    <row r="18" spans="2:6" ht="15.75" thickBot="1" x14ac:dyDescent="0.3">
      <c r="B18" s="92"/>
      <c r="C18" s="3" t="s">
        <v>158</v>
      </c>
      <c r="D18" s="88">
        <f t="shared" si="0"/>
        <v>489411.76470588235</v>
      </c>
      <c r="E18" s="89">
        <f t="shared" si="1"/>
        <v>92988.23529411765</v>
      </c>
      <c r="F18" s="6">
        <v>582400</v>
      </c>
    </row>
    <row r="19" spans="2:6" ht="15.75" thickBot="1" x14ac:dyDescent="0.3">
      <c r="B19" s="92"/>
      <c r="C19" s="3" t="s">
        <v>53</v>
      </c>
      <c r="D19" s="88">
        <f t="shared" si="0"/>
        <v>674957.98319327738</v>
      </c>
      <c r="E19" s="89">
        <f t="shared" si="1"/>
        <v>128242.01680672271</v>
      </c>
      <c r="F19" s="6">
        <v>803200</v>
      </c>
    </row>
    <row r="20" spans="2:6" ht="15.75" thickBot="1" x14ac:dyDescent="0.3">
      <c r="B20" s="92"/>
      <c r="C20" s="3" t="s">
        <v>54</v>
      </c>
      <c r="D20" s="88">
        <f t="shared" si="0"/>
        <v>900840.33613445377</v>
      </c>
      <c r="E20" s="89">
        <f t="shared" si="1"/>
        <v>171159.66386554623</v>
      </c>
      <c r="F20" s="6">
        <v>1072000</v>
      </c>
    </row>
    <row r="21" spans="2:6" ht="15.75" thickBot="1" x14ac:dyDescent="0.3">
      <c r="B21" s="106"/>
      <c r="C21" s="15" t="s">
        <v>55</v>
      </c>
      <c r="D21" s="88">
        <f t="shared" si="0"/>
        <v>1301512.6050420168</v>
      </c>
      <c r="E21" s="89">
        <f t="shared" si="1"/>
        <v>247287.3949579832</v>
      </c>
      <c r="F21" s="16">
        <v>1548800</v>
      </c>
    </row>
    <row r="22" spans="2:6" ht="26.25" thickBot="1" x14ac:dyDescent="0.3">
      <c r="B22" s="106"/>
      <c r="C22" s="15" t="s">
        <v>58</v>
      </c>
      <c r="D22" s="88">
        <f t="shared" si="0"/>
        <v>914285.71428571432</v>
      </c>
      <c r="E22" s="89">
        <f t="shared" si="1"/>
        <v>173714.28571428571</v>
      </c>
      <c r="F22" s="16">
        <v>1088000</v>
      </c>
    </row>
    <row r="23" spans="2:6" ht="26.25" thickBot="1" x14ac:dyDescent="0.3">
      <c r="B23" s="106"/>
      <c r="C23" s="15" t="s">
        <v>59</v>
      </c>
      <c r="D23" s="88">
        <f t="shared" si="0"/>
        <v>1086386.5546218487</v>
      </c>
      <c r="E23" s="89">
        <f t="shared" si="1"/>
        <v>206413.44537815126</v>
      </c>
      <c r="F23" s="16">
        <v>1292800</v>
      </c>
    </row>
    <row r="24" spans="2:6" ht="26.25" thickBot="1" x14ac:dyDescent="0.3">
      <c r="B24" s="106"/>
      <c r="C24" s="15" t="s">
        <v>56</v>
      </c>
      <c r="D24" s="88">
        <f t="shared" si="0"/>
        <v>309243.69747899158</v>
      </c>
      <c r="E24" s="89">
        <f t="shared" si="1"/>
        <v>58756.302521008402</v>
      </c>
      <c r="F24" s="16">
        <v>368000</v>
      </c>
    </row>
    <row r="25" spans="2:6" ht="26.25" thickBot="1" x14ac:dyDescent="0.3">
      <c r="B25" s="93"/>
      <c r="C25" s="4" t="s">
        <v>57</v>
      </c>
      <c r="D25" s="88">
        <f t="shared" si="0"/>
        <v>1169747.8991596638</v>
      </c>
      <c r="E25" s="89">
        <f t="shared" si="1"/>
        <v>222252.10084033612</v>
      </c>
      <c r="F25" s="7">
        <v>1392000</v>
      </c>
    </row>
    <row r="26" spans="2:6" ht="15.75" thickBot="1" x14ac:dyDescent="0.3">
      <c r="B26" s="91" t="s">
        <v>11</v>
      </c>
      <c r="C26" s="8" t="s">
        <v>12</v>
      </c>
      <c r="D26" s="88">
        <f t="shared" si="0"/>
        <v>2613.7815126050423</v>
      </c>
      <c r="E26" s="89">
        <f t="shared" si="1"/>
        <v>496.61848739495804</v>
      </c>
      <c r="F26" s="5">
        <v>3110.4</v>
      </c>
    </row>
    <row r="27" spans="2:6" ht="15.75" thickBot="1" x14ac:dyDescent="0.3">
      <c r="B27" s="92"/>
      <c r="C27" s="9" t="s">
        <v>13</v>
      </c>
      <c r="D27" s="88">
        <f t="shared" si="0"/>
        <v>2043.6974789915967</v>
      </c>
      <c r="E27" s="89">
        <f t="shared" si="1"/>
        <v>388.30252100840335</v>
      </c>
      <c r="F27" s="6">
        <v>2432</v>
      </c>
    </row>
    <row r="28" spans="2:6" ht="15.75" thickBot="1" x14ac:dyDescent="0.3">
      <c r="B28" s="92"/>
      <c r="C28" s="9" t="s">
        <v>14</v>
      </c>
      <c r="D28" s="88">
        <f t="shared" si="0"/>
        <v>22588.235294117647</v>
      </c>
      <c r="E28" s="89">
        <f t="shared" si="1"/>
        <v>4291.7647058823532</v>
      </c>
      <c r="F28" s="6">
        <v>26880</v>
      </c>
    </row>
    <row r="29" spans="2:6" ht="15.75" thickBot="1" x14ac:dyDescent="0.3">
      <c r="B29" s="92"/>
      <c r="C29" s="9" t="s">
        <v>15</v>
      </c>
      <c r="D29" s="88">
        <f t="shared" si="0"/>
        <v>2366.386554621849</v>
      </c>
      <c r="E29" s="89">
        <f t="shared" si="1"/>
        <v>449.61344537815131</v>
      </c>
      <c r="F29" s="6">
        <v>2816</v>
      </c>
    </row>
    <row r="30" spans="2:6" ht="15.75" thickBot="1" x14ac:dyDescent="0.3">
      <c r="B30" s="92"/>
      <c r="C30" s="3" t="s">
        <v>16</v>
      </c>
      <c r="D30" s="88">
        <f t="shared" si="0"/>
        <v>1936.1344537815128</v>
      </c>
      <c r="E30" s="89">
        <f t="shared" si="1"/>
        <v>367.86554621848745</v>
      </c>
      <c r="F30" s="6">
        <v>2304</v>
      </c>
    </row>
    <row r="31" spans="2:6" ht="15.75" thickBot="1" x14ac:dyDescent="0.3">
      <c r="B31" s="92"/>
      <c r="C31" s="3" t="s">
        <v>17</v>
      </c>
      <c r="D31" s="88">
        <f t="shared" si="0"/>
        <v>21512.605042016807</v>
      </c>
      <c r="E31" s="89">
        <f t="shared" si="1"/>
        <v>4087.3949579831933</v>
      </c>
      <c r="F31" s="6">
        <v>25600</v>
      </c>
    </row>
    <row r="32" spans="2:6" ht="15.75" thickBot="1" x14ac:dyDescent="0.3">
      <c r="B32" s="92"/>
      <c r="C32" s="3" t="s">
        <v>18</v>
      </c>
      <c r="D32" s="88">
        <f t="shared" si="0"/>
        <v>2258.8235294117649</v>
      </c>
      <c r="E32" s="89">
        <f t="shared" si="1"/>
        <v>429.1764705882353</v>
      </c>
      <c r="F32" s="6">
        <v>2688</v>
      </c>
    </row>
    <row r="33" spans="2:6" ht="15.75" thickBot="1" x14ac:dyDescent="0.3">
      <c r="B33" s="92"/>
      <c r="C33" s="3" t="s">
        <v>19</v>
      </c>
      <c r="D33" s="88">
        <f t="shared" si="0"/>
        <v>1828.5714285714287</v>
      </c>
      <c r="E33" s="89">
        <f t="shared" si="1"/>
        <v>347.42857142857144</v>
      </c>
      <c r="F33" s="6">
        <v>2176</v>
      </c>
    </row>
    <row r="34" spans="2:6" ht="15.75" thickBot="1" x14ac:dyDescent="0.3">
      <c r="B34" s="92"/>
      <c r="C34" s="3" t="s">
        <v>20</v>
      </c>
      <c r="D34" s="88">
        <f t="shared" si="0"/>
        <v>20436.974789915967</v>
      </c>
      <c r="E34" s="89">
        <f t="shared" si="1"/>
        <v>3883.0252100840335</v>
      </c>
      <c r="F34" s="6">
        <v>24320</v>
      </c>
    </row>
    <row r="35" spans="2:6" ht="15.75" thickBot="1" x14ac:dyDescent="0.3">
      <c r="B35" s="92"/>
      <c r="C35" s="3" t="s">
        <v>21</v>
      </c>
      <c r="D35" s="88">
        <f t="shared" si="0"/>
        <v>2151.2605042016808</v>
      </c>
      <c r="E35" s="89">
        <f t="shared" si="1"/>
        <v>408.73949579831935</v>
      </c>
      <c r="F35" s="6">
        <v>2560</v>
      </c>
    </row>
    <row r="36" spans="2:6" ht="15.75" thickBot="1" x14ac:dyDescent="0.3">
      <c r="B36" s="92"/>
      <c r="C36" s="3" t="s">
        <v>22</v>
      </c>
      <c r="D36" s="88">
        <f t="shared" si="0"/>
        <v>1721.0084033613446</v>
      </c>
      <c r="E36" s="89">
        <f t="shared" si="1"/>
        <v>326.99159663865549</v>
      </c>
      <c r="F36" s="6">
        <v>2048</v>
      </c>
    </row>
    <row r="37" spans="2:6" ht="15.75" thickBot="1" x14ac:dyDescent="0.3">
      <c r="B37" s="93"/>
      <c r="C37" s="4" t="s">
        <v>23</v>
      </c>
      <c r="D37" s="88">
        <f t="shared" si="0"/>
        <v>19361.344537815126</v>
      </c>
      <c r="E37" s="89">
        <f t="shared" si="1"/>
        <v>3678.6554621848741</v>
      </c>
      <c r="F37" s="7">
        <v>23040</v>
      </c>
    </row>
    <row r="38" spans="2:6" ht="15.75" thickBot="1" x14ac:dyDescent="0.3">
      <c r="B38" s="91" t="s">
        <v>36</v>
      </c>
      <c r="C38" s="8" t="s">
        <v>24</v>
      </c>
      <c r="D38" s="88">
        <f t="shared" si="0"/>
        <v>491596.63865546219</v>
      </c>
      <c r="E38" s="89">
        <f t="shared" si="1"/>
        <v>93403.361344537814</v>
      </c>
      <c r="F38" s="5">
        <v>585000</v>
      </c>
    </row>
    <row r="39" spans="2:6" ht="15.75" thickBot="1" x14ac:dyDescent="0.3">
      <c r="B39" s="92"/>
      <c r="C39" s="9" t="s">
        <v>25</v>
      </c>
      <c r="D39" s="88">
        <f t="shared" si="0"/>
        <v>27731.092436974792</v>
      </c>
      <c r="E39" s="89">
        <f t="shared" si="1"/>
        <v>5268.9075630252109</v>
      </c>
      <c r="F39" s="6">
        <v>33000</v>
      </c>
    </row>
    <row r="40" spans="2:6" ht="15.75" thickBot="1" x14ac:dyDescent="0.3">
      <c r="B40" s="92"/>
      <c r="C40" s="9" t="s">
        <v>26</v>
      </c>
      <c r="D40" s="88">
        <f t="shared" si="0"/>
        <v>25210.084033613446</v>
      </c>
      <c r="E40" s="89">
        <f t="shared" si="1"/>
        <v>4789.9159663865548</v>
      </c>
      <c r="F40" s="6">
        <v>30000</v>
      </c>
    </row>
    <row r="41" spans="2:6" ht="15.75" thickBot="1" x14ac:dyDescent="0.3">
      <c r="B41" s="93"/>
      <c r="C41" s="10" t="s">
        <v>27</v>
      </c>
      <c r="D41" s="88">
        <f t="shared" si="0"/>
        <v>23949.579831932773</v>
      </c>
      <c r="E41" s="89">
        <f t="shared" si="1"/>
        <v>4550.4201680672268</v>
      </c>
      <c r="F41" s="7">
        <v>28500</v>
      </c>
    </row>
    <row r="42" spans="2:6" ht="15.75" thickBot="1" x14ac:dyDescent="0.3">
      <c r="B42" s="91" t="s">
        <v>28</v>
      </c>
      <c r="C42" s="11" t="s">
        <v>37</v>
      </c>
      <c r="D42" s="88">
        <f t="shared" si="0"/>
        <v>12941.176470588236</v>
      </c>
      <c r="E42" s="89">
        <f t="shared" si="1"/>
        <v>2458.8235294117649</v>
      </c>
      <c r="F42" s="5">
        <v>15400</v>
      </c>
    </row>
    <row r="43" spans="2:6" ht="15.75" thickBot="1" x14ac:dyDescent="0.3">
      <c r="B43" s="92"/>
      <c r="C43" s="12" t="s">
        <v>38</v>
      </c>
      <c r="D43" s="88">
        <f t="shared" si="0"/>
        <v>12352.941176470589</v>
      </c>
      <c r="E43" s="89">
        <f t="shared" si="1"/>
        <v>2347.0588235294122</v>
      </c>
      <c r="F43" s="6">
        <v>14700</v>
      </c>
    </row>
    <row r="44" spans="2:6" ht="15.75" thickBot="1" x14ac:dyDescent="0.3">
      <c r="B44" s="92"/>
      <c r="C44" s="12" t="s">
        <v>39</v>
      </c>
      <c r="D44" s="88">
        <f t="shared" si="0"/>
        <v>11764.705882352942</v>
      </c>
      <c r="E44" s="89">
        <f t="shared" si="1"/>
        <v>2235.294117647059</v>
      </c>
      <c r="F44" s="6">
        <v>14000</v>
      </c>
    </row>
    <row r="45" spans="2:6" ht="15.75" thickBot="1" x14ac:dyDescent="0.3">
      <c r="B45" s="93"/>
      <c r="C45" s="13" t="s">
        <v>40</v>
      </c>
      <c r="D45" s="88">
        <f t="shared" si="0"/>
        <v>11176.470588235296</v>
      </c>
      <c r="E45" s="89">
        <f t="shared" si="1"/>
        <v>2123.5294117647063</v>
      </c>
      <c r="F45" s="7">
        <v>13300</v>
      </c>
    </row>
    <row r="46" spans="2:6" ht="15.75" thickBot="1" x14ac:dyDescent="0.3">
      <c r="B46" s="91" t="s">
        <v>29</v>
      </c>
      <c r="C46" s="11" t="s">
        <v>37</v>
      </c>
      <c r="D46" s="88">
        <f t="shared" si="0"/>
        <v>9647.0588235294126</v>
      </c>
      <c r="E46" s="89">
        <f t="shared" si="1"/>
        <v>1832.9411764705885</v>
      </c>
      <c r="F46" s="5">
        <v>11480</v>
      </c>
    </row>
    <row r="47" spans="2:6" ht="15.75" thickBot="1" x14ac:dyDescent="0.3">
      <c r="B47" s="92"/>
      <c r="C47" s="12" t="s">
        <v>38</v>
      </c>
      <c r="D47" s="88">
        <f t="shared" si="0"/>
        <v>9176.4705882352937</v>
      </c>
      <c r="E47" s="89">
        <f t="shared" si="1"/>
        <v>1743.5294117647059</v>
      </c>
      <c r="F47" s="6">
        <v>10920</v>
      </c>
    </row>
    <row r="48" spans="2:6" ht="15.75" thickBot="1" x14ac:dyDescent="0.3">
      <c r="B48" s="92"/>
      <c r="C48" s="12" t="s">
        <v>39</v>
      </c>
      <c r="D48" s="88">
        <f t="shared" si="0"/>
        <v>8823.5294117647063</v>
      </c>
      <c r="E48" s="89">
        <f t="shared" si="1"/>
        <v>1676.4705882352941</v>
      </c>
      <c r="F48" s="6">
        <v>10500</v>
      </c>
    </row>
    <row r="49" spans="2:6" ht="15.75" thickBot="1" x14ac:dyDescent="0.3">
      <c r="B49" s="93"/>
      <c r="C49" s="13" t="s">
        <v>40</v>
      </c>
      <c r="D49" s="88">
        <f t="shared" si="0"/>
        <v>8588.2352941176468</v>
      </c>
      <c r="E49" s="89">
        <f t="shared" si="1"/>
        <v>1631.7647058823529</v>
      </c>
      <c r="F49" s="7">
        <v>10220</v>
      </c>
    </row>
    <row r="50" spans="2:6" ht="39" customHeight="1" thickBot="1" x14ac:dyDescent="0.3">
      <c r="B50" s="109" t="s">
        <v>160</v>
      </c>
      <c r="C50" s="110"/>
      <c r="D50" s="83">
        <f>SUM(D8:D49)</f>
        <v>31773608.739495795</v>
      </c>
      <c r="E50" s="84"/>
      <c r="F50" s="85">
        <f>SUM(F8:F49)</f>
        <v>37810594.399999999</v>
      </c>
    </row>
    <row r="55" spans="2:6" x14ac:dyDescent="0.25">
      <c r="B55" t="s">
        <v>165</v>
      </c>
    </row>
    <row r="56" spans="2:6" x14ac:dyDescent="0.25">
      <c r="B56" t="s">
        <v>166</v>
      </c>
    </row>
    <row r="57" spans="2:6" x14ac:dyDescent="0.25">
      <c r="B57" t="s">
        <v>167</v>
      </c>
    </row>
    <row r="58" spans="2:6" x14ac:dyDescent="0.25">
      <c r="B58" t="s">
        <v>168</v>
      </c>
    </row>
  </sheetData>
  <mergeCells count="9">
    <mergeCell ref="B50:C50"/>
    <mergeCell ref="B4:F4"/>
    <mergeCell ref="B1:F2"/>
    <mergeCell ref="B46:B49"/>
    <mergeCell ref="B8:B15"/>
    <mergeCell ref="B16:B25"/>
    <mergeCell ref="B26:B37"/>
    <mergeCell ref="B38:B41"/>
    <mergeCell ref="B42:B45"/>
  </mergeCells>
  <pageMargins left="0.7" right="0.7" top="0.75" bottom="0.75" header="0.3" footer="0.3"/>
  <pageSetup scale="55" orientation="portrait" r:id="rId1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5:L55"/>
  <sheetViews>
    <sheetView topLeftCell="A34" workbookViewId="0">
      <selection activeCell="F23" sqref="F23:F25"/>
    </sheetView>
  </sheetViews>
  <sheetFormatPr baseColWidth="10" defaultRowHeight="15" x14ac:dyDescent="0.25"/>
  <cols>
    <col min="5" max="5" width="16" customWidth="1"/>
    <col min="6" max="6" width="38" customWidth="1"/>
    <col min="7" max="7" width="27.42578125" customWidth="1"/>
  </cols>
  <sheetData>
    <row r="5" spans="3:12" x14ac:dyDescent="0.25">
      <c r="C5" t="s">
        <v>61</v>
      </c>
      <c r="E5" s="29">
        <f>+H26</f>
        <v>30640024.800000001</v>
      </c>
      <c r="F5" s="29">
        <v>29763562.239999998</v>
      </c>
      <c r="J5" s="29">
        <v>29763562</v>
      </c>
    </row>
    <row r="6" spans="3:12" x14ac:dyDescent="0.25">
      <c r="C6" t="s">
        <v>62</v>
      </c>
      <c r="E6" s="29">
        <f>+H49</f>
        <v>37821317.68</v>
      </c>
      <c r="F6" s="29">
        <f>+E6</f>
        <v>37821317.68</v>
      </c>
      <c r="J6" s="29">
        <v>37821318</v>
      </c>
    </row>
    <row r="7" spans="3:12" x14ac:dyDescent="0.25">
      <c r="C7" t="s">
        <v>63</v>
      </c>
      <c r="E7" s="29">
        <f>+H54</f>
        <v>2635120.08</v>
      </c>
      <c r="F7" s="29">
        <f>+E7</f>
        <v>2635120.08</v>
      </c>
      <c r="J7" s="29">
        <v>2635120</v>
      </c>
    </row>
    <row r="8" spans="3:12" x14ac:dyDescent="0.25">
      <c r="E8" s="29">
        <f>SUM(E5:E7)</f>
        <v>71096462.560000002</v>
      </c>
      <c r="F8" s="29">
        <v>70220000</v>
      </c>
      <c r="G8" s="34">
        <f>+F8-E8</f>
        <v>-876462.56000000238</v>
      </c>
      <c r="J8" s="29">
        <f>SUM(J5:J7)</f>
        <v>70220000</v>
      </c>
      <c r="L8" s="34"/>
    </row>
    <row r="11" spans="3:12" x14ac:dyDescent="0.25">
      <c r="C11" s="22"/>
      <c r="D11" s="22" t="s">
        <v>75</v>
      </c>
      <c r="E11" s="22" t="s">
        <v>76</v>
      </c>
      <c r="F11" s="22" t="s">
        <v>67</v>
      </c>
      <c r="G11" s="22" t="s">
        <v>68</v>
      </c>
      <c r="H11" s="33" t="s">
        <v>94</v>
      </c>
    </row>
    <row r="12" spans="3:12" x14ac:dyDescent="0.25">
      <c r="C12" s="122" t="s">
        <v>64</v>
      </c>
      <c r="D12" s="118" t="s">
        <v>77</v>
      </c>
      <c r="E12" s="118" t="s">
        <v>80</v>
      </c>
      <c r="F12" s="115" t="s">
        <v>69</v>
      </c>
      <c r="G12" s="24" t="s">
        <v>99</v>
      </c>
      <c r="H12" s="31">
        <v>4950400</v>
      </c>
    </row>
    <row r="13" spans="3:12" x14ac:dyDescent="0.25">
      <c r="C13" s="123"/>
      <c r="D13" s="119"/>
      <c r="E13" s="119"/>
      <c r="F13" s="116"/>
      <c r="G13" s="24" t="s">
        <v>100</v>
      </c>
      <c r="H13" s="31">
        <v>3998400</v>
      </c>
    </row>
    <row r="14" spans="3:12" x14ac:dyDescent="0.25">
      <c r="C14" s="123"/>
      <c r="D14" s="119"/>
      <c r="E14" s="119"/>
      <c r="F14" s="116"/>
      <c r="G14" s="24" t="s">
        <v>87</v>
      </c>
      <c r="H14" s="31">
        <v>4569600</v>
      </c>
    </row>
    <row r="15" spans="3:12" x14ac:dyDescent="0.25">
      <c r="C15" s="123"/>
      <c r="D15" s="119"/>
      <c r="E15" s="119"/>
      <c r="F15" s="116"/>
      <c r="G15" s="24" t="s">
        <v>101</v>
      </c>
      <c r="H15" s="31">
        <v>955808</v>
      </c>
    </row>
    <row r="16" spans="3:12" x14ac:dyDescent="0.25">
      <c r="C16" s="123"/>
      <c r="D16" s="119"/>
      <c r="E16" s="119"/>
      <c r="F16" s="116"/>
      <c r="G16" s="24" t="s">
        <v>101</v>
      </c>
      <c r="H16" s="31">
        <v>955808</v>
      </c>
    </row>
    <row r="17" spans="3:11" x14ac:dyDescent="0.25">
      <c r="C17" s="123"/>
      <c r="D17" s="119"/>
      <c r="E17" s="119"/>
      <c r="F17" s="116"/>
      <c r="G17" s="24" t="s">
        <v>101</v>
      </c>
      <c r="H17" s="31">
        <v>955808</v>
      </c>
    </row>
    <row r="18" spans="3:11" x14ac:dyDescent="0.25">
      <c r="C18" s="123"/>
      <c r="D18" s="119"/>
      <c r="E18" s="119"/>
      <c r="F18" s="116"/>
      <c r="G18" s="24" t="s">
        <v>102</v>
      </c>
      <c r="H18" s="31">
        <v>696150</v>
      </c>
    </row>
    <row r="19" spans="3:11" x14ac:dyDescent="0.25">
      <c r="C19" s="123"/>
      <c r="D19" s="119"/>
      <c r="E19" s="119"/>
      <c r="F19" s="116"/>
      <c r="G19" s="24" t="s">
        <v>88</v>
      </c>
      <c r="H19" s="31">
        <f>3046.4*400</f>
        <v>1218560</v>
      </c>
    </row>
    <row r="20" spans="3:11" x14ac:dyDescent="0.25">
      <c r="C20" s="123"/>
      <c r="D20" s="119"/>
      <c r="E20" s="119"/>
      <c r="F20" s="116"/>
      <c r="G20" s="24" t="s">
        <v>89</v>
      </c>
      <c r="H20" s="31">
        <f>2437.12*400</f>
        <v>974848</v>
      </c>
    </row>
    <row r="21" spans="3:11" x14ac:dyDescent="0.25">
      <c r="C21" s="123"/>
      <c r="D21" s="119"/>
      <c r="E21" s="119"/>
      <c r="F21" s="116"/>
      <c r="G21" s="24" t="s">
        <v>106</v>
      </c>
      <c r="H21" s="31">
        <f>33915*2</f>
        <v>67830</v>
      </c>
      <c r="K21" s="29"/>
    </row>
    <row r="22" spans="3:11" ht="18" customHeight="1" x14ac:dyDescent="0.25">
      <c r="C22" s="123"/>
      <c r="D22" s="119"/>
      <c r="E22" s="119"/>
      <c r="F22" s="117"/>
      <c r="G22" s="24" t="s">
        <v>90</v>
      </c>
      <c r="H22" s="31">
        <f>27417.6*400</f>
        <v>10967040</v>
      </c>
    </row>
    <row r="23" spans="3:11" ht="18" customHeight="1" x14ac:dyDescent="0.25">
      <c r="C23" s="123"/>
      <c r="D23" s="119"/>
      <c r="E23" s="119"/>
      <c r="F23" s="118" t="s">
        <v>70</v>
      </c>
      <c r="G23" s="24" t="s">
        <v>91</v>
      </c>
      <c r="H23" s="31">
        <f>3701.376*50</f>
        <v>185068.80000000002</v>
      </c>
    </row>
    <row r="24" spans="3:11" ht="18" customHeight="1" x14ac:dyDescent="0.25">
      <c r="C24" s="123"/>
      <c r="D24" s="119"/>
      <c r="E24" s="119"/>
      <c r="F24" s="119"/>
      <c r="G24" s="24" t="s">
        <v>92</v>
      </c>
      <c r="H24" s="31">
        <f>2894.08*50</f>
        <v>144704</v>
      </c>
    </row>
    <row r="25" spans="3:11" x14ac:dyDescent="0.25">
      <c r="C25" s="124"/>
      <c r="D25" s="120"/>
      <c r="E25" s="120"/>
      <c r="F25" s="120"/>
      <c r="G25" s="24" t="s">
        <v>93</v>
      </c>
      <c r="H25" s="31"/>
    </row>
    <row r="26" spans="3:11" x14ac:dyDescent="0.25">
      <c r="C26" s="125" t="s">
        <v>95</v>
      </c>
      <c r="D26" s="126"/>
      <c r="E26" s="126"/>
      <c r="F26" s="126"/>
      <c r="G26" s="127"/>
      <c r="H26" s="32">
        <f>SUM(H12:H25)</f>
        <v>30640024.800000001</v>
      </c>
    </row>
    <row r="27" spans="3:11" x14ac:dyDescent="0.25">
      <c r="C27" s="26"/>
      <c r="D27" s="128" t="s">
        <v>78</v>
      </c>
      <c r="E27" s="131" t="s">
        <v>81</v>
      </c>
      <c r="F27" s="132" t="s">
        <v>71</v>
      </c>
      <c r="G27" s="24" t="s">
        <v>87</v>
      </c>
      <c r="H27" s="31">
        <v>4569600</v>
      </c>
    </row>
    <row r="28" spans="3:11" x14ac:dyDescent="0.25">
      <c r="C28" s="26"/>
      <c r="D28" s="129"/>
      <c r="E28" s="131"/>
      <c r="F28" s="133"/>
      <c r="G28" s="24" t="s">
        <v>87</v>
      </c>
      <c r="H28" s="31">
        <v>4569600</v>
      </c>
    </row>
    <row r="29" spans="3:11" ht="22.5" x14ac:dyDescent="0.25">
      <c r="C29" s="26"/>
      <c r="D29" s="129"/>
      <c r="E29" s="131"/>
      <c r="F29" s="133"/>
      <c r="G29" s="24" t="s">
        <v>96</v>
      </c>
      <c r="H29" s="31">
        <v>1843072</v>
      </c>
    </row>
    <row r="30" spans="3:11" ht="22.5" x14ac:dyDescent="0.25">
      <c r="C30" s="26"/>
      <c r="D30" s="129"/>
      <c r="E30" s="131"/>
      <c r="F30" s="133"/>
      <c r="G30" s="24" t="s">
        <v>96</v>
      </c>
      <c r="H30" s="31">
        <v>1843072</v>
      </c>
    </row>
    <row r="31" spans="3:11" ht="33.75" x14ac:dyDescent="0.25">
      <c r="C31" s="26"/>
      <c r="D31" s="129"/>
      <c r="E31" s="131"/>
      <c r="F31" s="133"/>
      <c r="G31" s="24" t="s">
        <v>97</v>
      </c>
      <c r="H31" s="31">
        <f>310352*10</f>
        <v>3103520</v>
      </c>
    </row>
    <row r="32" spans="3:11" x14ac:dyDescent="0.25">
      <c r="C32" s="26"/>
      <c r="D32" s="129"/>
      <c r="E32" s="131"/>
      <c r="F32" s="133"/>
      <c r="G32" s="24" t="s">
        <v>102</v>
      </c>
      <c r="H32" s="31">
        <v>696150</v>
      </c>
    </row>
    <row r="33" spans="3:8" x14ac:dyDescent="0.25">
      <c r="C33" s="26"/>
      <c r="D33" s="129"/>
      <c r="E33" s="131"/>
      <c r="F33" s="133"/>
      <c r="G33" s="24" t="s">
        <v>106</v>
      </c>
      <c r="H33" s="31">
        <f>33915*2</f>
        <v>67830</v>
      </c>
    </row>
    <row r="34" spans="3:8" ht="33.75" x14ac:dyDescent="0.25">
      <c r="C34" s="135" t="s">
        <v>65</v>
      </c>
      <c r="D34" s="130"/>
      <c r="E34" s="131"/>
      <c r="F34" s="134"/>
      <c r="G34" s="24" t="s">
        <v>98</v>
      </c>
      <c r="H34" s="31">
        <f>310352*10</f>
        <v>3103520</v>
      </c>
    </row>
    <row r="35" spans="3:8" x14ac:dyDescent="0.25">
      <c r="C35" s="135"/>
      <c r="D35" s="27"/>
      <c r="E35" s="118" t="s">
        <v>82</v>
      </c>
      <c r="F35" s="115" t="s">
        <v>72</v>
      </c>
      <c r="G35" s="24" t="s">
        <v>103</v>
      </c>
      <c r="H35" s="31">
        <f>3701.376*80</f>
        <v>296110.08000000002</v>
      </c>
    </row>
    <row r="36" spans="3:8" x14ac:dyDescent="0.25">
      <c r="C36" s="135"/>
      <c r="D36" s="28"/>
      <c r="E36" s="119"/>
      <c r="F36" s="116"/>
      <c r="G36" s="24" t="s">
        <v>104</v>
      </c>
      <c r="H36" s="31">
        <f>2894*80</f>
        <v>231520</v>
      </c>
    </row>
    <row r="37" spans="3:8" x14ac:dyDescent="0.25">
      <c r="C37" s="135"/>
      <c r="D37" s="23" t="s">
        <v>78</v>
      </c>
      <c r="E37" s="120"/>
      <c r="F37" s="117"/>
      <c r="G37" s="22" t="s">
        <v>105</v>
      </c>
      <c r="H37" s="31">
        <f>31987.2*80</f>
        <v>2558976</v>
      </c>
    </row>
    <row r="38" spans="3:8" x14ac:dyDescent="0.25">
      <c r="C38" s="135"/>
      <c r="D38" s="118" t="s">
        <v>79</v>
      </c>
      <c r="E38" s="118" t="s">
        <v>82</v>
      </c>
      <c r="F38" s="115" t="s">
        <v>73</v>
      </c>
      <c r="G38" s="22" t="s">
        <v>107</v>
      </c>
      <c r="H38" s="31">
        <v>3998400</v>
      </c>
    </row>
    <row r="39" spans="3:8" x14ac:dyDescent="0.25">
      <c r="C39" s="135"/>
      <c r="D39" s="119"/>
      <c r="E39" s="119"/>
      <c r="F39" s="116"/>
      <c r="G39" s="22" t="s">
        <v>108</v>
      </c>
      <c r="H39" s="31">
        <v>955808</v>
      </c>
    </row>
    <row r="40" spans="3:8" x14ac:dyDescent="0.25">
      <c r="C40" s="135"/>
      <c r="D40" s="119"/>
      <c r="E40" s="119"/>
      <c r="F40" s="116"/>
      <c r="G40" s="22" t="s">
        <v>109</v>
      </c>
      <c r="H40" s="31">
        <f>3701.376*100</f>
        <v>370137.60000000003</v>
      </c>
    </row>
    <row r="41" spans="3:8" x14ac:dyDescent="0.25">
      <c r="C41" s="135"/>
      <c r="D41" s="119"/>
      <c r="E41" s="119"/>
      <c r="F41" s="116"/>
      <c r="G41" s="22" t="s">
        <v>110</v>
      </c>
      <c r="H41" s="31">
        <f>2894*100</f>
        <v>289400</v>
      </c>
    </row>
    <row r="42" spans="3:8" x14ac:dyDescent="0.25">
      <c r="C42" s="135"/>
      <c r="D42" s="119"/>
      <c r="E42" s="119"/>
      <c r="F42" s="116"/>
      <c r="G42" s="22" t="s">
        <v>111</v>
      </c>
      <c r="H42" s="31">
        <f>31987.2*100</f>
        <v>3198720</v>
      </c>
    </row>
    <row r="43" spans="3:8" x14ac:dyDescent="0.25">
      <c r="C43" s="135"/>
      <c r="D43" s="119"/>
      <c r="E43" s="119"/>
      <c r="F43" s="116"/>
      <c r="G43" s="22" t="s">
        <v>106</v>
      </c>
      <c r="H43" s="31">
        <f>33915*2</f>
        <v>67830</v>
      </c>
    </row>
    <row r="44" spans="3:8" x14ac:dyDescent="0.25">
      <c r="C44" s="135"/>
      <c r="D44" s="120"/>
      <c r="E44" s="120"/>
      <c r="F44" s="117"/>
      <c r="G44" s="25" t="s">
        <v>112</v>
      </c>
      <c r="H44" s="31">
        <v>696150</v>
      </c>
    </row>
    <row r="45" spans="3:8" x14ac:dyDescent="0.25">
      <c r="C45" s="135"/>
      <c r="D45" s="118" t="s">
        <v>79</v>
      </c>
      <c r="E45" s="118" t="s">
        <v>81</v>
      </c>
      <c r="F45" s="115" t="s">
        <v>118</v>
      </c>
      <c r="G45" s="25" t="s">
        <v>119</v>
      </c>
      <c r="H45" s="31">
        <v>1843072</v>
      </c>
    </row>
    <row r="46" spans="3:8" x14ac:dyDescent="0.25">
      <c r="C46" s="135"/>
      <c r="D46" s="119"/>
      <c r="E46" s="119"/>
      <c r="F46" s="116"/>
      <c r="G46" s="25" t="s">
        <v>120</v>
      </c>
      <c r="H46" s="31">
        <v>1656480</v>
      </c>
    </row>
    <row r="47" spans="3:8" x14ac:dyDescent="0.25">
      <c r="C47" s="135"/>
      <c r="D47" s="120"/>
      <c r="E47" s="120"/>
      <c r="F47" s="117"/>
      <c r="G47" s="25" t="s">
        <v>120</v>
      </c>
      <c r="H47" s="31">
        <v>437920</v>
      </c>
    </row>
    <row r="48" spans="3:8" x14ac:dyDescent="0.25">
      <c r="C48" s="135"/>
      <c r="D48" s="23" t="s">
        <v>79</v>
      </c>
      <c r="E48" s="23" t="s">
        <v>81</v>
      </c>
      <c r="F48" s="24" t="s">
        <v>74</v>
      </c>
      <c r="G48" s="22" t="s">
        <v>113</v>
      </c>
      <c r="H48" s="31">
        <f>15827*90</f>
        <v>1424430</v>
      </c>
    </row>
    <row r="49" spans="3:8" x14ac:dyDescent="0.25">
      <c r="C49" s="125" t="s">
        <v>116</v>
      </c>
      <c r="D49" s="126"/>
      <c r="E49" s="126"/>
      <c r="F49" s="126"/>
      <c r="G49" s="127"/>
      <c r="H49" s="32">
        <f>SUM(H27:H48)</f>
        <v>37821317.68</v>
      </c>
    </row>
    <row r="50" spans="3:8" x14ac:dyDescent="0.25">
      <c r="C50" s="121" t="s">
        <v>66</v>
      </c>
      <c r="D50" s="23" t="s">
        <v>85</v>
      </c>
      <c r="E50" s="23" t="s">
        <v>86</v>
      </c>
      <c r="F50" s="24" t="s">
        <v>83</v>
      </c>
      <c r="G50" s="22" t="s">
        <v>114</v>
      </c>
      <c r="H50" s="31">
        <f>17493*30</f>
        <v>524790</v>
      </c>
    </row>
    <row r="51" spans="3:8" x14ac:dyDescent="0.25">
      <c r="C51" s="121"/>
      <c r="D51" s="122" t="s">
        <v>85</v>
      </c>
      <c r="E51" s="118" t="s">
        <v>86</v>
      </c>
      <c r="F51" s="115" t="s">
        <v>84</v>
      </c>
      <c r="G51" s="22" t="s">
        <v>103</v>
      </c>
      <c r="H51" s="31">
        <f>3701.376*80</f>
        <v>296110.08000000002</v>
      </c>
    </row>
    <row r="52" spans="3:8" x14ac:dyDescent="0.25">
      <c r="C52" s="121"/>
      <c r="D52" s="123"/>
      <c r="E52" s="119"/>
      <c r="F52" s="116"/>
      <c r="G52" s="22" t="s">
        <v>104</v>
      </c>
      <c r="H52" s="31">
        <f>2894*80</f>
        <v>231520</v>
      </c>
    </row>
    <row r="53" spans="3:8" ht="30.75" customHeight="1" x14ac:dyDescent="0.25">
      <c r="C53" s="121"/>
      <c r="D53" s="124"/>
      <c r="E53" s="120"/>
      <c r="F53" s="117"/>
      <c r="G53" s="22" t="s">
        <v>115</v>
      </c>
      <c r="H53" s="31">
        <f>15827*100</f>
        <v>1582700</v>
      </c>
    </row>
    <row r="54" spans="3:8" x14ac:dyDescent="0.25">
      <c r="C54" s="113" t="s">
        <v>117</v>
      </c>
      <c r="D54" s="113"/>
      <c r="E54" s="113"/>
      <c r="F54" s="113"/>
      <c r="G54" s="113"/>
      <c r="H54" s="30">
        <f>SUM(H50:H53)</f>
        <v>2635120.08</v>
      </c>
    </row>
    <row r="55" spans="3:8" x14ac:dyDescent="0.25">
      <c r="C55" s="114" t="s">
        <v>32</v>
      </c>
      <c r="D55" s="114"/>
      <c r="E55" s="114"/>
      <c r="F55" s="114"/>
      <c r="G55" s="114"/>
      <c r="H55" s="30">
        <f>+H54+H49+H26</f>
        <v>71096462.560000002</v>
      </c>
    </row>
  </sheetData>
  <mergeCells count="25">
    <mergeCell ref="F12:F22"/>
    <mergeCell ref="F23:F25"/>
    <mergeCell ref="C26:G26"/>
    <mergeCell ref="D27:D34"/>
    <mergeCell ref="E27:E34"/>
    <mergeCell ref="F27:F34"/>
    <mergeCell ref="C34:C48"/>
    <mergeCell ref="C12:C25"/>
    <mergeCell ref="D12:D25"/>
    <mergeCell ref="E12:E25"/>
    <mergeCell ref="C54:G54"/>
    <mergeCell ref="C55:G55"/>
    <mergeCell ref="F35:F37"/>
    <mergeCell ref="E35:E37"/>
    <mergeCell ref="D38:D44"/>
    <mergeCell ref="E38:E44"/>
    <mergeCell ref="F38:F44"/>
    <mergeCell ref="C50:C53"/>
    <mergeCell ref="F45:F47"/>
    <mergeCell ref="E45:E47"/>
    <mergeCell ref="D45:D47"/>
    <mergeCell ref="F51:F53"/>
    <mergeCell ref="E51:E53"/>
    <mergeCell ref="D51:D53"/>
    <mergeCell ref="C49:G49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J61"/>
  <sheetViews>
    <sheetView tabSelected="1" view="pageBreakPreview" topLeftCell="C10" zoomScale="60" zoomScaleNormal="100" workbookViewId="0">
      <selection activeCell="F59" sqref="F59"/>
    </sheetView>
  </sheetViews>
  <sheetFormatPr baseColWidth="10" defaultRowHeight="15" x14ac:dyDescent="0.25"/>
  <cols>
    <col min="1" max="2" width="0" hidden="1" customWidth="1"/>
    <col min="3" max="3" width="22" customWidth="1"/>
    <col min="4" max="6" width="33.85546875" customWidth="1"/>
    <col min="7" max="7" width="28.140625" customWidth="1"/>
  </cols>
  <sheetData>
    <row r="2" spans="3:10" x14ac:dyDescent="0.25">
      <c r="E2" s="14" t="s">
        <v>41</v>
      </c>
    </row>
    <row r="3" spans="3:10" ht="15.75" thickBot="1" x14ac:dyDescent="0.3"/>
    <row r="4" spans="3:10" ht="15.75" thickBot="1" x14ac:dyDescent="0.3">
      <c r="C4" s="1" t="s">
        <v>34</v>
      </c>
      <c r="D4" s="1" t="s">
        <v>35</v>
      </c>
      <c r="E4" s="1" t="s">
        <v>30</v>
      </c>
      <c r="F4" s="1" t="s">
        <v>31</v>
      </c>
      <c r="G4" s="1" t="s">
        <v>33</v>
      </c>
    </row>
    <row r="5" spans="3:10" ht="26.25" thickBot="1" x14ac:dyDescent="0.3">
      <c r="C5" s="98" t="s">
        <v>0</v>
      </c>
      <c r="D5" s="75" t="s">
        <v>136</v>
      </c>
      <c r="E5" s="88">
        <f>G5/1.19</f>
        <v>1985294.1176470588</v>
      </c>
      <c r="F5" s="89">
        <f>E5*19%</f>
        <v>377205.8823529412</v>
      </c>
      <c r="G5" s="36">
        <v>2362500</v>
      </c>
      <c r="J5" s="34"/>
    </row>
    <row r="6" spans="3:10" ht="26.25" thickBot="1" x14ac:dyDescent="0.3">
      <c r="C6" s="99"/>
      <c r="D6" s="3" t="s">
        <v>43</v>
      </c>
      <c r="E6" s="88">
        <f t="shared" ref="E6:E55" si="0">G6/1.19</f>
        <v>3308823.5294117648</v>
      </c>
      <c r="F6" s="89">
        <f t="shared" ref="F6:F55" si="1">E6*19%</f>
        <v>628676.4705882353</v>
      </c>
      <c r="G6" s="37">
        <v>3937500</v>
      </c>
      <c r="J6" s="34"/>
    </row>
    <row r="7" spans="3:10" ht="15.75" thickBot="1" x14ac:dyDescent="0.3">
      <c r="C7" s="99"/>
      <c r="D7" s="3" t="s">
        <v>44</v>
      </c>
      <c r="E7" s="88">
        <f t="shared" si="0"/>
        <v>2132352.9411764708</v>
      </c>
      <c r="F7" s="89">
        <f t="shared" si="1"/>
        <v>405147.05882352946</v>
      </c>
      <c r="G7" s="37">
        <v>2537500</v>
      </c>
      <c r="J7" s="34"/>
    </row>
    <row r="8" spans="3:10" ht="26.25" thickBot="1" x14ac:dyDescent="0.3">
      <c r="C8" s="100"/>
      <c r="D8" s="3" t="s">
        <v>45</v>
      </c>
      <c r="E8" s="88">
        <f t="shared" si="0"/>
        <v>3455882.3529411769</v>
      </c>
      <c r="F8" s="89">
        <f t="shared" si="1"/>
        <v>656617.64705882361</v>
      </c>
      <c r="G8" s="37">
        <v>4112500</v>
      </c>
      <c r="J8" s="34"/>
    </row>
    <row r="9" spans="3:10" ht="15.75" thickBot="1" x14ac:dyDescent="0.3">
      <c r="C9" s="100"/>
      <c r="D9" s="3" t="s">
        <v>46</v>
      </c>
      <c r="E9" s="88">
        <f t="shared" si="0"/>
        <v>2426470.5882352944</v>
      </c>
      <c r="F9" s="89">
        <f t="shared" si="1"/>
        <v>461029.41176470596</v>
      </c>
      <c r="G9" s="37">
        <v>2887500</v>
      </c>
      <c r="J9" s="34"/>
    </row>
    <row r="10" spans="3:10" ht="26.25" thickBot="1" x14ac:dyDescent="0.3">
      <c r="C10" s="100"/>
      <c r="D10" s="3" t="s">
        <v>47</v>
      </c>
      <c r="E10" s="88">
        <f t="shared" si="0"/>
        <v>3750000</v>
      </c>
      <c r="F10" s="89">
        <f t="shared" si="1"/>
        <v>712500</v>
      </c>
      <c r="G10" s="37">
        <v>4462500</v>
      </c>
      <c r="J10" s="34"/>
    </row>
    <row r="11" spans="3:10" ht="15.75" thickBot="1" x14ac:dyDescent="0.3">
      <c r="C11" s="101"/>
      <c r="D11" s="3" t="s">
        <v>48</v>
      </c>
      <c r="E11" s="88">
        <f t="shared" si="0"/>
        <v>2573529.411764706</v>
      </c>
      <c r="F11" s="89">
        <f t="shared" si="1"/>
        <v>488970.58823529416</v>
      </c>
      <c r="G11" s="38">
        <v>3062500</v>
      </c>
      <c r="J11" s="34"/>
    </row>
    <row r="12" spans="3:10" ht="26.25" thickBot="1" x14ac:dyDescent="0.3">
      <c r="C12" s="102"/>
      <c r="D12" s="4" t="s">
        <v>49</v>
      </c>
      <c r="E12" s="88">
        <f t="shared" si="0"/>
        <v>3897058.823529412</v>
      </c>
      <c r="F12" s="89">
        <f t="shared" si="1"/>
        <v>740441.17647058831</v>
      </c>
      <c r="G12" s="39">
        <v>4637500</v>
      </c>
      <c r="J12" s="34"/>
    </row>
    <row r="13" spans="3:10" ht="18" customHeight="1" thickBot="1" x14ac:dyDescent="0.3">
      <c r="C13" s="103" t="s">
        <v>60</v>
      </c>
      <c r="D13" s="76" t="s">
        <v>137</v>
      </c>
      <c r="E13" s="88">
        <f t="shared" si="0"/>
        <v>4840336.1344537819</v>
      </c>
      <c r="F13" s="89">
        <f t="shared" si="1"/>
        <v>919663.86554621859</v>
      </c>
      <c r="G13" s="5">
        <v>5760000</v>
      </c>
      <c r="J13" s="34"/>
    </row>
    <row r="14" spans="3:10" ht="15.75" thickBot="1" x14ac:dyDescent="0.3">
      <c r="C14" s="104"/>
      <c r="D14" s="77" t="s">
        <v>138</v>
      </c>
      <c r="E14" s="88">
        <f t="shared" si="0"/>
        <v>2823529.411764706</v>
      </c>
      <c r="F14" s="89">
        <f t="shared" si="1"/>
        <v>536470.5882352941</v>
      </c>
      <c r="G14" s="6">
        <v>3360000</v>
      </c>
      <c r="J14" s="34"/>
    </row>
    <row r="15" spans="3:10" ht="26.25" thickBot="1" x14ac:dyDescent="0.3">
      <c r="C15" s="104"/>
      <c r="D15" s="77" t="s">
        <v>139</v>
      </c>
      <c r="E15" s="88">
        <f t="shared" si="0"/>
        <v>3226890.7563025211</v>
      </c>
      <c r="F15" s="89">
        <f t="shared" si="1"/>
        <v>613109.24369747902</v>
      </c>
      <c r="G15" s="6">
        <v>3840000</v>
      </c>
      <c r="J15" s="34"/>
    </row>
    <row r="16" spans="3:10" ht="15.75" thickBot="1" x14ac:dyDescent="0.3">
      <c r="C16" s="104"/>
      <c r="D16" s="77" t="s">
        <v>140</v>
      </c>
      <c r="E16" s="88">
        <f t="shared" si="0"/>
        <v>1747899.1596638656</v>
      </c>
      <c r="F16" s="89">
        <f t="shared" si="1"/>
        <v>332100.84033613448</v>
      </c>
      <c r="G16" s="6">
        <v>2080000</v>
      </c>
      <c r="J16" s="34"/>
    </row>
    <row r="17" spans="3:10" ht="26.25" thickBot="1" x14ac:dyDescent="0.3">
      <c r="C17" s="104"/>
      <c r="D17" s="77" t="s">
        <v>141</v>
      </c>
      <c r="E17" s="88">
        <f t="shared" si="0"/>
        <v>4840336.1344537819</v>
      </c>
      <c r="F17" s="89">
        <f t="shared" si="1"/>
        <v>919663.86554621859</v>
      </c>
      <c r="G17" s="6">
        <v>5760000</v>
      </c>
      <c r="J17" s="34"/>
    </row>
    <row r="18" spans="3:10" ht="15.75" thickBot="1" x14ac:dyDescent="0.3">
      <c r="C18" s="104"/>
      <c r="D18" s="77" t="s">
        <v>142</v>
      </c>
      <c r="E18" s="88">
        <f t="shared" si="0"/>
        <v>3092436.9747899161</v>
      </c>
      <c r="F18" s="89">
        <f t="shared" si="1"/>
        <v>587563.02521008404</v>
      </c>
      <c r="G18" s="6">
        <v>3680000</v>
      </c>
      <c r="J18" s="34"/>
    </row>
    <row r="19" spans="3:10" ht="15.75" thickBot="1" x14ac:dyDescent="0.3">
      <c r="C19" s="104"/>
      <c r="D19" s="77" t="s">
        <v>143</v>
      </c>
      <c r="E19" s="88">
        <f t="shared" si="0"/>
        <v>3495798.3193277312</v>
      </c>
      <c r="F19" s="89">
        <f t="shared" si="1"/>
        <v>664201.68067226897</v>
      </c>
      <c r="G19" s="6">
        <v>4160000</v>
      </c>
      <c r="J19" s="34"/>
    </row>
    <row r="20" spans="3:10" ht="15.75" thickBot="1" x14ac:dyDescent="0.3">
      <c r="C20" s="104"/>
      <c r="D20" s="77" t="s">
        <v>144</v>
      </c>
      <c r="E20" s="88">
        <f t="shared" si="0"/>
        <v>2541176.4705882352</v>
      </c>
      <c r="F20" s="89">
        <f t="shared" si="1"/>
        <v>482823.5294117647</v>
      </c>
      <c r="G20" s="6">
        <v>3024000</v>
      </c>
      <c r="J20" s="34"/>
    </row>
    <row r="21" spans="3:10" ht="15.75" thickBot="1" x14ac:dyDescent="0.3">
      <c r="C21" s="105"/>
      <c r="D21" s="78" t="s">
        <v>145</v>
      </c>
      <c r="E21" s="88">
        <f t="shared" si="0"/>
        <v>2823529.411764706</v>
      </c>
      <c r="F21" s="89">
        <f t="shared" si="1"/>
        <v>536470.5882352941</v>
      </c>
      <c r="G21" s="7">
        <v>3360000</v>
      </c>
      <c r="J21" s="34"/>
    </row>
    <row r="22" spans="3:10" ht="26.25" thickBot="1" x14ac:dyDescent="0.3">
      <c r="C22" s="91" t="s">
        <v>10</v>
      </c>
      <c r="D22" s="79" t="s">
        <v>146</v>
      </c>
      <c r="E22" s="88">
        <f t="shared" si="0"/>
        <v>219159.66386554623</v>
      </c>
      <c r="F22" s="89">
        <f t="shared" si="1"/>
        <v>41640.336134453784</v>
      </c>
      <c r="G22" s="40">
        <v>260800</v>
      </c>
      <c r="J22" s="34"/>
    </row>
    <row r="23" spans="3:10" ht="15.75" thickBot="1" x14ac:dyDescent="0.3">
      <c r="C23" s="92"/>
      <c r="D23" s="9" t="s">
        <v>147</v>
      </c>
      <c r="E23" s="88">
        <f t="shared" si="0"/>
        <v>424873.94957983197</v>
      </c>
      <c r="F23" s="89">
        <f t="shared" si="1"/>
        <v>80726.050420168074</v>
      </c>
      <c r="G23" s="41">
        <v>505600</v>
      </c>
      <c r="J23" s="34"/>
    </row>
    <row r="24" spans="3:10" ht="26.25" thickBot="1" x14ac:dyDescent="0.3">
      <c r="C24" s="92"/>
      <c r="D24" s="3" t="s">
        <v>52</v>
      </c>
      <c r="E24" s="88">
        <f t="shared" si="0"/>
        <v>489411.76470588235</v>
      </c>
      <c r="F24" s="89">
        <f t="shared" si="1"/>
        <v>92988.23529411765</v>
      </c>
      <c r="G24" s="6">
        <v>582400</v>
      </c>
      <c r="J24" s="34"/>
    </row>
    <row r="25" spans="3:10" ht="15.75" thickBot="1" x14ac:dyDescent="0.3">
      <c r="C25" s="92"/>
      <c r="D25" s="3" t="s">
        <v>53</v>
      </c>
      <c r="E25" s="88">
        <f t="shared" si="0"/>
        <v>674957.98319327738</v>
      </c>
      <c r="F25" s="89">
        <f t="shared" si="1"/>
        <v>128242.01680672271</v>
      </c>
      <c r="G25" s="6">
        <v>803200</v>
      </c>
      <c r="J25" s="34"/>
    </row>
    <row r="26" spans="3:10" ht="15.75" thickBot="1" x14ac:dyDescent="0.3">
      <c r="C26" s="92"/>
      <c r="D26" s="3" t="s">
        <v>54</v>
      </c>
      <c r="E26" s="88">
        <f t="shared" si="0"/>
        <v>900840.33613445377</v>
      </c>
      <c r="F26" s="89">
        <f t="shared" si="1"/>
        <v>171159.66386554623</v>
      </c>
      <c r="G26" s="6">
        <v>1072000</v>
      </c>
      <c r="J26" s="34"/>
    </row>
    <row r="27" spans="3:10" ht="15.75" thickBot="1" x14ac:dyDescent="0.3">
      <c r="C27" s="106"/>
      <c r="D27" s="15" t="s">
        <v>55</v>
      </c>
      <c r="E27" s="88">
        <f t="shared" si="0"/>
        <v>1301512.6050420168</v>
      </c>
      <c r="F27" s="89">
        <f t="shared" si="1"/>
        <v>247287.3949579832</v>
      </c>
      <c r="G27" s="16">
        <v>1548800</v>
      </c>
      <c r="J27" s="34"/>
    </row>
    <row r="28" spans="3:10" ht="39" thickBot="1" x14ac:dyDescent="0.3">
      <c r="C28" s="106"/>
      <c r="D28" s="80" t="s">
        <v>148</v>
      </c>
      <c r="E28" s="88">
        <f t="shared" si="0"/>
        <v>914285.71428571432</v>
      </c>
      <c r="F28" s="89">
        <f t="shared" si="1"/>
        <v>173714.28571428571</v>
      </c>
      <c r="G28" s="16">
        <v>1088000</v>
      </c>
      <c r="J28" s="34"/>
    </row>
    <row r="29" spans="3:10" ht="26.25" thickBot="1" x14ac:dyDescent="0.3">
      <c r="C29" s="106"/>
      <c r="D29" s="15" t="s">
        <v>59</v>
      </c>
      <c r="E29" s="88">
        <f t="shared" si="0"/>
        <v>1086386.5546218487</v>
      </c>
      <c r="F29" s="89">
        <f t="shared" si="1"/>
        <v>206413.44537815126</v>
      </c>
      <c r="G29" s="16">
        <v>1292800</v>
      </c>
      <c r="J29" s="34"/>
    </row>
    <row r="30" spans="3:10" ht="39" thickBot="1" x14ac:dyDescent="0.3">
      <c r="C30" s="106"/>
      <c r="D30" s="80" t="s">
        <v>149</v>
      </c>
      <c r="E30" s="88">
        <f t="shared" si="0"/>
        <v>309243.69747899158</v>
      </c>
      <c r="F30" s="89">
        <f t="shared" si="1"/>
        <v>58756.302521008402</v>
      </c>
      <c r="G30" s="16">
        <v>368000</v>
      </c>
      <c r="J30" s="34"/>
    </row>
    <row r="31" spans="3:10" ht="26.25" thickBot="1" x14ac:dyDescent="0.3">
      <c r="C31" s="93"/>
      <c r="D31" s="4" t="s">
        <v>57</v>
      </c>
      <c r="E31" s="88">
        <f t="shared" si="0"/>
        <v>1169747.8991596638</v>
      </c>
      <c r="F31" s="89">
        <f t="shared" si="1"/>
        <v>222252.10084033612</v>
      </c>
      <c r="G31" s="7">
        <v>1392000</v>
      </c>
      <c r="J31" s="34"/>
    </row>
    <row r="32" spans="3:10" ht="26.25" thickBot="1" x14ac:dyDescent="0.3">
      <c r="C32" s="91" t="s">
        <v>11</v>
      </c>
      <c r="D32" s="79" t="s">
        <v>150</v>
      </c>
      <c r="E32" s="88">
        <f t="shared" si="0"/>
        <v>2613.7815126050423</v>
      </c>
      <c r="F32" s="89">
        <f t="shared" si="1"/>
        <v>496.61848739495804</v>
      </c>
      <c r="G32" s="40">
        <v>3110.4</v>
      </c>
      <c r="J32" s="34"/>
    </row>
    <row r="33" spans="3:10" ht="26.25" thickBot="1" x14ac:dyDescent="0.3">
      <c r="C33" s="92"/>
      <c r="D33" s="81" t="s">
        <v>151</v>
      </c>
      <c r="E33" s="88">
        <f t="shared" si="0"/>
        <v>2043.6974789915967</v>
      </c>
      <c r="F33" s="89">
        <f t="shared" si="1"/>
        <v>388.30252100840335</v>
      </c>
      <c r="G33" s="41">
        <v>2432</v>
      </c>
      <c r="J33" s="34"/>
    </row>
    <row r="34" spans="3:10" ht="26.25" thickBot="1" x14ac:dyDescent="0.3">
      <c r="C34" s="92"/>
      <c r="D34" s="81" t="s">
        <v>152</v>
      </c>
      <c r="E34" s="88">
        <f t="shared" si="0"/>
        <v>22588.235294117647</v>
      </c>
      <c r="F34" s="89">
        <f t="shared" si="1"/>
        <v>4291.7647058823532</v>
      </c>
      <c r="G34" s="41">
        <v>26880</v>
      </c>
      <c r="J34" s="34"/>
    </row>
    <row r="35" spans="3:10" ht="15.75" thickBot="1" x14ac:dyDescent="0.3">
      <c r="C35" s="92"/>
      <c r="D35" s="9" t="s">
        <v>15</v>
      </c>
      <c r="E35" s="88">
        <f t="shared" si="0"/>
        <v>2366.386554621849</v>
      </c>
      <c r="F35" s="89">
        <f t="shared" si="1"/>
        <v>449.61344537815131</v>
      </c>
      <c r="G35" s="41">
        <v>2816</v>
      </c>
      <c r="J35" s="34"/>
    </row>
    <row r="36" spans="3:10" ht="15.75" thickBot="1" x14ac:dyDescent="0.3">
      <c r="C36" s="92"/>
      <c r="D36" s="3" t="s">
        <v>16</v>
      </c>
      <c r="E36" s="88">
        <f t="shared" si="0"/>
        <v>1936.1344537815128</v>
      </c>
      <c r="F36" s="89">
        <f t="shared" si="1"/>
        <v>367.86554621848745</v>
      </c>
      <c r="G36" s="6">
        <v>2304</v>
      </c>
      <c r="J36" s="34"/>
    </row>
    <row r="37" spans="3:10" ht="15.75" thickBot="1" x14ac:dyDescent="0.3">
      <c r="C37" s="92"/>
      <c r="D37" s="3" t="s">
        <v>17</v>
      </c>
      <c r="E37" s="88">
        <f t="shared" si="0"/>
        <v>21512.605042016807</v>
      </c>
      <c r="F37" s="89">
        <f t="shared" si="1"/>
        <v>4087.3949579831933</v>
      </c>
      <c r="G37" s="6">
        <v>25600</v>
      </c>
      <c r="J37" s="34"/>
    </row>
    <row r="38" spans="3:10" ht="15.75" thickBot="1" x14ac:dyDescent="0.3">
      <c r="C38" s="92"/>
      <c r="D38" s="3" t="s">
        <v>18</v>
      </c>
      <c r="E38" s="88">
        <f t="shared" si="0"/>
        <v>2258.8235294117649</v>
      </c>
      <c r="F38" s="89">
        <f t="shared" si="1"/>
        <v>429.1764705882353</v>
      </c>
      <c r="G38" s="6">
        <v>2688</v>
      </c>
      <c r="J38" s="34"/>
    </row>
    <row r="39" spans="3:10" ht="15.75" thickBot="1" x14ac:dyDescent="0.3">
      <c r="C39" s="92"/>
      <c r="D39" s="3" t="s">
        <v>19</v>
      </c>
      <c r="E39" s="88">
        <f t="shared" si="0"/>
        <v>1828.5714285714287</v>
      </c>
      <c r="F39" s="89">
        <f t="shared" si="1"/>
        <v>347.42857142857144</v>
      </c>
      <c r="G39" s="6">
        <v>2176</v>
      </c>
      <c r="J39" s="34"/>
    </row>
    <row r="40" spans="3:10" ht="15.75" thickBot="1" x14ac:dyDescent="0.3">
      <c r="C40" s="92"/>
      <c r="D40" s="3" t="s">
        <v>20</v>
      </c>
      <c r="E40" s="88">
        <f t="shared" si="0"/>
        <v>20436.974789915967</v>
      </c>
      <c r="F40" s="89">
        <f t="shared" si="1"/>
        <v>3883.0252100840335</v>
      </c>
      <c r="G40" s="6">
        <v>24320</v>
      </c>
      <c r="J40" s="34"/>
    </row>
    <row r="41" spans="3:10" ht="15.75" thickBot="1" x14ac:dyDescent="0.3">
      <c r="C41" s="92"/>
      <c r="D41" s="3" t="s">
        <v>21</v>
      </c>
      <c r="E41" s="88">
        <f t="shared" si="0"/>
        <v>2151.2605042016808</v>
      </c>
      <c r="F41" s="89">
        <f t="shared" si="1"/>
        <v>408.73949579831935</v>
      </c>
      <c r="G41" s="6">
        <v>2560</v>
      </c>
      <c r="J41" s="34"/>
    </row>
    <row r="42" spans="3:10" ht="15.75" thickBot="1" x14ac:dyDescent="0.3">
      <c r="C42" s="92"/>
      <c r="D42" s="3" t="s">
        <v>22</v>
      </c>
      <c r="E42" s="88">
        <f t="shared" si="0"/>
        <v>1721.0084033613446</v>
      </c>
      <c r="F42" s="89">
        <f t="shared" si="1"/>
        <v>326.99159663865549</v>
      </c>
      <c r="G42" s="6">
        <v>2048</v>
      </c>
      <c r="J42" s="34"/>
    </row>
    <row r="43" spans="3:10" ht="15.75" thickBot="1" x14ac:dyDescent="0.3">
      <c r="C43" s="93"/>
      <c r="D43" s="4" t="s">
        <v>23</v>
      </c>
      <c r="E43" s="88">
        <f t="shared" si="0"/>
        <v>19361.344537815126</v>
      </c>
      <c r="F43" s="89">
        <f t="shared" si="1"/>
        <v>3678.6554621848741</v>
      </c>
      <c r="G43" s="7">
        <v>23040</v>
      </c>
      <c r="J43" s="34"/>
    </row>
    <row r="44" spans="3:10" ht="15.75" thickBot="1" x14ac:dyDescent="0.3">
      <c r="C44" s="91" t="s">
        <v>36</v>
      </c>
      <c r="D44" s="79" t="s">
        <v>153</v>
      </c>
      <c r="E44" s="88">
        <f t="shared" si="0"/>
        <v>491596.63865546219</v>
      </c>
      <c r="F44" s="89">
        <f t="shared" si="1"/>
        <v>93403.361344537814</v>
      </c>
      <c r="G44" s="40">
        <v>585000</v>
      </c>
      <c r="J44" s="34"/>
    </row>
    <row r="45" spans="3:10" ht="26.25" thickBot="1" x14ac:dyDescent="0.3">
      <c r="C45" s="92"/>
      <c r="D45" s="81" t="s">
        <v>154</v>
      </c>
      <c r="E45" s="88">
        <f t="shared" si="0"/>
        <v>27731.092436974792</v>
      </c>
      <c r="F45" s="89">
        <f t="shared" si="1"/>
        <v>5268.9075630252109</v>
      </c>
      <c r="G45" s="41">
        <v>33000</v>
      </c>
      <c r="J45" s="34"/>
    </row>
    <row r="46" spans="3:10" ht="15.75" thickBot="1" x14ac:dyDescent="0.3">
      <c r="C46" s="92"/>
      <c r="D46" s="9" t="s">
        <v>26</v>
      </c>
      <c r="E46" s="88">
        <f t="shared" si="0"/>
        <v>25210.084033613446</v>
      </c>
      <c r="F46" s="89">
        <f t="shared" si="1"/>
        <v>4789.9159663865548</v>
      </c>
      <c r="G46" s="41">
        <v>30000</v>
      </c>
      <c r="J46" s="34"/>
    </row>
    <row r="47" spans="3:10" ht="15.75" thickBot="1" x14ac:dyDescent="0.3">
      <c r="C47" s="93"/>
      <c r="D47" s="10" t="s">
        <v>27</v>
      </c>
      <c r="E47" s="88">
        <f t="shared" si="0"/>
        <v>23949.579831932773</v>
      </c>
      <c r="F47" s="89">
        <f t="shared" si="1"/>
        <v>4550.4201680672268</v>
      </c>
      <c r="G47" s="42">
        <v>28500</v>
      </c>
      <c r="J47" s="34"/>
    </row>
    <row r="48" spans="3:10" ht="26.25" thickBot="1" x14ac:dyDescent="0.3">
      <c r="C48" s="91" t="s">
        <v>28</v>
      </c>
      <c r="D48" s="82" t="s">
        <v>155</v>
      </c>
      <c r="E48" s="88">
        <f t="shared" si="0"/>
        <v>12941.176470588236</v>
      </c>
      <c r="F48" s="89">
        <f t="shared" si="1"/>
        <v>2458.8235294117649</v>
      </c>
      <c r="G48" s="43">
        <v>15400</v>
      </c>
      <c r="J48" s="34"/>
    </row>
    <row r="49" spans="3:10" ht="15.75" thickBot="1" x14ac:dyDescent="0.3">
      <c r="C49" s="92"/>
      <c r="D49" s="67" t="s">
        <v>38</v>
      </c>
      <c r="E49" s="88">
        <f t="shared" si="0"/>
        <v>12352.941176470589</v>
      </c>
      <c r="F49" s="89">
        <f t="shared" si="1"/>
        <v>2347.0588235294122</v>
      </c>
      <c r="G49" s="44">
        <v>14700</v>
      </c>
      <c r="J49" s="34"/>
    </row>
    <row r="50" spans="3:10" ht="15.75" thickBot="1" x14ac:dyDescent="0.3">
      <c r="C50" s="92"/>
      <c r="D50" s="67" t="s">
        <v>39</v>
      </c>
      <c r="E50" s="88">
        <f t="shared" si="0"/>
        <v>11764.705882352942</v>
      </c>
      <c r="F50" s="89">
        <f t="shared" si="1"/>
        <v>2235.294117647059</v>
      </c>
      <c r="G50" s="44">
        <v>14000</v>
      </c>
      <c r="J50" s="34"/>
    </row>
    <row r="51" spans="3:10" ht="15.75" thickBot="1" x14ac:dyDescent="0.3">
      <c r="C51" s="93"/>
      <c r="D51" s="68" t="s">
        <v>40</v>
      </c>
      <c r="E51" s="88">
        <f t="shared" si="0"/>
        <v>11176.470588235296</v>
      </c>
      <c r="F51" s="89">
        <f t="shared" si="1"/>
        <v>2123.5294117647063</v>
      </c>
      <c r="G51" s="45">
        <v>13300</v>
      </c>
      <c r="J51" s="34"/>
    </row>
    <row r="52" spans="3:10" ht="26.25" thickBot="1" x14ac:dyDescent="0.3">
      <c r="C52" s="91" t="s">
        <v>29</v>
      </c>
      <c r="D52" s="82" t="s">
        <v>155</v>
      </c>
      <c r="E52" s="88">
        <f t="shared" si="0"/>
        <v>9647.0588235294126</v>
      </c>
      <c r="F52" s="89">
        <f t="shared" si="1"/>
        <v>1832.9411764705885</v>
      </c>
      <c r="G52" s="43">
        <v>11480</v>
      </c>
      <c r="J52" s="34"/>
    </row>
    <row r="53" spans="3:10" ht="15.75" thickBot="1" x14ac:dyDescent="0.3">
      <c r="C53" s="92"/>
      <c r="D53" s="67" t="s">
        <v>38</v>
      </c>
      <c r="E53" s="88">
        <f t="shared" si="0"/>
        <v>9176.4705882352937</v>
      </c>
      <c r="F53" s="89">
        <f t="shared" si="1"/>
        <v>1743.5294117647059</v>
      </c>
      <c r="G53" s="44">
        <v>10920</v>
      </c>
      <c r="J53" s="34"/>
    </row>
    <row r="54" spans="3:10" ht="15.75" thickBot="1" x14ac:dyDescent="0.3">
      <c r="C54" s="92"/>
      <c r="D54" s="67" t="s">
        <v>39</v>
      </c>
      <c r="E54" s="88">
        <f t="shared" si="0"/>
        <v>8823.5294117647063</v>
      </c>
      <c r="F54" s="89">
        <f t="shared" si="1"/>
        <v>1676.4705882352941</v>
      </c>
      <c r="G54" s="44">
        <v>10500</v>
      </c>
      <c r="J54" s="34"/>
    </row>
    <row r="55" spans="3:10" ht="15.75" thickBot="1" x14ac:dyDescent="0.3">
      <c r="C55" s="93"/>
      <c r="D55" s="68" t="s">
        <v>40</v>
      </c>
      <c r="E55" s="88">
        <f t="shared" si="0"/>
        <v>8588.2352941176468</v>
      </c>
      <c r="F55" s="89">
        <f t="shared" si="1"/>
        <v>1631.7647058823529</v>
      </c>
      <c r="G55" s="63">
        <v>10220</v>
      </c>
      <c r="J55" s="34"/>
    </row>
    <row r="56" spans="3:10" ht="15.75" thickBot="1" x14ac:dyDescent="0.3">
      <c r="C56" s="136" t="s">
        <v>32</v>
      </c>
      <c r="D56" s="137"/>
      <c r="E56" s="137"/>
      <c r="F56" s="138"/>
      <c r="G56" s="90">
        <f>SUM(G5:G55)</f>
        <v>72834594.400000006</v>
      </c>
    </row>
    <row r="59" spans="3:10" x14ac:dyDescent="0.25">
      <c r="G59" s="34"/>
    </row>
    <row r="60" spans="3:10" x14ac:dyDescent="0.25">
      <c r="G60" s="34"/>
    </row>
    <row r="61" spans="3:10" x14ac:dyDescent="0.25">
      <c r="C61" t="s">
        <v>169</v>
      </c>
    </row>
  </sheetData>
  <mergeCells count="8">
    <mergeCell ref="C52:C55"/>
    <mergeCell ref="C56:F56"/>
    <mergeCell ref="C5:C12"/>
    <mergeCell ref="C13:C21"/>
    <mergeCell ref="C22:C31"/>
    <mergeCell ref="C32:C43"/>
    <mergeCell ref="C44:C47"/>
    <mergeCell ref="C48:C51"/>
  </mergeCells>
  <pageMargins left="0.75" right="0.75" top="1" bottom="1" header="0.5" footer="0.5"/>
  <pageSetup paperSize="9" scale="57" orientation="portrait" horizontalDpi="0" verticalDpi="0" r:id="rId1"/>
  <drawing r:id="rId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COMPARACIÓN PRECIOS</vt:lpstr>
      <vt:lpstr>Hoja1</vt:lpstr>
      <vt:lpstr>PAC A PEDIR</vt:lpstr>
      <vt:lpstr>LISTADO DE PRECIOS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CT. Mayra Farley Moreno Meza</dc:creator>
  <cp:lastModifiedBy>LICITACION 2</cp:lastModifiedBy>
  <cp:lastPrinted>2019-07-18T19:33:17Z</cp:lastPrinted>
  <dcterms:created xsi:type="dcterms:W3CDTF">2019-06-07T18:00:10Z</dcterms:created>
  <dcterms:modified xsi:type="dcterms:W3CDTF">2019-07-18T19:33:27Z</dcterms:modified>
</cp:coreProperties>
</file>