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MAYO/CMA-DEO-SGI-009-2023/3. DOC DEFINITIVOS/Formulario No 1/"/>
    </mc:Choice>
  </mc:AlternateContent>
  <xr:revisionPtr revIDLastSave="2" documentId="8_{0E8DF688-F0BB-45E2-9443-A3312A424E7D}" xr6:coauthVersionLast="47" xr6:coauthVersionMax="47" xr10:uidLastSave="{FDEAB75F-27A8-48F3-918F-F53B447915CA}"/>
  <bookViews>
    <workbookView xWindow="-120" yWindow="-120" windowWidth="29040" windowHeight="15990" firstSheet="1" activeTab="1" xr2:uid="{00000000-000D-0000-FFFF-FFFF00000000}"/>
  </bookViews>
  <sheets>
    <sheet name="Long. &gt;126 km y &lt; ó = 190 km " sheetId="5" state="hidden" r:id="rId1"/>
    <sheet name="Long. &gt;126 km y &lt; ó = 190 km OK" sheetId="11" r:id="rId2"/>
    <sheet name="GV- TMM" sheetId="10" state="hidden" r:id="rId3"/>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 localSheetId="1">#REF!</definedName>
    <definedName name="_______A17000">#REF!</definedName>
    <definedName name="_______A20000" localSheetId="0">#REF!</definedName>
    <definedName name="_______A20000" localSheetId="1">#REF!</definedName>
    <definedName name="_______A20000">#REF!</definedName>
    <definedName name="_______A30000" localSheetId="0">#REF!</definedName>
    <definedName name="_______A30000" localSheetId="1">#REF!</definedName>
    <definedName name="_______A30000">#REF!</definedName>
    <definedName name="______A17000" localSheetId="0">#REF!</definedName>
    <definedName name="______A17000" localSheetId="1">#REF!</definedName>
    <definedName name="______A17000">#REF!</definedName>
    <definedName name="______A20000" localSheetId="0">#REF!</definedName>
    <definedName name="______A20000" localSheetId="1">#REF!</definedName>
    <definedName name="______A20000">#REF!</definedName>
    <definedName name="______A30000" localSheetId="0">#REF!</definedName>
    <definedName name="______A30000" localSheetId="1">#REF!</definedName>
    <definedName name="______A30000">#REF!</definedName>
    <definedName name="_____A17000" localSheetId="0">#REF!</definedName>
    <definedName name="_____A17000" localSheetId="1">#REF!</definedName>
    <definedName name="_____A17000">#REF!</definedName>
    <definedName name="_____A20000" localSheetId="0">#REF!</definedName>
    <definedName name="_____A20000" localSheetId="1">#REF!</definedName>
    <definedName name="_____A20000">#REF!</definedName>
    <definedName name="_____A30000" localSheetId="0">#REF!</definedName>
    <definedName name="_____A30000" localSheetId="1">#REF!</definedName>
    <definedName name="_____A30000">#REF!</definedName>
    <definedName name="____A17000" localSheetId="0">#REF!</definedName>
    <definedName name="____A17000" localSheetId="1">#REF!</definedName>
    <definedName name="____A17000">#REF!</definedName>
    <definedName name="____A20000" localSheetId="0">#REF!</definedName>
    <definedName name="____A20000" localSheetId="1">#REF!</definedName>
    <definedName name="____A20000">#REF!</definedName>
    <definedName name="____A30000" localSheetId="0">#REF!</definedName>
    <definedName name="____A30000" localSheetId="1">#REF!</definedName>
    <definedName name="____A30000">#REF!</definedName>
    <definedName name="___A17000" localSheetId="0">#REF!</definedName>
    <definedName name="___A17000" localSheetId="1">#REF!</definedName>
    <definedName name="___A17000">#REF!</definedName>
    <definedName name="___A20000" localSheetId="0">#REF!</definedName>
    <definedName name="___A20000" localSheetId="1">#REF!</definedName>
    <definedName name="___A20000">#REF!</definedName>
    <definedName name="___A30000" localSheetId="0">#REF!</definedName>
    <definedName name="___A30000" localSheetId="1">#REF!</definedName>
    <definedName name="___A30000">#REF!</definedName>
    <definedName name="__A17000" localSheetId="0">#REF!</definedName>
    <definedName name="__A17000" localSheetId="1">#REF!</definedName>
    <definedName name="__A17000">#REF!</definedName>
    <definedName name="__A20000" localSheetId="0">#REF!</definedName>
    <definedName name="__A20000" localSheetId="1">#REF!</definedName>
    <definedName name="__A20000">#REF!</definedName>
    <definedName name="__A30000" localSheetId="0">#REF!</definedName>
    <definedName name="__A30000" localSheetId="1">#REF!</definedName>
    <definedName name="__A30000">#REF!</definedName>
    <definedName name="_A17000" localSheetId="0">#REF!</definedName>
    <definedName name="_A17000" localSheetId="1">#REF!</definedName>
    <definedName name="_A17000">#REF!</definedName>
    <definedName name="_A20000" localSheetId="0">#REF!</definedName>
    <definedName name="_A20000" localSheetId="1">#REF!</definedName>
    <definedName name="_A20000">#REF!</definedName>
    <definedName name="_A30000" localSheetId="0">#REF!</definedName>
    <definedName name="_A30000" localSheetId="1">#REF!</definedName>
    <definedName name="_A30000">#REF!</definedName>
    <definedName name="_xlnm.Print_Area" localSheetId="0">'Long. &gt;126 km y &lt; ó = 190 km '!#REF!</definedName>
    <definedName name="_xlnm.Print_Area" localSheetId="1">'Long. &gt;126 km y &lt; ó = 190 km OK'!#REF!</definedName>
    <definedName name="Criticos" localSheetId="0">#REF!</definedName>
    <definedName name="Criticos" localSheetId="1">#REF!</definedName>
    <definedName name="Criticos">#REF!</definedName>
    <definedName name="inf">#REF!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5" i="5" l="1"/>
  <c r="D54" i="5"/>
  <c r="D39" i="5"/>
  <c r="D38" i="5"/>
  <c r="D53" i="5"/>
  <c r="E33" i="5"/>
  <c r="C237" i="5"/>
  <c r="L237" i="5"/>
  <c r="C165" i="5"/>
  <c r="C93" i="5"/>
  <c r="M264" i="5" l="1"/>
  <c r="L239" i="5"/>
  <c r="D264" i="5"/>
  <c r="C239" i="5"/>
  <c r="M272" i="5" l="1"/>
  <c r="O272" i="5" s="1"/>
  <c r="Q272" i="5" s="1"/>
  <c r="M271" i="5"/>
  <c r="O271" i="5" s="1"/>
  <c r="M256" i="5"/>
  <c r="O256" i="5" s="1"/>
  <c r="Q256" i="5" s="1"/>
  <c r="M273" i="5"/>
  <c r="O273" i="5" s="1"/>
  <c r="P265" i="5"/>
  <c r="Q265" i="5" s="1"/>
  <c r="O264" i="5"/>
  <c r="P264" i="5" s="1"/>
  <c r="M263" i="5"/>
  <c r="O263" i="5" s="1"/>
  <c r="M262" i="5"/>
  <c r="O262" i="5" s="1"/>
  <c r="M261" i="5"/>
  <c r="O261" i="5" s="1"/>
  <c r="M260" i="5"/>
  <c r="O260" i="5" s="1"/>
  <c r="M259" i="5"/>
  <c r="O259" i="5" s="1"/>
  <c r="M258" i="5"/>
  <c r="O258" i="5" s="1"/>
  <c r="M257" i="5"/>
  <c r="O257" i="5" s="1"/>
  <c r="Q257" i="5" s="1"/>
  <c r="M253" i="5"/>
  <c r="O253" i="5" s="1"/>
  <c r="M251" i="5"/>
  <c r="O251" i="5" s="1"/>
  <c r="L241" i="5"/>
  <c r="O241" i="5" s="1"/>
  <c r="L240" i="5"/>
  <c r="O240" i="5" s="1"/>
  <c r="O239" i="5"/>
  <c r="M236" i="5"/>
  <c r="M237" i="5" s="1"/>
  <c r="O237" i="5" s="1"/>
  <c r="L236" i="5"/>
  <c r="M235" i="5"/>
  <c r="L235" i="5"/>
  <c r="O235" i="5" l="1"/>
  <c r="O236" i="5"/>
  <c r="O265" i="5"/>
  <c r="O275" i="5"/>
  <c r="O242" i="5" l="1"/>
  <c r="O244" i="5" s="1"/>
  <c r="O276" i="5" s="1"/>
  <c r="O277" i="5" s="1"/>
  <c r="O278" i="5" s="1"/>
  <c r="D256" i="5" l="1"/>
  <c r="D192" i="5"/>
  <c r="D184" i="5"/>
  <c r="C95" i="5"/>
  <c r="C21" i="5"/>
  <c r="D120" i="5"/>
  <c r="C167" i="5"/>
  <c r="D112" i="5"/>
  <c r="F264" i="5" l="1"/>
  <c r="F239" i="5"/>
  <c r="F192" i="5"/>
  <c r="G192" i="5" s="1"/>
  <c r="F167" i="5"/>
  <c r="F120" i="5"/>
  <c r="G120" i="5" s="1"/>
  <c r="F95" i="5"/>
  <c r="F46" i="5"/>
  <c r="F21" i="5"/>
  <c r="D273" i="5" l="1"/>
  <c r="F273" i="5" s="1"/>
  <c r="D272" i="5"/>
  <c r="F272" i="5" s="1"/>
  <c r="D271" i="5"/>
  <c r="F271" i="5" s="1"/>
  <c r="D263" i="5"/>
  <c r="F263" i="5" s="1"/>
  <c r="D262" i="5"/>
  <c r="F262" i="5" s="1"/>
  <c r="D261" i="5"/>
  <c r="F261" i="5" s="1"/>
  <c r="D260" i="5"/>
  <c r="F260" i="5" s="1"/>
  <c r="D259" i="5"/>
  <c r="F259" i="5" s="1"/>
  <c r="D258" i="5"/>
  <c r="F258" i="5" s="1"/>
  <c r="D257" i="5"/>
  <c r="F257" i="5" s="1"/>
  <c r="F256" i="5"/>
  <c r="D253" i="5"/>
  <c r="F253" i="5" s="1"/>
  <c r="D251" i="5"/>
  <c r="F251" i="5" s="1"/>
  <c r="C241" i="5"/>
  <c r="F241" i="5" s="1"/>
  <c r="C240" i="5"/>
  <c r="F240" i="5" s="1"/>
  <c r="D236" i="5"/>
  <c r="D235" i="5"/>
  <c r="C236" i="5"/>
  <c r="C235" i="5"/>
  <c r="D201" i="5"/>
  <c r="F201" i="5" s="1"/>
  <c r="D200" i="5"/>
  <c r="F200" i="5" s="1"/>
  <c r="H200" i="5" s="1"/>
  <c r="D199" i="5"/>
  <c r="F199" i="5" s="1"/>
  <c r="D191" i="5"/>
  <c r="F191" i="5" s="1"/>
  <c r="D190" i="5"/>
  <c r="F190" i="5" s="1"/>
  <c r="D189" i="5"/>
  <c r="F189" i="5" s="1"/>
  <c r="D188" i="5"/>
  <c r="F188" i="5" s="1"/>
  <c r="D187" i="5"/>
  <c r="F187" i="5" s="1"/>
  <c r="D186" i="5"/>
  <c r="F186" i="5" s="1"/>
  <c r="D185" i="5"/>
  <c r="F185" i="5" s="1"/>
  <c r="H185" i="5" s="1"/>
  <c r="F184" i="5"/>
  <c r="H184" i="5" s="1"/>
  <c r="D181" i="5"/>
  <c r="F181" i="5" s="1"/>
  <c r="D179" i="5"/>
  <c r="F179" i="5" s="1"/>
  <c r="C169" i="5"/>
  <c r="F169" i="5" s="1"/>
  <c r="C168" i="5"/>
  <c r="F168" i="5" s="1"/>
  <c r="D164" i="5"/>
  <c r="D165" i="5" s="1"/>
  <c r="F165" i="5" s="1"/>
  <c r="D163" i="5"/>
  <c r="C164" i="5"/>
  <c r="C163" i="5"/>
  <c r="F164" i="5" l="1"/>
  <c r="F236" i="5"/>
  <c r="D237" i="5"/>
  <c r="F237" i="5" s="1"/>
  <c r="F193" i="5"/>
  <c r="F265" i="5"/>
  <c r="F275" i="5"/>
  <c r="F235" i="5"/>
  <c r="F203" i="5"/>
  <c r="F163" i="5"/>
  <c r="F170" i="5" l="1"/>
  <c r="F172" i="5" s="1"/>
  <c r="F204" i="5" s="1"/>
  <c r="F242" i="5"/>
  <c r="F244" i="5" s="1"/>
  <c r="F276" i="5" s="1"/>
  <c r="F277" i="5" s="1"/>
  <c r="F278" i="5" s="1"/>
  <c r="F205" i="5" l="1"/>
  <c r="F206" i="5" l="1"/>
  <c r="D129" i="5" l="1"/>
  <c r="D128" i="5"/>
  <c r="D127" i="5"/>
  <c r="D119" i="5"/>
  <c r="D118" i="5"/>
  <c r="D117" i="5"/>
  <c r="D116" i="5"/>
  <c r="D115" i="5"/>
  <c r="D114" i="5"/>
  <c r="D113" i="5"/>
  <c r="D109" i="5"/>
  <c r="F109" i="5" s="1"/>
  <c r="D107" i="5"/>
  <c r="F107" i="5" s="1"/>
  <c r="C97" i="5"/>
  <c r="C96" i="5"/>
  <c r="D92" i="5"/>
  <c r="D93" i="5" s="1"/>
  <c r="F93" i="5" s="1"/>
  <c r="D91" i="5"/>
  <c r="C92" i="5"/>
  <c r="C91" i="5"/>
  <c r="F127" i="5"/>
  <c r="F119" i="5"/>
  <c r="F118" i="5"/>
  <c r="F112" i="5"/>
  <c r="H112" i="5" s="1"/>
  <c r="E42" i="10"/>
  <c r="F92" i="5" l="1"/>
  <c r="F115" i="5"/>
  <c r="F113" i="5"/>
  <c r="H113" i="5" s="1"/>
  <c r="F96" i="5"/>
  <c r="F116" i="5"/>
  <c r="F128" i="5"/>
  <c r="H128" i="5" s="1"/>
  <c r="F97" i="5"/>
  <c r="F117" i="5"/>
  <c r="F114" i="5"/>
  <c r="F129" i="5"/>
  <c r="F91" i="5"/>
  <c r="F131" i="5" l="1"/>
  <c r="F121" i="5"/>
  <c r="F98" i="5"/>
  <c r="F100" i="5" s="1"/>
  <c r="F132" i="5" l="1"/>
  <c r="F133" i="5" s="1"/>
  <c r="K29" i="10"/>
  <c r="I29" i="10" s="1"/>
  <c r="J29" i="10" s="1"/>
  <c r="K35" i="10"/>
  <c r="I35" i="10" s="1"/>
  <c r="K41" i="10"/>
  <c r="Q41" i="10"/>
  <c r="O41" i="10" s="1"/>
  <c r="P41" i="10" s="1"/>
  <c r="Q35" i="10"/>
  <c r="F134" i="5" l="1"/>
  <c r="K23" i="10"/>
  <c r="I23" i="10" s="1"/>
  <c r="J23" i="10" s="1"/>
  <c r="K17" i="10"/>
  <c r="I17" i="10" s="1"/>
  <c r="J17" i="10" s="1"/>
  <c r="I41" i="10"/>
  <c r="J41" i="10" s="1"/>
  <c r="J35" i="10"/>
  <c r="O35" i="10"/>
  <c r="Q29" i="10" l="1"/>
  <c r="O29" i="10" s="1"/>
  <c r="P29" i="10" s="1"/>
  <c r="Q17" i="10"/>
  <c r="Q23" i="10"/>
  <c r="K42" i="10"/>
  <c r="K43" i="10" s="1"/>
  <c r="I42" i="10"/>
  <c r="I43" i="10" s="1"/>
  <c r="J42" i="10"/>
  <c r="J43" i="10" s="1"/>
  <c r="P35" i="10"/>
  <c r="O23" i="10" l="1"/>
  <c r="P23" i="10" s="1"/>
  <c r="O17" i="10"/>
  <c r="Q42" i="10"/>
  <c r="Q43" i="10" s="1"/>
  <c r="D55" i="5"/>
  <c r="F55" i="5" s="1"/>
  <c r="F54" i="5"/>
  <c r="F53" i="5"/>
  <c r="D45" i="5"/>
  <c r="F45" i="5" s="1"/>
  <c r="D44" i="5"/>
  <c r="F44" i="5" s="1"/>
  <c r="D43" i="5"/>
  <c r="F43" i="5" s="1"/>
  <c r="D42" i="5"/>
  <c r="F42" i="5" s="1"/>
  <c r="D41" i="5"/>
  <c r="F41" i="5" s="1"/>
  <c r="D40" i="5"/>
  <c r="F40" i="5" s="1"/>
  <c r="F39" i="5"/>
  <c r="D35" i="5"/>
  <c r="F35" i="5" s="1"/>
  <c r="D33" i="5"/>
  <c r="F33" i="5" s="1"/>
  <c r="C23" i="5"/>
  <c r="F23" i="5" s="1"/>
  <c r="C22" i="5"/>
  <c r="F22" i="5" s="1"/>
  <c r="D18" i="5"/>
  <c r="D19" i="5" s="1"/>
  <c r="F19" i="5" s="1"/>
  <c r="D17" i="5"/>
  <c r="C18" i="5"/>
  <c r="C17" i="5"/>
  <c r="F38" i="5"/>
  <c r="F17" i="5" l="1"/>
  <c r="F18" i="5"/>
  <c r="P17" i="10"/>
  <c r="P42" i="10" s="1"/>
  <c r="P43" i="10" s="1"/>
  <c r="O42" i="10"/>
  <c r="O43" i="10" s="1"/>
  <c r="F47" i="5"/>
  <c r="F57" i="5"/>
  <c r="F24" i="5" l="1"/>
  <c r="F26" i="5" s="1"/>
  <c r="F58" i="5" s="1"/>
  <c r="F60" i="5" s="1"/>
  <c r="F61" i="5" s="1"/>
  <c r="G61" i="5" s="1"/>
  <c r="N29" i="10" l="1"/>
  <c r="L29" i="10" s="1"/>
  <c r="M29" i="10" s="1"/>
  <c r="N17" i="10"/>
  <c r="L17" i="10" s="1"/>
  <c r="M17" i="10" s="1"/>
  <c r="N23" i="10"/>
  <c r="N35" i="10"/>
  <c r="N41" i="10"/>
  <c r="L41" i="10" s="1"/>
  <c r="M41" i="10" s="1"/>
  <c r="L23" i="10" l="1"/>
  <c r="M23" i="10" s="1"/>
  <c r="N42" i="10"/>
  <c r="L35" i="10"/>
  <c r="H29" i="10" l="1"/>
  <c r="F29" i="10" s="1"/>
  <c r="G29" i="10" s="1"/>
  <c r="M35" i="10"/>
  <c r="M42" i="10" s="1"/>
  <c r="M43" i="10" s="1"/>
  <c r="L42" i="10"/>
  <c r="L43" i="10" s="1"/>
  <c r="N43" i="10"/>
  <c r="H23" i="10" l="1"/>
  <c r="F23" i="10" s="1"/>
  <c r="G23" i="10" s="1"/>
  <c r="H17" i="10"/>
  <c r="F17" i="10" s="1"/>
  <c r="G17" i="10" s="1"/>
  <c r="H35" i="10" l="1"/>
  <c r="H41" i="10"/>
  <c r="F41" i="10" s="1"/>
  <c r="G41" i="10" s="1"/>
  <c r="H42" i="10" l="1"/>
  <c r="F35" i="10"/>
  <c r="G35" i="10" l="1"/>
  <c r="G42" i="10" s="1"/>
  <c r="G43" i="10" s="1"/>
  <c r="F42" i="10"/>
  <c r="F43" i="10" s="1"/>
  <c r="H43" i="10"/>
  <c r="R43" i="10" s="1"/>
  <c r="R42" i="10"/>
</calcChain>
</file>

<file path=xl/sharedStrings.xml><?xml version="1.0" encoding="utf-8"?>
<sst xmlns="http://schemas.openxmlformats.org/spreadsheetml/2006/main" count="758" uniqueCount="183">
  <si>
    <t>INSTITUTO NACIONAL DE VIAS</t>
  </si>
  <si>
    <t>TERRITORIAL</t>
  </si>
  <si>
    <t>VIA</t>
  </si>
  <si>
    <t>TOTAL</t>
  </si>
  <si>
    <t>CESAR</t>
  </si>
  <si>
    <t>OCAÑA</t>
  </si>
  <si>
    <t>SANTANDER</t>
  </si>
  <si>
    <t>TOLIMA</t>
  </si>
  <si>
    <t>LONGITUD TOTAL (KM)</t>
  </si>
  <si>
    <t>PRESUPUESTO OFICIAL 2023 (12 meses)</t>
  </si>
  <si>
    <t>BASICO</t>
  </si>
  <si>
    <t>IVA</t>
  </si>
  <si>
    <t>MINISTERIO DE TRANSPORTE</t>
  </si>
  <si>
    <t>INSTITUTO NACIONAL DE VÍAS</t>
  </si>
  <si>
    <t xml:space="preserve">FORMULARIO 1 </t>
  </si>
  <si>
    <t>PROPUESTA ECONOMICA</t>
  </si>
  <si>
    <t>SUELDO Y/O</t>
  </si>
  <si>
    <t>PRIMA</t>
  </si>
  <si>
    <t>PARTICIPACIÓN</t>
  </si>
  <si>
    <t>VALOR</t>
  </si>
  <si>
    <t>i=</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</si>
  <si>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</si>
  <si>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</si>
  <si>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</si>
  <si>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</si>
  <si>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</si>
  <si>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</si>
  <si>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</si>
  <si>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</si>
  <si>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</si>
  <si>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</si>
  <si>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</si>
  <si>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</si>
  <si>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</si>
  <si>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</si>
  <si>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PERSONAL AUXILIAR</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</si>
  <si>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</si>
  <si>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</si>
  <si>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</si>
  <si>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</si>
  <si>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</si>
  <si>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</si>
  <si>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</si>
  <si>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</si>
  <si>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</si>
  <si>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</si>
  <si>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</si>
  <si>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</si>
  <si>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</si>
  <si>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</si>
  <si>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</si>
  <si>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</si>
  <si>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</si>
  <si>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</si>
  <si>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</si>
  <si>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</si>
  <si>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</si>
  <si>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</si>
  <si>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</si>
  <si>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</si>
  <si>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</si>
  <si>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</si>
  <si>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</si>
  <si>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</si>
  <si>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</si>
  <si>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</si>
  <si>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</si>
  <si>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</si>
  <si>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</si>
  <si>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</si>
  <si>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</si>
  <si>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</si>
  <si>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</si>
  <si>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</si>
  <si>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</si>
  <si>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</si>
  <si>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</si>
  <si>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</si>
  <si>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</si>
  <si>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</si>
  <si>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</si>
  <si>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IVA = 19% * (D) = </t>
    </r>
    <r>
      <rPr>
        <b/>
        <sz val="10"/>
        <color indexed="12"/>
        <rFont val="Arial"/>
        <family val="2"/>
      </rPr>
      <t>(E)</t>
    </r>
  </si>
  <si>
    <r>
      <t xml:space="preserve">COSTO TOTAL = (D) + (E) = </t>
    </r>
    <r>
      <rPr>
        <b/>
        <sz val="10"/>
        <color indexed="12"/>
        <rFont val="Arial"/>
        <family val="2"/>
      </rPr>
      <t>(F)</t>
    </r>
  </si>
  <si>
    <t>NOTAS:</t>
  </si>
  <si>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</si>
  <si>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</si>
  <si>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t>PLAZO = 12 MESES</t>
  </si>
  <si>
    <t>Ingeniero Auxiliar</t>
  </si>
  <si>
    <t>Auxiliar Administrativo o Secretaria</t>
  </si>
  <si>
    <t>Plegables (1000 semestrales)</t>
  </si>
  <si>
    <t>DIRECCION TERRITORIAL BOYACÁ</t>
  </si>
  <si>
    <t>Sectores de longitud: mayor a 126 km y menor o igual a 190 km</t>
  </si>
  <si>
    <t>Global  S/comprobante</t>
  </si>
  <si>
    <t>TOTAL CON 4xMIL</t>
  </si>
  <si>
    <t>SUBDIRECCION DE LA RED NACIONAL DE CARRETERAS</t>
  </si>
  <si>
    <t>PROYECTO:</t>
  </si>
  <si>
    <t>TRONCAL DEL MAGDALENA MEDIO</t>
  </si>
  <si>
    <r>
      <t xml:space="preserve">FECHA: </t>
    </r>
    <r>
      <rPr>
        <b/>
        <sz val="12"/>
        <color indexed="10"/>
        <rFont val="Arial"/>
        <family val="2"/>
      </rPr>
      <t/>
    </r>
  </si>
  <si>
    <t xml:space="preserve">GRUPO GV  No. </t>
  </si>
  <si>
    <t>CODIGO DE LA VIA</t>
  </si>
  <si>
    <t>DESCRIPCION SECTORES DE VIAS CON PR's</t>
  </si>
  <si>
    <t>Puerto Salgar - Rio Ermitaño</t>
  </si>
  <si>
    <t>PR34+0050 al PR 134+0242</t>
  </si>
  <si>
    <t>Rio Ermitaño - Puerto Araujo</t>
  </si>
  <si>
    <t>PR00+0000 al PR61+0000</t>
  </si>
  <si>
    <t>LONGITUD (KM)</t>
  </si>
  <si>
    <t>Puerto Araujo - La Lizama</t>
  </si>
  <si>
    <t>PR 061+000 al PR 149+484</t>
  </si>
  <si>
    <t>La Lizama - San Alberto</t>
  </si>
  <si>
    <t>PR 0+000 al PR 091+000</t>
  </si>
  <si>
    <t>SAN ALBERTO - LA MATA</t>
  </si>
  <si>
    <t>PR0+000 AL PR101+500</t>
  </si>
  <si>
    <t>LA MATA - SAN ROQUE</t>
  </si>
  <si>
    <t>PR0+000 AL PR88+000</t>
  </si>
  <si>
    <t>45CS04</t>
  </si>
  <si>
    <t>CIRCUNVALAR AGUACHICA</t>
  </si>
  <si>
    <t>PR00+0000 AL PR 04+0000</t>
  </si>
  <si>
    <t>GAMARRA-AGUACHICA</t>
  </si>
  <si>
    <t>PR01+0000 AL PR 13+0500</t>
  </si>
  <si>
    <t>Carretera Aguaclara-Ocaña</t>
  </si>
  <si>
    <t>Sector Ocaña-Rio de Oro, PR 00+0000 al PR 43+0000</t>
  </si>
  <si>
    <t>PRESUPUESTO OFICIAL 2024 (12 meses)</t>
  </si>
  <si>
    <t>PRESUPUESTO OFICIAL 2021 (12 meses)</t>
  </si>
  <si>
    <t>PRESUPUESTO OFICIAL 2022 (12 meses)</t>
  </si>
  <si>
    <t>PRESUPUESTOS ADMINISTRACIONES VIALES 2021 - 2024</t>
  </si>
  <si>
    <t xml:space="preserve">Inspector SISO </t>
  </si>
  <si>
    <t>Elementos e Insumos Protocolo de Bioseguridad</t>
  </si>
  <si>
    <t>PLAZO = 7 MESES</t>
  </si>
  <si>
    <t>Ingeniero Auxiliar I</t>
  </si>
  <si>
    <t>Ingeniero Auxiliar II</t>
  </si>
  <si>
    <t>9. Los gastos de peajes solo se reconocerán aquellos que se originen por el desplazamiento del personal en la zona del proyecto.</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</si>
  <si>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</si>
  <si>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</si>
  <si>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</si>
  <si>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6. Los valores que aparecen fijos e inmodificables, no podran alterarse,  de lo contrario será causal de rechazo.</t>
  </si>
  <si>
    <t>7. Para el caso del reembolso de los costos globales, es responsabilidad de la Administración Vial el gasto racional de estos recursos, de acuerdo con las necesidades del proyecto dentro del plazo contractual.</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</si>
  <si>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</si>
  <si>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11.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</si>
  <si>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10. El ADMINISTRADOR VIAL dará estricto cumplimiento de los Protocolos de Bioseguridad, así como del Decreto 531 de 2020, la Resolución 666 de 2020, la Resolución 312 de 2019, y la Resolución 1443 de 2014 y demás normas vigentes sobre el tema. El ítem de elementos e insumos de protocolos de bioseguridad, sólo será reconocido mientras dure la emergencia Sanitaria por COVID-19 decretada por el gobierno nacional.</t>
  </si>
  <si>
    <t xml:space="preserve">Provisión para estudios menores, topografía y/o laboratorios, toma de muestras de campo, etc. </t>
  </si>
  <si>
    <t>CONCURSO DE MERITOS  CMA-DEO-XXX-XXX-20XX       PRESUPUESTO 2024</t>
  </si>
  <si>
    <t>CONCURSO DE MERITOS  CMA-DEO-XXX-XXX-20XX       PRESUPUESTO 2025</t>
  </si>
  <si>
    <t>CONCURSO DE MERITOS  CMA-DEO-XXX-XXX-20XX       PRESUPUESTO 2026</t>
  </si>
  <si>
    <t>DIRECCION TERRITORIAL CÓRDOBA</t>
  </si>
  <si>
    <r>
      <t xml:space="preserve">Objeto: “ADMINISTRACIÓN VIAL DE LAS CARRETERAS NACIONALES A CARGO DE INVÍAS, DE LAS DIRECCIÓNES TERRITORIALES CORDOBA, LA GUAJIRA, MAGDALENA, ATLANTICO, BOLIVAR Y SUCRE LOTES DEL 1 AL 10”.
 </t>
    </r>
    <r>
      <rPr>
        <b/>
        <u/>
        <sz val="10"/>
        <rFont val="Arial"/>
        <family val="2"/>
      </rPr>
      <t>DIRECCIÓN TERRITORIAL CÓRDOBA, GRUPO ADMINISTRACIÓN VÍAL No 1 LOTE No 1.</t>
    </r>
    <r>
      <rPr>
        <b/>
        <sz val="10"/>
        <rFont val="Arial"/>
        <family val="2"/>
      </rPr>
      <t xml:space="preserve"> </t>
    </r>
  </si>
  <si>
    <t xml:space="preserve">se los sumo a Provisión para estudios menores, topografía y/o laboratorios, toma de muestras de campo, etc. </t>
  </si>
  <si>
    <t>PLAZO = 43 MESES</t>
  </si>
  <si>
    <t>BOLSA DE AJUSTES POR MODIFICACIÓN = (E)</t>
  </si>
  <si>
    <r>
      <t xml:space="preserve">COSTO TOTAL = (D) + (E) + </t>
    </r>
    <r>
      <rPr>
        <b/>
        <sz val="10"/>
        <color indexed="12"/>
        <rFont val="Arial"/>
        <family val="2"/>
      </rPr>
      <t>(F) = (G)</t>
    </r>
  </si>
  <si>
    <r>
      <t xml:space="preserve">IVA = 19% * (D + E) = </t>
    </r>
    <r>
      <rPr>
        <b/>
        <sz val="10"/>
        <color indexed="12"/>
        <rFont val="Arial"/>
        <family val="2"/>
      </rPr>
      <t>(F)</t>
    </r>
  </si>
  <si>
    <t>CONCURSO DE MERITOS  CMA-DEO-XXX-XXX-20XX       PRESUPUESTO 2023 - 2026</t>
  </si>
  <si>
    <t>Oficina  (incluye dotación y  servicios públicos)</t>
  </si>
  <si>
    <t>global (Según comprobante de pago)</t>
  </si>
  <si>
    <t>1. Para el reconocimiento de los gastos deberá tenerse en cuenta la forma de pago establecida en los estudios previos, pliego de condiciones y contrato y las indicaciones pertinentes del Manual de Gestión vial integral, o el que lo modifique o sustituya. Se tendrá en cuenta lo siguiente, según corresponda:</t>
  </si>
  <si>
    <t>1.1. Los costos directos de personal deben estar soportados por la nómina firmada, las cuales se anexarán al acta de costos para el trámite correspondiente ante el Instituto.</t>
  </si>
  <si>
    <t>1.4. Los equipos e insumos técnicos solicitados se requieren como una herramienta de trabajo, por lo cual debe tenerlos el Contratista, para el desarrollo de sus actividades y se reconocen sus servicios al INVIAS dentro del itém "Oficina  (incluye dotación y  servicios públicos)".</t>
  </si>
  <si>
    <t>1.5. Para el caso de reembolso de los costos globales, es responsabilidad del Contratista el gasto racional de estos recursos, de acuerdo con la necesidad del proyecto dentro del plazo contractual.</t>
  </si>
  <si>
    <t>1.6. Los valores que aparecen fijos e inmodificables, no podrán alterarse.</t>
  </si>
  <si>
    <t>2.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</si>
  <si>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VALOR MAXIMO</t>
  </si>
  <si>
    <t>PLAZO = CUATRO (4) MESES</t>
  </si>
  <si>
    <r>
      <t xml:space="preserve">COSTO TOTAL = (D) + (E) </t>
    </r>
    <r>
      <rPr>
        <b/>
        <sz val="10"/>
        <color indexed="12"/>
        <rFont val="Arial"/>
        <family val="2"/>
      </rPr>
      <t>= (F)</t>
    </r>
  </si>
  <si>
    <t>1.7. El Vehículo incluye el combustible. La Dirección Territorial deberá llevar el control mensual de la utilización de los vehículos y aprobará su pago respecto a su uso.</t>
  </si>
  <si>
    <t xml:space="preserve">1.8.  La oficina (incluye dotación y servicios públicos), peajes,  Papelería, CDs, DVDs, fotocopias,fotografias,etc.edición de informes, papelería, reproducción de documentos, planos, fotografías, comunicaciones (telefonía fija y/o celular, correo, internet, etc), capactiación microempresas, se reembolsarán según su costo real contra presentación de facturas soportes. </t>
  </si>
  <si>
    <t>1.9. Los Transportes Aéreos y terrestres corresponden a los gastos de pasajes cuando son citados a capacitación ó reuniones de  evaluación fuera de la sede de trabajo.</t>
  </si>
  <si>
    <t>1.10.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</si>
  <si>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1.11. Los gastos de peajes solo se reconocerán aquellos que se originen por el desplazamiento del personal en la zona del proyecto.</t>
  </si>
  <si>
    <t>DIRECCION TERRITORIAL SANTANDER</t>
  </si>
  <si>
    <r>
      <t xml:space="preserve">Objeto: “ADMINISTRACIÓN VIAL DE LAS CARRETERAS NACIONALES A CARGO DE INVÍAS, DE LAS DIRECCIÓNES TERRITORIALES CESAR, SANTANDER, NORTE DE SANTANDER Y OCAÑA LOTES DEL 1 AL 11”.
 </t>
    </r>
    <r>
      <rPr>
        <b/>
        <u/>
        <sz val="10"/>
        <rFont val="Arial"/>
        <family val="2"/>
      </rPr>
      <t>DIRECCIÓN TERRITORIAL SANTANDER, GRUPO ADMINISTRACIÓN VÍAL No 03 LOTE No 05.</t>
    </r>
    <r>
      <rPr>
        <b/>
        <sz val="10"/>
        <rFont val="Arial"/>
        <family val="2"/>
      </rPr>
      <t xml:space="preserve"> </t>
    </r>
  </si>
  <si>
    <t>1.3. Para aquellos costos que tengan como unidad "Según comprobante por mes", los mismos se reembolsarán según su costo real, contra la prestación de facturas y soportes respectivos.</t>
  </si>
  <si>
    <t>CONCURSO DE MERITOS  CMA-DEO-SGI-009-2023</t>
  </si>
  <si>
    <t>MONTO AGOTABLE DE ESPECIALISTAS (conforman esta bolsa los especialistas de amarillo)</t>
  </si>
  <si>
    <t>Especialista en Geologia y/o Geotecnia</t>
  </si>
  <si>
    <t>Especialista en Hidráulica e Hidrología</t>
  </si>
  <si>
    <t>Especialista en Estructuras</t>
  </si>
  <si>
    <t>Especialista ambiental</t>
  </si>
  <si>
    <t>Especialista en Vías y/o Pavimentos</t>
  </si>
  <si>
    <t>Especialista en Diseño Geométrico</t>
  </si>
  <si>
    <t>Vehículo tipo campero ó camioneta de color gris platino ó similar (incluye combustible) y cuyo modelo sea hasta diez (10) años anteriores al año de suscripción del contrato</t>
  </si>
  <si>
    <r>
      <t>Plegables</t>
    </r>
    <r>
      <rPr>
        <sz val="9"/>
        <color rgb="FFFF0000"/>
        <rFont val="Arial"/>
        <family val="2"/>
      </rPr>
      <t xml:space="preserve"> </t>
    </r>
  </si>
  <si>
    <t>1.2. Los viáticos se reconocerán según su utilización real y sin superar los topes fijados en la resolución que el Instituto a tal fecha tenga vigente.  Su utilización será solamente para las reuniones de inducción y de evaluación. Se reconocerán viáticos al ingeniero residente y especialistas previa autorización del Supervisor del Contrato.</t>
  </si>
  <si>
    <t>1.12. La prima regional para el personal establecido, no aplica para el presente presupuesto.</t>
  </si>
  <si>
    <t>3. La incorporación de los especialistas a la ejecución del contrato, así como la correspondiente dedicación de cada uno de los especialistas se definirá de acuerdo con las necesidades del proyecto, previa autorización del respectivo Supervisor de Contrato correspondiente, con fundamento en los sueldos mensuales de los especialistas, sin superar el monto total de la bolsa, calculado previamente por el Instituto, por tal razón se debe diligenciar los salarios de los especialistas.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</si>
</sst>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_);_(* \(#,##0\);_(* &quot;-&quot;_);_(@_)"/>
    <numFmt numFmtId="166" formatCode="_(&quot;$&quot;\ * #,##0.00_);_(&quot;$&quot;\ * \(#,##0.00\);_(&quot;$&quot;\ * &quot;-&quot;??_);_(@_)"/>
    <numFmt numFmtId="167" formatCode="_(* #,##0.00_);_(* \(#,##0.00\);_(* &quot;-&quot;??_);_(@_)"/>
    <numFmt numFmtId="168" formatCode="0.000"/>
    <numFmt numFmtId="169" formatCode="_(* #,##0_);_(* \(#,##0\);_(* &quot;-&quot;??_);_(@_)"/>
    <numFmt numFmtId="170" formatCode="[$$-500A]#,##0.00"/>
    <numFmt numFmtId="171" formatCode="_ &quot;$&quot;\ * #,##0.00_ ;_ &quot;$&quot;\ * \-#,##0.00_ ;_ &quot;$&quot;\ * &quot;-&quot;??_ ;_ @_ "/>
    <numFmt numFmtId="172" formatCode="_ &quot;$&quot;\ * #,##0_ ;_ &quot;$&quot;\ * \-#,##0_ ;_ &quot;$&quot;\ * &quot;-&quot;_ ;_ @_ "/>
    <numFmt numFmtId="173" formatCode="_ * #,##0.00_ ;_ * \-#,##0.00_ ;_ * &quot;-&quot;??_ ;_ @_ "/>
    <numFmt numFmtId="174" formatCode="0.0000"/>
    <numFmt numFmtId="175" formatCode="\$#,##0\ ;\(\$#,##0\)"/>
    <numFmt numFmtId="176" formatCode="_ [$€-2]\ * #,##0.00_ ;_ [$€-2]\ * \-#,##0.00_ ;_ [$€-2]\ * &quot;-&quot;??_ "/>
    <numFmt numFmtId="177" formatCode="_ [$€-2]\ * #.##0.00_ ;_ [$€-2]\ * \-#.##0.00_ ;_ [$€-2]\ * &quot;-&quot;??_ "/>
    <numFmt numFmtId="178" formatCode="000\°00&quot;´&quot;00&quot;´´&quot;"/>
    <numFmt numFmtId="179" formatCode="_(&quot;$&quot;* #,##0_);_(&quot;$&quot;* \(#,##0\);_(&quot;$&quot;* &quot;-&quot;??_);_(@_)"/>
    <numFmt numFmtId="180" formatCode="_-* #,##0.00\ &quot;€&quot;_-;\-* #,##0.00\ &quot;€&quot;_-;_-* &quot;-&quot;??\ &quot;€&quot;_-;_-@_-"/>
    <numFmt numFmtId="181" formatCode="_ &quot;$&quot;* #,##0.00_ ;_ &quot;$&quot;* \-#,##0.00_ ;_ &quot;$&quot;* &quot;-&quot;??_ ;_ @_ "/>
    <numFmt numFmtId="182" formatCode="&quot;$&quot;\ #,##0;&quot;$&quot;\ \-#,##0"/>
    <numFmt numFmtId="183" formatCode="_(&quot;$&quot;* #,##0.00_);_(&quot;$&quot;* \(#,##0.00\);_(&quot;$&quot;* &quot;-&quot;??_);_(@_)"/>
    <numFmt numFmtId="184" formatCode="[$$-500A]\ #,##0.00"/>
    <numFmt numFmtId="185" formatCode="dd/mm/yy;@"/>
    <numFmt numFmtId="186" formatCode="&quot;$&quot;\ #,##0.00"/>
    <numFmt numFmtId="187" formatCode="_-&quot;$&quot;* #,##0.00_-;\-&quot;$&quot;* #,##0.00_-;_-&quot;$&quot;* &quot;-&quot;_-;_-@_-"/>
  </numFmts>
  <fonts count="58" x14ac:knownFonts="1">
    <font>
      <sz val="11"/>
      <color theme="1"/>
      <name val="Calibri"/>
      <family val="2"/>
      <scheme val="minor"/>
    </font>
    <font>
      <sz val="11"/>
      <color theme="1"/>
      <name val="Calibri"/>
      <family val="2"/>
      <scheme val="minor"/>
    </font>
    <font>
      <b/>
      <sz val="14"/>
      <name val="Arial"/>
      <family val="2"/>
    </font>
    <font>
      <b/>
      <sz val="10"/>
      <name val="Arial"/>
      <family val="2"/>
    </font>
    <font>
      <sz val="10"/>
      <name val="Arial"/>
      <family val="2"/>
    </font>
    <font>
      <sz val="10"/>
      <color indexed="8"/>
      <name val="Arial"/>
      <family val="2"/>
    </font>
    <font>
      <b/>
      <sz val="10"/>
      <color rgb="FFFF0000"/>
      <name val="Arial"/>
      <family val="2"/>
    </font>
    <font>
      <b/>
      <sz val="12"/>
      <name val="Arial"/>
      <family val="2"/>
    </font>
    <font>
      <sz val="12"/>
      <name val="Arial"/>
      <family val="2"/>
    </font>
    <font>
      <b/>
      <sz val="9"/>
      <name val="Arial"/>
      <family val="2"/>
    </font>
    <font>
      <b/>
      <sz val="10"/>
      <color indexed="8"/>
      <name val="Arial"/>
      <family val="2"/>
    </font>
    <font>
      <sz val="9"/>
      <name val="Arial"/>
      <family val="2"/>
    </font>
    <font>
      <b/>
      <sz val="10"/>
      <color indexed="12"/>
      <name val="Arial"/>
      <family val="2"/>
    </font>
    <font>
      <b/>
      <sz val="10"/>
      <color indexed="10"/>
      <name val="Arial"/>
      <family val="2"/>
    </font>
    <font>
      <b/>
      <sz val="11"/>
      <name val="Arial"/>
      <family val="2"/>
    </font>
    <font>
      <b/>
      <sz val="8"/>
      <name val="Arial"/>
      <family val="2"/>
    </font>
    <font>
      <b/>
      <sz val="8"/>
      <color rgb="FF0000FF"/>
      <name val="Arial"/>
      <family val="2"/>
    </font>
    <font>
      <b/>
      <sz val="8"/>
      <color indexed="12"/>
      <name val="Arial"/>
      <family val="2"/>
    </font>
    <font>
      <sz val="8"/>
      <name val="Arial"/>
      <family val="2"/>
    </font>
    <font>
      <b/>
      <sz val="9"/>
      <color indexed="8"/>
      <name val="Arial"/>
      <family val="2"/>
    </font>
    <font>
      <sz val="9"/>
      <color indexed="8"/>
      <name val="Arial"/>
      <family val="2"/>
    </font>
    <font>
      <b/>
      <sz val="9"/>
      <color indexed="12"/>
      <name val="Arial"/>
      <family val="2"/>
    </font>
    <font>
      <sz val="8"/>
      <color indexed="8"/>
      <name val="Arial"/>
      <family val="2"/>
    </font>
    <font>
      <b/>
      <sz val="8"/>
      <color indexed="8"/>
      <name val="Arial"/>
      <family val="2"/>
    </font>
    <font>
      <b/>
      <sz val="9"/>
      <color rgb="FFFF0000"/>
      <name val="Arial"/>
      <family val="2"/>
    </font>
    <font>
      <u/>
      <sz val="8"/>
      <name val="Arial"/>
      <family val="2"/>
    </font>
    <font>
      <b/>
      <sz val="12"/>
      <color indexed="10"/>
      <name val="Arial"/>
      <family val="2"/>
    </font>
    <font>
      <sz val="14"/>
      <name val="Arial"/>
      <family val="2"/>
    </font>
    <font>
      <sz val="11"/>
      <name val="Arial"/>
      <family val="2"/>
    </font>
    <font>
      <u/>
      <sz val="6.5"/>
      <color theme="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Arial"/>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5"/>
      <color indexed="56"/>
      <name val="Calibri"/>
      <family val="2"/>
    </font>
    <font>
      <b/>
      <sz val="18"/>
      <color indexed="24"/>
      <name val="Arial"/>
      <family val="2"/>
    </font>
    <font>
      <b/>
      <sz val="13"/>
      <color indexed="56"/>
      <name val="Calibri"/>
      <family val="2"/>
    </font>
    <font>
      <b/>
      <sz val="12"/>
      <color indexed="24"/>
      <name val="Arial"/>
      <family val="2"/>
    </font>
    <font>
      <b/>
      <sz val="11"/>
      <color indexed="56"/>
      <name val="Calibri"/>
      <family val="2"/>
    </font>
    <font>
      <u/>
      <sz val="6"/>
      <color indexed="12"/>
      <name val="Arial"/>
      <family val="2"/>
    </font>
    <font>
      <u/>
      <sz val="10"/>
      <color indexed="12"/>
      <name val="Arial"/>
      <family val="2"/>
    </font>
    <font>
      <sz val="11"/>
      <color indexed="62"/>
      <name val="Calibri"/>
      <family val="2"/>
    </font>
    <font>
      <sz val="11"/>
      <color indexed="52"/>
      <name val="Calibri"/>
      <family val="2"/>
    </font>
    <font>
      <sz val="12"/>
      <color indexed="8"/>
      <name val="Verdana"/>
      <family val="2"/>
    </font>
    <font>
      <sz val="11"/>
      <color indexed="8"/>
      <name val="Century Gothic"/>
      <family val="2"/>
    </font>
    <font>
      <b/>
      <sz val="11"/>
      <color indexed="63"/>
      <name val="Calibri"/>
      <family val="2"/>
    </font>
    <font>
      <b/>
      <sz val="18"/>
      <color indexed="56"/>
      <name val="Cambria"/>
      <family val="2"/>
    </font>
    <font>
      <sz val="11"/>
      <color indexed="10"/>
      <name val="Calibri"/>
      <family val="2"/>
    </font>
    <font>
      <b/>
      <u/>
      <sz val="10"/>
      <name val="Arial"/>
      <family val="2"/>
    </font>
    <font>
      <sz val="10"/>
      <color rgb="FFFF0000"/>
      <name val="Arial"/>
      <family val="2"/>
    </font>
    <font>
      <sz val="9"/>
      <name val="Arial Narrow"/>
      <family val="2"/>
    </font>
    <font>
      <sz val="9"/>
      <color rgb="FFFF0000"/>
      <name val="Arial"/>
      <family val="2"/>
    </font>
  </fonts>
  <fills count="34">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indexed="47"/>
        <bgColor indexed="64"/>
      </patternFill>
    </fill>
    <fill>
      <patternFill patternType="solid">
        <fgColor theme="5" tint="0.79998168889431442"/>
        <bgColor indexed="64"/>
      </patternFill>
    </fill>
    <fill>
      <patternFill patternType="solid">
        <fgColor indexed="45"/>
        <bgColor indexed="64"/>
      </patternFill>
    </fill>
    <fill>
      <patternFill patternType="solid">
        <fgColor rgb="FF00CCFF"/>
        <bgColor indexed="64"/>
      </patternFill>
    </fill>
    <fill>
      <patternFill patternType="solid">
        <fgColor theme="6" tint="0.39997558519241921"/>
        <bgColor indexed="64"/>
      </patternFill>
    </fill>
    <fill>
      <patternFill patternType="solid">
        <fgColor rgb="FF92D05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FF0000"/>
        <bgColor indexed="64"/>
      </patternFill>
    </fill>
  </fills>
  <borders count="118">
    <border>
      <left/>
      <right/>
      <top/>
      <bottom/>
      <diagonal/>
    </border>
    <border>
      <left/>
      <right/>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bottom/>
      <diagonal/>
    </border>
    <border>
      <left style="thin">
        <color indexed="64"/>
      </left>
      <right style="thin">
        <color indexed="64"/>
      </right>
      <top style="dashed">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dashed">
        <color indexed="64"/>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dotted">
        <color indexed="64"/>
      </top>
      <bottom/>
      <diagonal/>
    </border>
    <border>
      <left style="thin">
        <color indexed="64"/>
      </left>
      <right style="thin">
        <color indexed="64"/>
      </right>
      <top style="dotted">
        <color indexed="64"/>
      </top>
      <bottom/>
      <diagonal/>
    </border>
    <border>
      <left/>
      <right/>
      <top style="dotted">
        <color indexed="64"/>
      </top>
      <bottom/>
      <diagonal/>
    </border>
    <border>
      <left style="medium">
        <color indexed="64"/>
      </left>
      <right style="medium">
        <color indexed="64"/>
      </right>
      <top style="dashed">
        <color indexed="64"/>
      </top>
      <bottom style="dotted">
        <color indexed="64"/>
      </bottom>
      <diagonal/>
    </border>
    <border>
      <left/>
      <right style="thin">
        <color indexed="64"/>
      </right>
      <top style="dashed">
        <color indexed="64"/>
      </top>
      <bottom style="dotted">
        <color indexed="64"/>
      </bottom>
      <diagonal/>
    </border>
    <border>
      <left style="thin">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style="dotted">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style="dotted">
        <color indexed="64"/>
      </top>
      <bottom/>
      <diagonal/>
    </border>
    <border>
      <left style="medium">
        <color indexed="64"/>
      </left>
      <right style="medium">
        <color indexed="64"/>
      </right>
      <top style="hair">
        <color indexed="64"/>
      </top>
      <bottom style="thin">
        <color indexed="64"/>
      </bottom>
      <diagonal/>
    </border>
    <border>
      <left/>
      <right/>
      <top style="hair">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98">
    <xf numFmtId="0" fontId="0" fillId="0" borderId="0"/>
    <xf numFmtId="41" fontId="1" fillId="0" borderId="0" applyFont="0" applyFill="0" applyBorder="0" applyAlignment="0" applyProtection="0"/>
    <xf numFmtId="0" fontId="4" fillId="0" borderId="0"/>
    <xf numFmtId="167" fontId="4" fillId="0" borderId="0" applyFont="0" applyFill="0" applyBorder="0" applyAlignment="0" applyProtection="0"/>
    <xf numFmtId="0" fontId="4" fillId="0" borderId="0"/>
    <xf numFmtId="165" fontId="1" fillId="0" borderId="0" applyFont="0" applyFill="0" applyBorder="0" applyAlignment="0" applyProtection="0"/>
    <xf numFmtId="0" fontId="4" fillId="0" borderId="0"/>
    <xf numFmtId="43" fontId="1" fillId="0" borderId="0" applyFont="0" applyFill="0" applyBorder="0" applyAlignment="0" applyProtection="0"/>
    <xf numFmtId="171" fontId="4" fillId="0" borderId="0" applyFont="0" applyFill="0" applyBorder="0" applyAlignment="0" applyProtection="0"/>
    <xf numFmtId="0" fontId="29" fillId="0" borderId="0" applyNumberFormat="0" applyFill="0" applyBorder="0" applyAlignment="0" applyProtection="0">
      <alignment vertical="top"/>
      <protection locked="0"/>
    </xf>
    <xf numFmtId="172" fontId="4" fillId="0" borderId="0" applyFont="0" applyFill="0" applyBorder="0" applyAlignment="0" applyProtection="0"/>
    <xf numFmtId="0" fontId="4" fillId="0" borderId="0"/>
    <xf numFmtId="171" fontId="4" fillId="0" borderId="0" applyFont="0" applyFill="0" applyBorder="0" applyAlignment="0" applyProtection="0"/>
    <xf numFmtId="173" fontId="4" fillId="0" borderId="0" applyFont="0" applyFill="0" applyBorder="0" applyAlignment="0" applyProtection="0"/>
    <xf numFmtId="0" fontId="4" fillId="0" borderId="0"/>
    <xf numFmtId="0" fontId="1" fillId="0" borderId="0"/>
    <xf numFmtId="0" fontId="30" fillId="12" borderId="0" applyNumberFormat="0" applyBorder="0" applyAlignment="0" applyProtection="0"/>
    <xf numFmtId="0" fontId="30" fillId="12"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2" fontId="4" fillId="0" borderId="0"/>
    <xf numFmtId="0" fontId="30" fillId="18" borderId="0" applyNumberFormat="0" applyBorder="0" applyAlignment="0" applyProtection="0"/>
    <xf numFmtId="0" fontId="30" fillId="18"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20" borderId="0" applyNumberFormat="0" applyBorder="0" applyAlignment="0" applyProtection="0"/>
    <xf numFmtId="0" fontId="30" fillId="20"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21" borderId="0" applyNumberFormat="0" applyBorder="0" applyAlignment="0" applyProtection="0"/>
    <xf numFmtId="0" fontId="30" fillId="21" borderId="0" applyNumberFormat="0" applyBorder="0" applyAlignment="0" applyProtection="0"/>
    <xf numFmtId="0" fontId="31" fillId="22"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31" fillId="29" borderId="0" applyNumberFormat="0" applyBorder="0" applyAlignment="0" applyProtection="0"/>
    <xf numFmtId="0" fontId="32" fillId="13" borderId="0" applyNumberFormat="0" applyBorder="0" applyAlignment="0" applyProtection="0"/>
    <xf numFmtId="0" fontId="33" fillId="30" borderId="90" applyNumberFormat="0" applyAlignment="0" applyProtection="0"/>
    <xf numFmtId="0" fontId="33" fillId="30" borderId="90" applyNumberFormat="0" applyAlignment="0" applyProtection="0"/>
    <xf numFmtId="0" fontId="34" fillId="31" borderId="91" applyNumberFormat="0" applyAlignment="0" applyProtection="0"/>
    <xf numFmtId="3" fontId="35" fillId="0" borderId="0" applyFont="0" applyFill="0" applyBorder="0" applyAlignment="0" applyProtection="0"/>
    <xf numFmtId="175" fontId="35" fillId="0" borderId="0" applyFont="0" applyFill="0" applyBorder="0" applyAlignment="0" applyProtection="0"/>
    <xf numFmtId="0" fontId="35" fillId="0" borderId="0" applyFont="0" applyFill="0" applyBorder="0" applyAlignment="0" applyProtection="0"/>
    <xf numFmtId="1" fontId="4" fillId="0" borderId="0"/>
    <xf numFmtId="0" fontId="4" fillId="0" borderId="0" applyFont="0" applyFill="0" applyBorder="0" applyAlignment="0" applyProtection="0"/>
    <xf numFmtId="176" fontId="4" fillId="0" borderId="0" applyFont="0" applyFill="0" applyBorder="0" applyAlignment="0" applyProtection="0"/>
    <xf numFmtId="177" fontId="4" fillId="0" borderId="0" applyFont="0" applyFill="0" applyBorder="0" applyAlignment="0" applyProtection="0"/>
    <xf numFmtId="176" fontId="4" fillId="0" borderId="0" applyFont="0" applyFill="0" applyBorder="0" applyAlignment="0" applyProtection="0"/>
    <xf numFmtId="0" fontId="36" fillId="0" borderId="0" applyNumberFormat="0" applyFill="0" applyBorder="0" applyAlignment="0" applyProtection="0"/>
    <xf numFmtId="4" fontId="37" fillId="0" borderId="0">
      <protection locked="0"/>
    </xf>
    <xf numFmtId="4" fontId="37" fillId="0" borderId="0">
      <protection locked="0"/>
    </xf>
    <xf numFmtId="4" fontId="38" fillId="0" borderId="0">
      <protection locked="0"/>
    </xf>
    <xf numFmtId="4" fontId="37" fillId="0" borderId="0">
      <protection locked="0"/>
    </xf>
    <xf numFmtId="4" fontId="37" fillId="0" borderId="0">
      <protection locked="0"/>
    </xf>
    <xf numFmtId="4" fontId="37" fillId="0" borderId="0">
      <protection locked="0"/>
    </xf>
    <xf numFmtId="4" fontId="38" fillId="0" borderId="0">
      <protection locked="0"/>
    </xf>
    <xf numFmtId="2" fontId="35" fillId="0" borderId="0" applyFont="0" applyFill="0" applyBorder="0" applyAlignment="0" applyProtection="0"/>
    <xf numFmtId="0" fontId="39" fillId="14" borderId="0" applyNumberFormat="0" applyBorder="0" applyAlignment="0" applyProtection="0"/>
    <xf numFmtId="178" fontId="4" fillId="0" borderId="0"/>
    <xf numFmtId="0" fontId="40" fillId="0" borderId="92" applyNumberFormat="0" applyFill="0" applyAlignment="0" applyProtection="0"/>
    <xf numFmtId="0" fontId="41" fillId="0" borderId="0" applyNumberFormat="0" applyFill="0" applyBorder="0" applyAlignment="0" applyProtection="0"/>
    <xf numFmtId="0" fontId="42" fillId="0" borderId="93" applyNumberFormat="0" applyFill="0" applyAlignment="0" applyProtection="0"/>
    <xf numFmtId="0" fontId="43" fillId="0" borderId="0" applyNumberFormat="0" applyFill="0" applyBorder="0" applyAlignment="0" applyProtection="0"/>
    <xf numFmtId="0" fontId="44" fillId="0" borderId="94" applyNumberFormat="0" applyFill="0" applyAlignment="0" applyProtection="0"/>
    <xf numFmtId="0" fontId="44" fillId="0" borderId="0" applyNumberFormat="0" applyFill="0" applyBorder="0" applyAlignment="0" applyProtection="0"/>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7" fillId="17" borderId="90" applyNumberFormat="0" applyAlignment="0" applyProtection="0"/>
    <xf numFmtId="0" fontId="47" fillId="17" borderId="90" applyNumberFormat="0" applyAlignment="0" applyProtection="0"/>
    <xf numFmtId="0" fontId="48" fillId="0" borderId="95" applyNumberFormat="0" applyFill="0" applyAlignment="0" applyProtection="0"/>
    <xf numFmtId="165" fontId="4" fillId="0" borderId="0" applyFont="0" applyFill="0" applyBorder="0" applyAlignment="0" applyProtection="0"/>
    <xf numFmtId="167" fontId="4" fillId="0" borderId="0" applyFont="0" applyFill="0" applyBorder="0" applyAlignment="0" applyProtection="0"/>
    <xf numFmtId="179"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80" fontId="4"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81" fontId="4" fillId="0" borderId="0"/>
    <xf numFmtId="178" fontId="4" fillId="0" borderId="0" applyFont="0" applyFill="0" applyBorder="0" applyAlignment="0" applyProtection="0"/>
    <xf numFmtId="174" fontId="4" fillId="0" borderId="0" applyFont="0" applyFill="0" applyBorder="0" applyAlignment="0" applyProtection="0"/>
    <xf numFmtId="182"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173" fontId="4" fillId="0" borderId="0" applyFont="0" applyFill="0" applyBorder="0" applyAlignment="0" applyProtection="0"/>
    <xf numFmtId="168"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166" fontId="30" fillId="0" borderId="0" applyFont="0" applyFill="0" applyBorder="0" applyAlignment="0" applyProtection="0"/>
    <xf numFmtId="178" fontId="4" fillId="0" borderId="0" applyFont="0" applyFill="0" applyBorder="0" applyAlignment="0" applyProtection="0"/>
    <xf numFmtId="166" fontId="30" fillId="0" borderId="0" applyFont="0" applyFill="0" applyBorder="0" applyAlignment="0" applyProtection="0"/>
    <xf numFmtId="184" fontId="4" fillId="0" borderId="0" applyFont="0" applyFill="0" applyBorder="0" applyAlignment="0" applyProtection="0"/>
    <xf numFmtId="173" fontId="4"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5" fontId="4" fillId="0" borderId="0" applyFont="0" applyFill="0" applyBorder="0" applyAlignment="0" applyProtection="0"/>
    <xf numFmtId="179"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0" fontId="4" fillId="0" borderId="0" applyFont="0" applyFill="0" applyBorder="0" applyAlignment="0" applyProtection="0"/>
    <xf numFmtId="0" fontId="49" fillId="0" borderId="0" applyNumberFormat="0" applyFill="0" applyBorder="0" applyProtection="0">
      <alignment vertical="top"/>
    </xf>
    <xf numFmtId="0" fontId="49" fillId="0" borderId="0" applyNumberFormat="0" applyFill="0" applyBorder="0" applyProtection="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49" fillId="0" borderId="0" applyNumberFormat="0" applyFill="0" applyBorder="0" applyProtection="0">
      <alignment vertical="top"/>
    </xf>
    <xf numFmtId="0" fontId="1" fillId="0" borderId="0"/>
    <xf numFmtId="0" fontId="1" fillId="0" borderId="0"/>
    <xf numFmtId="0" fontId="4" fillId="0" borderId="0"/>
    <xf numFmtId="0" fontId="49" fillId="0" borderId="0" applyNumberFormat="0" applyFill="0" applyBorder="0" applyProtection="0">
      <alignment vertical="top"/>
    </xf>
    <xf numFmtId="0" fontId="4" fillId="0" borderId="0"/>
    <xf numFmtId="0" fontId="50" fillId="0" borderId="0"/>
    <xf numFmtId="0" fontId="1" fillId="0" borderId="0"/>
    <xf numFmtId="0" fontId="1" fillId="0" borderId="0"/>
    <xf numFmtId="0" fontId="49" fillId="0" borderId="0" applyNumberFormat="0" applyFill="0" applyBorder="0" applyProtection="0">
      <alignment vertical="top"/>
    </xf>
    <xf numFmtId="0" fontId="49" fillId="0" borderId="0" applyNumberFormat="0" applyFill="0" applyBorder="0" applyProtection="0">
      <alignment vertical="top"/>
    </xf>
    <xf numFmtId="0" fontId="49" fillId="0" borderId="0" applyNumberFormat="0" applyFill="0" applyBorder="0" applyProtection="0">
      <alignment vertical="top"/>
    </xf>
    <xf numFmtId="0" fontId="4" fillId="0" borderId="0"/>
    <xf numFmtId="0" fontId="30" fillId="0" borderId="0"/>
    <xf numFmtId="0" fontId="30" fillId="0" borderId="0"/>
    <xf numFmtId="0" fontId="4" fillId="0" borderId="0"/>
    <xf numFmtId="0" fontId="4" fillId="0" borderId="0"/>
    <xf numFmtId="0" fontId="4" fillId="0" borderId="0"/>
    <xf numFmtId="0" fontId="4" fillId="0" borderId="0"/>
    <xf numFmtId="0" fontId="8" fillId="0" borderId="0"/>
    <xf numFmtId="0" fontId="4" fillId="0" borderId="0"/>
    <xf numFmtId="0" fontId="1" fillId="0" borderId="0"/>
    <xf numFmtId="0" fontId="1" fillId="0" borderId="0"/>
    <xf numFmtId="0" fontId="30" fillId="32" borderId="96" applyNumberFormat="0" applyFont="0" applyAlignment="0" applyProtection="0"/>
    <xf numFmtId="0" fontId="30" fillId="32" borderId="96" applyNumberFormat="0" applyFont="0" applyAlignment="0" applyProtection="0"/>
    <xf numFmtId="0" fontId="51" fillId="30" borderId="97" applyNumberFormat="0" applyAlignment="0" applyProtection="0"/>
    <xf numFmtId="9" fontId="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2" fillId="0" borderId="0" applyNumberFormat="0" applyFill="0" applyBorder="0" applyAlignment="0" applyProtection="0"/>
    <xf numFmtId="49" fontId="3" fillId="0" borderId="0">
      <alignment horizontal="center" vertical="center"/>
    </xf>
    <xf numFmtId="0" fontId="53" fillId="0" borderId="0" applyNumberFormat="0" applyFill="0" applyBorder="0" applyAlignment="0" applyProtection="0"/>
    <xf numFmtId="167"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2" fontId="4" fillId="0" borderId="0" applyFont="0" applyFill="0" applyBorder="0" applyAlignment="0" applyProtection="0"/>
    <xf numFmtId="0" fontId="49" fillId="0" borderId="0" applyNumberFormat="0" applyFill="0" applyBorder="0" applyProtection="0">
      <alignment vertical="top"/>
    </xf>
  </cellStyleXfs>
  <cellXfs count="402">
    <xf numFmtId="0" fontId="0" fillId="0" borderId="0" xfId="0"/>
    <xf numFmtId="2" fontId="3" fillId="8" borderId="37" xfId="0" applyNumberFormat="1" applyFont="1" applyFill="1" applyBorder="1" applyAlignment="1">
      <alignment horizontal="center" vertical="top"/>
    </xf>
    <xf numFmtId="2" fontId="3" fillId="6" borderId="37" xfId="0" applyNumberFormat="1" applyFont="1" applyFill="1" applyBorder="1" applyAlignment="1">
      <alignment horizontal="center" vertical="top"/>
    </xf>
    <xf numFmtId="2" fontId="3" fillId="4" borderId="37" xfId="0" applyNumberFormat="1" applyFont="1" applyFill="1" applyBorder="1" applyAlignment="1">
      <alignment horizontal="center" vertical="top"/>
    </xf>
    <xf numFmtId="37" fontId="4" fillId="0" borderId="11" xfId="0" applyNumberFormat="1" applyFont="1" applyBorder="1"/>
    <xf numFmtId="37" fontId="4" fillId="0" borderId="0" xfId="0" applyNumberFormat="1" applyFont="1"/>
    <xf numFmtId="37" fontId="4" fillId="0" borderId="49" xfId="0" applyNumberFormat="1" applyFont="1" applyBorder="1"/>
    <xf numFmtId="169" fontId="18" fillId="9" borderId="0" xfId="3" applyNumberFormat="1" applyFont="1" applyFill="1" applyBorder="1" applyAlignment="1">
      <alignment horizontal="center"/>
    </xf>
    <xf numFmtId="167" fontId="18" fillId="9" borderId="0" xfId="3" applyFont="1" applyFill="1" applyBorder="1" applyAlignment="1">
      <alignment horizontal="center"/>
    </xf>
    <xf numFmtId="169" fontId="18" fillId="9" borderId="49" xfId="3" applyNumberFormat="1" applyFont="1" applyFill="1" applyBorder="1" applyAlignment="1">
      <alignment horizontal="center"/>
    </xf>
    <xf numFmtId="169" fontId="4" fillId="2" borderId="52" xfId="3" applyNumberFormat="1" applyFill="1" applyBorder="1"/>
    <xf numFmtId="167" fontId="4" fillId="2" borderId="52" xfId="3" applyFill="1" applyBorder="1"/>
    <xf numFmtId="169" fontId="4" fillId="2" borderId="53" xfId="3" applyNumberFormat="1" applyFill="1" applyBorder="1"/>
    <xf numFmtId="167" fontId="20" fillId="0" borderId="15" xfId="3" applyFont="1" applyBorder="1"/>
    <xf numFmtId="167" fontId="20" fillId="0" borderId="32" xfId="3" applyFont="1" applyBorder="1"/>
    <xf numFmtId="169" fontId="4" fillId="9" borderId="0" xfId="3" applyNumberFormat="1" applyFill="1" applyBorder="1"/>
    <xf numFmtId="167" fontId="4" fillId="9" borderId="0" xfId="3" applyFill="1" applyBorder="1"/>
    <xf numFmtId="169" fontId="4" fillId="9" borderId="49" xfId="3" applyNumberFormat="1" applyFill="1" applyBorder="1"/>
    <xf numFmtId="167" fontId="11" fillId="2" borderId="53" xfId="3" applyFont="1" applyFill="1" applyBorder="1"/>
    <xf numFmtId="167" fontId="20" fillId="0" borderId="42" xfId="3" applyFont="1" applyBorder="1"/>
    <xf numFmtId="167" fontId="20" fillId="0" borderId="64" xfId="3" applyFont="1" applyBorder="1" applyAlignment="1">
      <alignment horizontal="right"/>
    </xf>
    <xf numFmtId="169" fontId="20" fillId="0" borderId="52" xfId="3" applyNumberFormat="1" applyFont="1" applyBorder="1"/>
    <xf numFmtId="167" fontId="20" fillId="0" borderId="52" xfId="3" applyFont="1" applyBorder="1"/>
    <xf numFmtId="169" fontId="20" fillId="0" borderId="53" xfId="3" applyNumberFormat="1" applyFont="1" applyBorder="1" applyAlignment="1">
      <alignment horizontal="right"/>
    </xf>
    <xf numFmtId="169" fontId="20" fillId="0" borderId="18" xfId="3" applyNumberFormat="1" applyFont="1" applyBorder="1" applyAlignment="1">
      <alignment horizontal="center" vertical="center" wrapText="1"/>
    </xf>
    <xf numFmtId="4" fontId="24" fillId="0" borderId="31" xfId="3" applyNumberFormat="1" applyFont="1" applyBorder="1" applyAlignment="1">
      <alignment vertical="center"/>
    </xf>
    <xf numFmtId="167" fontId="24" fillId="0" borderId="41" xfId="3" applyFont="1" applyBorder="1" applyAlignment="1">
      <alignment horizontal="right" vertical="center"/>
    </xf>
    <xf numFmtId="0" fontId="6" fillId="4" borderId="0" xfId="4" applyFont="1" applyFill="1" applyAlignment="1">
      <alignment vertical="center" wrapText="1"/>
    </xf>
    <xf numFmtId="167" fontId="20" fillId="0" borderId="35" xfId="3" applyFont="1" applyBorder="1" applyAlignment="1">
      <alignment horizontal="right" vertical="center"/>
    </xf>
    <xf numFmtId="167" fontId="20" fillId="0" borderId="14" xfId="3" applyFont="1" applyBorder="1" applyAlignment="1">
      <alignment horizontal="right" vertical="center"/>
    </xf>
    <xf numFmtId="167" fontId="20" fillId="0" borderId="14" xfId="3" applyFont="1" applyBorder="1" applyAlignment="1">
      <alignment horizontal="right"/>
    </xf>
    <xf numFmtId="0" fontId="18" fillId="2" borderId="4" xfId="4" applyFont="1" applyFill="1" applyBorder="1" applyAlignment="1">
      <alignment horizontal="center"/>
    </xf>
    <xf numFmtId="0" fontId="18" fillId="2" borderId="47" xfId="4" applyFont="1" applyFill="1" applyBorder="1" applyAlignment="1">
      <alignment horizontal="center"/>
    </xf>
    <xf numFmtId="0" fontId="18" fillId="2" borderId="2" xfId="4" applyFont="1" applyFill="1" applyBorder="1" applyAlignment="1">
      <alignment horizontal="center"/>
    </xf>
    <xf numFmtId="0" fontId="15" fillId="2" borderId="2" xfId="4" applyFont="1" applyFill="1" applyBorder="1" applyAlignment="1">
      <alignment horizontal="center"/>
    </xf>
    <xf numFmtId="167" fontId="15" fillId="2" borderId="2" xfId="4" applyNumberFormat="1" applyFont="1" applyFill="1" applyBorder="1" applyAlignment="1">
      <alignment horizontal="center"/>
    </xf>
    <xf numFmtId="0" fontId="15" fillId="2" borderId="10" xfId="4" applyFont="1" applyFill="1" applyBorder="1" applyAlignment="1">
      <alignment horizontal="center"/>
    </xf>
    <xf numFmtId="0" fontId="15" fillId="2" borderId="45" xfId="4" applyFont="1" applyFill="1" applyBorder="1" applyAlignment="1">
      <alignment horizontal="center"/>
    </xf>
    <xf numFmtId="0" fontId="15" fillId="2" borderId="0" xfId="4" applyFont="1" applyFill="1" applyAlignment="1">
      <alignment horizontal="center"/>
    </xf>
    <xf numFmtId="0" fontId="15" fillId="2" borderId="12" xfId="4" applyFont="1" applyFill="1" applyBorder="1" applyAlignment="1">
      <alignment horizontal="center"/>
    </xf>
    <xf numFmtId="167" fontId="15" fillId="2" borderId="12" xfId="4" applyNumberFormat="1" applyFont="1" applyFill="1" applyBorder="1" applyAlignment="1">
      <alignment horizontal="center"/>
    </xf>
    <xf numFmtId="0" fontId="15" fillId="2" borderId="15" xfId="4" applyFont="1" applyFill="1" applyBorder="1" applyAlignment="1">
      <alignment horizontal="center"/>
    </xf>
    <xf numFmtId="0" fontId="16" fillId="2" borderId="8" xfId="4" quotePrefix="1" applyFont="1" applyFill="1" applyBorder="1" applyAlignment="1">
      <alignment horizontal="center"/>
    </xf>
    <xf numFmtId="0" fontId="18" fillId="2" borderId="1" xfId="4" applyFont="1" applyFill="1" applyBorder="1" applyAlignment="1">
      <alignment horizontal="center"/>
    </xf>
    <xf numFmtId="0" fontId="18" fillId="2" borderId="5" xfId="4" applyFont="1" applyFill="1" applyBorder="1" applyAlignment="1">
      <alignment horizontal="center"/>
    </xf>
    <xf numFmtId="0" fontId="16" fillId="2" borderId="5" xfId="4" quotePrefix="1" applyFont="1" applyFill="1" applyBorder="1" applyAlignment="1">
      <alignment horizontal="center"/>
    </xf>
    <xf numFmtId="0" fontId="15" fillId="2" borderId="5" xfId="4" applyFont="1" applyFill="1" applyBorder="1" applyAlignment="1">
      <alignment horizontal="center"/>
    </xf>
    <xf numFmtId="0" fontId="15" fillId="2" borderId="7" xfId="4" applyFont="1" applyFill="1" applyBorder="1" applyAlignment="1">
      <alignment horizontal="center"/>
    </xf>
    <xf numFmtId="0" fontId="4" fillId="9" borderId="45" xfId="4" applyFill="1" applyBorder="1"/>
    <xf numFmtId="0" fontId="3" fillId="9" borderId="0" xfId="4" applyFont="1" applyFill="1"/>
    <xf numFmtId="0" fontId="4" fillId="9" borderId="0" xfId="4" applyFill="1"/>
    <xf numFmtId="0" fontId="20" fillId="0" borderId="19" xfId="2" applyFont="1" applyBorder="1" applyAlignment="1">
      <alignment vertical="center" wrapText="1"/>
    </xf>
    <xf numFmtId="167" fontId="24" fillId="0" borderId="18" xfId="3" applyFont="1" applyBorder="1" applyAlignment="1">
      <alignment vertical="center" wrapText="1"/>
    </xf>
    <xf numFmtId="0" fontId="19" fillId="2" borderId="69" xfId="4" applyFont="1" applyFill="1" applyBorder="1"/>
    <xf numFmtId="0" fontId="23" fillId="0" borderId="73" xfId="4" applyFont="1" applyBorder="1" applyAlignment="1">
      <alignment horizontal="justify" vertical="center" wrapText="1"/>
    </xf>
    <xf numFmtId="0" fontId="22" fillId="0" borderId="74" xfId="4" applyFont="1" applyBorder="1" applyAlignment="1">
      <alignment horizontal="justify" vertical="center" wrapText="1"/>
    </xf>
    <xf numFmtId="0" fontId="5" fillId="0" borderId="74" xfId="4" applyFont="1" applyBorder="1" applyAlignment="1">
      <alignment horizontal="justify" vertical="center" wrapText="1"/>
    </xf>
    <xf numFmtId="170" fontId="5" fillId="0" borderId="3" xfId="4" applyNumberFormat="1" applyFont="1" applyBorder="1" applyAlignment="1">
      <alignment horizontal="justify" vertical="center" wrapText="1"/>
    </xf>
    <xf numFmtId="0" fontId="4" fillId="0" borderId="0" xfId="2"/>
    <xf numFmtId="0" fontId="4" fillId="2" borderId="0" xfId="4" applyFill="1"/>
    <xf numFmtId="0" fontId="3" fillId="0" borderId="9" xfId="4" applyFont="1" applyBorder="1" applyAlignment="1">
      <alignment horizontal="centerContinuous" vertical="center"/>
    </xf>
    <xf numFmtId="0" fontId="4" fillId="0" borderId="47" xfId="4" applyBorder="1" applyAlignment="1">
      <alignment horizontal="centerContinuous"/>
    </xf>
    <xf numFmtId="0" fontId="4" fillId="0" borderId="48" xfId="4" applyBorder="1" applyAlignment="1">
      <alignment horizontal="centerContinuous"/>
    </xf>
    <xf numFmtId="0" fontId="2" fillId="0" borderId="11" xfId="4" applyFont="1" applyBorder="1" applyAlignment="1">
      <alignment horizontal="centerContinuous" vertical="center"/>
    </xf>
    <xf numFmtId="0" fontId="4" fillId="0" borderId="0" xfId="4" applyAlignment="1">
      <alignment horizontal="centerContinuous"/>
    </xf>
    <xf numFmtId="0" fontId="4" fillId="0" borderId="49" xfId="4" applyBorder="1" applyAlignment="1">
      <alignment horizontal="centerContinuous"/>
    </xf>
    <xf numFmtId="0" fontId="8" fillId="0" borderId="11" xfId="4" applyFont="1" applyBorder="1" applyAlignment="1">
      <alignment horizontal="centerContinuous" vertical="center"/>
    </xf>
    <xf numFmtId="0" fontId="13" fillId="0" borderId="11" xfId="4" applyFont="1" applyBorder="1" applyAlignment="1">
      <alignment horizontal="centerContinuous" vertical="center"/>
    </xf>
    <xf numFmtId="0" fontId="3" fillId="0" borderId="11" xfId="4" applyFont="1" applyBorder="1" applyAlignment="1">
      <alignment vertical="center"/>
    </xf>
    <xf numFmtId="0" fontId="3" fillId="0" borderId="0" xfId="4" applyFont="1" applyAlignment="1">
      <alignment vertical="center"/>
    </xf>
    <xf numFmtId="0" fontId="3" fillId="0" borderId="11" xfId="4" applyFont="1" applyBorder="1" applyAlignment="1">
      <alignment horizontal="center" vertical="center"/>
    </xf>
    <xf numFmtId="0" fontId="3" fillId="0" borderId="0" xfId="4" applyFont="1" applyAlignment="1">
      <alignment horizontal="center" vertical="center"/>
    </xf>
    <xf numFmtId="0" fontId="3" fillId="0" borderId="49" xfId="4" applyFont="1" applyBorder="1" applyAlignment="1">
      <alignment horizontal="center" vertical="center"/>
    </xf>
    <xf numFmtId="0" fontId="7" fillId="0" borderId="11" xfId="4" applyFont="1" applyBorder="1" applyAlignment="1">
      <alignment horizontal="centerContinuous" vertical="center"/>
    </xf>
    <xf numFmtId="0" fontId="4" fillId="2" borderId="0" xfId="4" applyFill="1" applyAlignment="1">
      <alignment horizontal="centerContinuous"/>
    </xf>
    <xf numFmtId="0" fontId="4" fillId="2" borderId="49" xfId="4" applyFill="1" applyBorder="1" applyAlignment="1">
      <alignment horizontal="centerContinuous"/>
    </xf>
    <xf numFmtId="0" fontId="15" fillId="2" borderId="4" xfId="4" applyFont="1" applyFill="1" applyBorder="1" applyAlignment="1">
      <alignment horizontal="center"/>
    </xf>
    <xf numFmtId="0" fontId="15" fillId="2" borderId="29" xfId="4" applyFont="1" applyFill="1" applyBorder="1" applyAlignment="1">
      <alignment horizontal="center"/>
    </xf>
    <xf numFmtId="0" fontId="4" fillId="2" borderId="0" xfId="4" applyFill="1" applyAlignment="1">
      <alignment horizontal="center" vertical="center"/>
    </xf>
    <xf numFmtId="0" fontId="15" fillId="2" borderId="30" xfId="4" applyFont="1" applyFill="1" applyBorder="1" applyAlignment="1">
      <alignment horizontal="center"/>
    </xf>
    <xf numFmtId="0" fontId="15" fillId="2" borderId="6" xfId="4" applyFont="1" applyFill="1" applyBorder="1" applyAlignment="1">
      <alignment horizontal="center"/>
    </xf>
    <xf numFmtId="0" fontId="15" fillId="2" borderId="28" xfId="4" applyFont="1" applyFill="1" applyBorder="1" applyAlignment="1">
      <alignment horizontal="center"/>
    </xf>
    <xf numFmtId="0" fontId="9" fillId="9" borderId="45" xfId="4" applyFont="1" applyFill="1" applyBorder="1"/>
    <xf numFmtId="0" fontId="4" fillId="2" borderId="50" xfId="4" applyFill="1" applyBorder="1"/>
    <xf numFmtId="0" fontId="11" fillId="2" borderId="52" xfId="4" applyFont="1" applyFill="1" applyBorder="1"/>
    <xf numFmtId="0" fontId="5" fillId="2" borderId="77" xfId="4" applyFont="1" applyFill="1" applyBorder="1" applyAlignment="1">
      <alignment horizontal="center"/>
    </xf>
    <xf numFmtId="4" fontId="19" fillId="0" borderId="31" xfId="4" applyNumberFormat="1" applyFont="1" applyBorder="1"/>
    <xf numFmtId="4" fontId="20" fillId="0" borderId="35" xfId="4" applyNumberFormat="1" applyFont="1" applyBorder="1"/>
    <xf numFmtId="2" fontId="20" fillId="0" borderId="78" xfId="4" applyNumberFormat="1" applyFont="1" applyBorder="1"/>
    <xf numFmtId="0" fontId="5" fillId="2" borderId="59" xfId="4" applyFont="1" applyFill="1" applyBorder="1" applyAlignment="1">
      <alignment horizontal="center"/>
    </xf>
    <xf numFmtId="4" fontId="19" fillId="0" borderId="33" xfId="4" applyNumberFormat="1" applyFont="1" applyBorder="1"/>
    <xf numFmtId="4" fontId="20" fillId="0" borderId="25" xfId="4" applyNumberFormat="1" applyFont="1" applyBorder="1"/>
    <xf numFmtId="2" fontId="20" fillId="0" borderId="61" xfId="4" applyNumberFormat="1" applyFont="1" applyBorder="1"/>
    <xf numFmtId="167" fontId="20" fillId="0" borderId="34" xfId="3" applyFont="1" applyBorder="1"/>
    <xf numFmtId="0" fontId="5" fillId="2" borderId="45" xfId="4" applyFont="1" applyFill="1" applyBorder="1" applyAlignment="1">
      <alignment horizontal="right"/>
    </xf>
    <xf numFmtId="0" fontId="20" fillId="2" borderId="54" xfId="4" applyFont="1" applyFill="1" applyBorder="1"/>
    <xf numFmtId="4" fontId="20" fillId="0" borderId="12" xfId="4" applyNumberFormat="1" applyFont="1" applyBorder="1"/>
    <xf numFmtId="2" fontId="20" fillId="0" borderId="0" xfId="4" applyNumberFormat="1" applyFont="1"/>
    <xf numFmtId="0" fontId="5" fillId="2" borderId="57" xfId="4" applyFont="1" applyFill="1" applyBorder="1" applyAlignment="1">
      <alignment horizontal="center"/>
    </xf>
    <xf numFmtId="0" fontId="19" fillId="2" borderId="58" xfId="4" applyFont="1" applyFill="1" applyBorder="1"/>
    <xf numFmtId="4" fontId="20" fillId="0" borderId="18" xfId="4" applyNumberFormat="1" applyFont="1" applyBorder="1"/>
    <xf numFmtId="2" fontId="20" fillId="0" borderId="46" xfId="4" applyNumberFormat="1" applyFont="1" applyBorder="1"/>
    <xf numFmtId="0" fontId="19" fillId="2" borderId="60" xfId="4" applyFont="1" applyFill="1" applyBorder="1"/>
    <xf numFmtId="4" fontId="20" fillId="0" borderId="33" xfId="4" applyNumberFormat="1" applyFont="1" applyBorder="1"/>
    <xf numFmtId="0" fontId="4" fillId="2" borderId="57" xfId="4" applyFill="1" applyBorder="1"/>
    <xf numFmtId="0" fontId="9" fillId="2" borderId="52" xfId="4" applyFont="1" applyFill="1" applyBorder="1"/>
    <xf numFmtId="4" fontId="11" fillId="0" borderId="52" xfId="4" applyNumberFormat="1" applyFont="1" applyBorder="1"/>
    <xf numFmtId="0" fontId="11" fillId="0" borderId="52" xfId="4" applyFont="1" applyBorder="1"/>
    <xf numFmtId="2" fontId="11" fillId="0" borderId="52" xfId="4" applyNumberFormat="1" applyFont="1" applyBorder="1"/>
    <xf numFmtId="167" fontId="11" fillId="0" borderId="17" xfId="3" applyFont="1" applyBorder="1"/>
    <xf numFmtId="0" fontId="4" fillId="2" borderId="45" xfId="4" applyFill="1" applyBorder="1"/>
    <xf numFmtId="0" fontId="9" fillId="2" borderId="46" xfId="4" applyFont="1" applyFill="1" applyBorder="1"/>
    <xf numFmtId="0" fontId="11" fillId="0" borderId="46" xfId="4" applyFont="1" applyBorder="1"/>
    <xf numFmtId="2" fontId="11" fillId="0" borderId="20" xfId="4" applyNumberFormat="1" applyFont="1" applyBorder="1"/>
    <xf numFmtId="0" fontId="4" fillId="2" borderId="8" xfId="4" applyFill="1" applyBorder="1"/>
    <xf numFmtId="0" fontId="3" fillId="2" borderId="22" xfId="4" applyFont="1" applyFill="1" applyBorder="1"/>
    <xf numFmtId="0" fontId="11" fillId="2" borderId="22" xfId="4" applyFont="1" applyFill="1" applyBorder="1"/>
    <xf numFmtId="170" fontId="9" fillId="2" borderId="39" xfId="4" applyNumberFormat="1" applyFont="1" applyFill="1" applyBorder="1"/>
    <xf numFmtId="0" fontId="18" fillId="2" borderId="0" xfId="4" applyFont="1" applyFill="1"/>
    <xf numFmtId="0" fontId="18" fillId="2" borderId="52" xfId="4" applyFont="1" applyFill="1" applyBorder="1" applyAlignment="1">
      <alignment horizontal="center"/>
    </xf>
    <xf numFmtId="4" fontId="11" fillId="2" borderId="52" xfId="4" applyNumberFormat="1" applyFont="1" applyFill="1" applyBorder="1"/>
    <xf numFmtId="2" fontId="11" fillId="2" borderId="52" xfId="4" applyNumberFormat="1" applyFont="1" applyFill="1" applyBorder="1"/>
    <xf numFmtId="0" fontId="5" fillId="2" borderId="62" xfId="4" applyFont="1" applyFill="1" applyBorder="1" applyAlignment="1">
      <alignment horizontal="center"/>
    </xf>
    <xf numFmtId="0" fontId="19" fillId="2" borderId="63" xfId="4" applyFont="1" applyFill="1" applyBorder="1"/>
    <xf numFmtId="0" fontId="20" fillId="0" borderId="42" xfId="4" applyFont="1" applyBorder="1" applyAlignment="1">
      <alignment horizontal="center"/>
    </xf>
    <xf numFmtId="167" fontId="20" fillId="4" borderId="42" xfId="3" applyFont="1" applyFill="1" applyBorder="1"/>
    <xf numFmtId="0" fontId="5" fillId="2" borderId="50" xfId="4" applyFont="1" applyFill="1" applyBorder="1"/>
    <xf numFmtId="0" fontId="22" fillId="2" borderId="52" xfId="4" applyFont="1" applyFill="1" applyBorder="1"/>
    <xf numFmtId="0" fontId="5" fillId="0" borderId="52" xfId="4" applyFont="1" applyBorder="1"/>
    <xf numFmtId="0" fontId="19" fillId="0" borderId="65" xfId="4" applyFont="1" applyBorder="1" applyAlignment="1">
      <alignment wrapText="1"/>
    </xf>
    <xf numFmtId="0" fontId="20" fillId="0" borderId="65" xfId="4" applyFont="1" applyBorder="1" applyAlignment="1">
      <alignment horizontal="center" vertical="center" wrapText="1"/>
    </xf>
    <xf numFmtId="4" fontId="20" fillId="0" borderId="65" xfId="4" applyNumberFormat="1" applyFont="1" applyBorder="1" applyAlignment="1">
      <alignment vertical="center"/>
    </xf>
    <xf numFmtId="167" fontId="20" fillId="0" borderId="64" xfId="3" applyFont="1" applyBorder="1" applyAlignment="1">
      <alignment horizontal="right" vertical="center"/>
    </xf>
    <xf numFmtId="0" fontId="23" fillId="2" borderId="52" xfId="4" applyFont="1" applyFill="1" applyBorder="1"/>
    <xf numFmtId="0" fontId="5" fillId="2" borderId="45" xfId="4" applyFont="1" applyFill="1" applyBorder="1" applyAlignment="1">
      <alignment horizontal="center" vertical="center" wrapText="1"/>
    </xf>
    <xf numFmtId="0" fontId="20" fillId="10" borderId="19" xfId="4" applyFont="1" applyFill="1" applyBorder="1" applyAlignment="1">
      <alignment vertical="center" wrapText="1"/>
    </xf>
    <xf numFmtId="0" fontId="5" fillId="2" borderId="66" xfId="4" applyFont="1" applyFill="1" applyBorder="1" applyAlignment="1">
      <alignment horizontal="center" vertical="center"/>
    </xf>
    <xf numFmtId="0" fontId="20" fillId="2" borderId="24" xfId="4" applyFont="1" applyFill="1" applyBorder="1" applyAlignment="1">
      <alignment vertical="center"/>
    </xf>
    <xf numFmtId="0" fontId="20" fillId="0" borderId="13" xfId="4" applyFont="1" applyBorder="1" applyAlignment="1">
      <alignment horizontal="center" vertical="center" wrapText="1"/>
    </xf>
    <xf numFmtId="2" fontId="20" fillId="0" borderId="24" xfId="4" applyNumberFormat="1" applyFont="1" applyBorder="1" applyAlignment="1">
      <alignment vertical="center"/>
    </xf>
    <xf numFmtId="0" fontId="5" fillId="2" borderId="66" xfId="4" applyFont="1" applyFill="1" applyBorder="1" applyAlignment="1">
      <alignment horizontal="center"/>
    </xf>
    <xf numFmtId="0" fontId="20" fillId="2" borderId="24" xfId="4" applyFont="1" applyFill="1" applyBorder="1" applyAlignment="1">
      <alignment wrapText="1"/>
    </xf>
    <xf numFmtId="0" fontId="22" fillId="0" borderId="13" xfId="4" applyFont="1" applyBorder="1" applyAlignment="1">
      <alignment horizontal="center"/>
    </xf>
    <xf numFmtId="4" fontId="20" fillId="0" borderId="13" xfId="4" applyNumberFormat="1" applyFont="1" applyBorder="1"/>
    <xf numFmtId="167" fontId="20" fillId="0" borderId="41" xfId="3" applyFont="1" applyBorder="1" applyAlignment="1">
      <alignment horizontal="right"/>
    </xf>
    <xf numFmtId="4" fontId="20" fillId="2" borderId="13" xfId="4" applyNumberFormat="1" applyFont="1" applyFill="1" applyBorder="1"/>
    <xf numFmtId="2" fontId="20" fillId="2" borderId="13" xfId="4" applyNumberFormat="1" applyFont="1" applyFill="1" applyBorder="1"/>
    <xf numFmtId="0" fontId="22" fillId="0" borderId="13" xfId="4" applyFont="1" applyBorder="1" applyAlignment="1">
      <alignment horizontal="center" vertical="center" wrapText="1"/>
    </xf>
    <xf numFmtId="4" fontId="20" fillId="0" borderId="13" xfId="4" applyNumberFormat="1" applyFont="1" applyBorder="1" applyAlignment="1">
      <alignment vertical="center"/>
    </xf>
    <xf numFmtId="2" fontId="20" fillId="0" borderId="13" xfId="4" applyNumberFormat="1" applyFont="1" applyBorder="1" applyAlignment="1">
      <alignment vertical="center" wrapText="1"/>
    </xf>
    <xf numFmtId="167" fontId="20" fillId="0" borderId="41" xfId="3" applyFont="1" applyBorder="1" applyAlignment="1">
      <alignment horizontal="right" vertical="center"/>
    </xf>
    <xf numFmtId="2" fontId="20" fillId="0" borderId="13" xfId="4" applyNumberFormat="1" applyFont="1" applyBorder="1"/>
    <xf numFmtId="0" fontId="5" fillId="2" borderId="67" xfId="4" applyFont="1" applyFill="1" applyBorder="1" applyAlignment="1">
      <alignment horizontal="center"/>
    </xf>
    <xf numFmtId="0" fontId="20" fillId="2" borderId="40" xfId="4" applyFont="1" applyFill="1" applyBorder="1" applyAlignment="1">
      <alignment wrapText="1"/>
    </xf>
    <xf numFmtId="0" fontId="22" fillId="0" borderId="25" xfId="4" applyFont="1" applyBorder="1" applyAlignment="1">
      <alignment horizontal="center"/>
    </xf>
    <xf numFmtId="2" fontId="20" fillId="0" borderId="25" xfId="4" applyNumberFormat="1" applyFont="1" applyBorder="1"/>
    <xf numFmtId="0" fontId="5" fillId="2" borderId="68" xfId="4" applyFont="1" applyFill="1" applyBorder="1"/>
    <xf numFmtId="0" fontId="10" fillId="2" borderId="69" xfId="4" applyFont="1" applyFill="1" applyBorder="1"/>
    <xf numFmtId="0" fontId="5" fillId="2" borderId="69" xfId="4" applyFont="1" applyFill="1" applyBorder="1"/>
    <xf numFmtId="170" fontId="9" fillId="2" borderId="37" xfId="4" applyNumberFormat="1" applyFont="1" applyFill="1" applyBorder="1"/>
    <xf numFmtId="0" fontId="5" fillId="2" borderId="4" xfId="4" applyFont="1" applyFill="1" applyBorder="1"/>
    <xf numFmtId="0" fontId="10" fillId="2" borderId="0" xfId="4" applyFont="1" applyFill="1"/>
    <xf numFmtId="0" fontId="5" fillId="2" borderId="0" xfId="4" applyFont="1" applyFill="1"/>
    <xf numFmtId="4" fontId="19" fillId="2" borderId="15" xfId="4" applyNumberFormat="1" applyFont="1" applyFill="1" applyBorder="1" applyAlignment="1">
      <alignment horizontal="right"/>
    </xf>
    <xf numFmtId="0" fontId="4" fillId="9" borderId="55" xfId="4" applyFill="1" applyBorder="1"/>
    <xf numFmtId="0" fontId="20" fillId="0" borderId="19" xfId="4" applyFont="1" applyBorder="1" applyAlignment="1">
      <alignment vertical="center" wrapText="1"/>
    </xf>
    <xf numFmtId="0" fontId="19" fillId="0" borderId="18" xfId="4" applyFont="1" applyBorder="1" applyAlignment="1">
      <alignment vertical="center" wrapText="1"/>
    </xf>
    <xf numFmtId="167" fontId="24" fillId="0" borderId="36" xfId="3" applyFont="1" applyBorder="1" applyAlignment="1">
      <alignment horizontal="right" vertical="center"/>
    </xf>
    <xf numFmtId="0" fontId="20" fillId="0" borderId="71" xfId="4" applyFont="1" applyBorder="1" applyAlignment="1">
      <alignment vertical="center" wrapText="1"/>
    </xf>
    <xf numFmtId="2" fontId="20" fillId="0" borderId="13" xfId="4" applyNumberFormat="1" applyFont="1" applyBorder="1" applyAlignment="1">
      <alignment vertical="center"/>
    </xf>
    <xf numFmtId="0" fontId="5" fillId="0" borderId="67" xfId="4" applyFont="1" applyBorder="1" applyAlignment="1">
      <alignment horizontal="center"/>
    </xf>
    <xf numFmtId="0" fontId="20" fillId="0" borderId="71" xfId="4" applyFont="1" applyBorder="1" applyAlignment="1">
      <alignment wrapText="1"/>
    </xf>
    <xf numFmtId="0" fontId="20" fillId="0" borderId="13" xfId="4" applyFont="1" applyBorder="1" applyAlignment="1">
      <alignment horizontal="center"/>
    </xf>
    <xf numFmtId="0" fontId="20" fillId="0" borderId="72" xfId="4" applyFont="1" applyBorder="1" applyAlignment="1">
      <alignment wrapText="1"/>
    </xf>
    <xf numFmtId="0" fontId="20" fillId="0" borderId="25" xfId="4" applyFont="1" applyBorder="1" applyAlignment="1">
      <alignment horizontal="center"/>
    </xf>
    <xf numFmtId="167" fontId="20" fillId="0" borderId="26" xfId="3" applyFont="1" applyBorder="1" applyAlignment="1">
      <alignment horizontal="right"/>
    </xf>
    <xf numFmtId="0" fontId="20" fillId="0" borderId="0" xfId="4" applyFont="1" applyAlignment="1">
      <alignment horizontal="center"/>
    </xf>
    <xf numFmtId="4" fontId="20" fillId="0" borderId="0" xfId="4" applyNumberFormat="1" applyFont="1"/>
    <xf numFmtId="167" fontId="19" fillId="0" borderId="15" xfId="3" applyFont="1" applyBorder="1" applyAlignment="1">
      <alignment horizontal="right"/>
    </xf>
    <xf numFmtId="0" fontId="5" fillId="0" borderId="4" xfId="4" applyFont="1" applyBorder="1"/>
    <xf numFmtId="0" fontId="10" fillId="0" borderId="47" xfId="4" applyFont="1" applyBorder="1"/>
    <xf numFmtId="0" fontId="5" fillId="0" borderId="47" xfId="4" applyFont="1" applyBorder="1"/>
    <xf numFmtId="170" fontId="9" fillId="2" borderId="27" xfId="4" applyNumberFormat="1" applyFont="1" applyFill="1" applyBorder="1"/>
    <xf numFmtId="0" fontId="5" fillId="0" borderId="45" xfId="4" applyFont="1" applyBorder="1"/>
    <xf numFmtId="0" fontId="10" fillId="0" borderId="52" xfId="4" applyFont="1" applyBorder="1"/>
    <xf numFmtId="170" fontId="9" fillId="2" borderId="17" xfId="4" applyNumberFormat="1" applyFont="1" applyFill="1" applyBorder="1"/>
    <xf numFmtId="0" fontId="5" fillId="0" borderId="8" xfId="4" applyFont="1" applyBorder="1"/>
    <xf numFmtId="0" fontId="10" fillId="0" borderId="1" xfId="4" applyFont="1" applyBorder="1"/>
    <xf numFmtId="0" fontId="5" fillId="0" borderId="1" xfId="4" applyFont="1" applyBorder="1"/>
    <xf numFmtId="170" fontId="9" fillId="11" borderId="37" xfId="4" applyNumberFormat="1" applyFont="1" applyFill="1" applyBorder="1"/>
    <xf numFmtId="170" fontId="4" fillId="2" borderId="0" xfId="4" applyNumberFormat="1" applyFill="1"/>
    <xf numFmtId="4" fontId="4" fillId="2" borderId="0" xfId="4" applyNumberFormat="1" applyFill="1"/>
    <xf numFmtId="0" fontId="3" fillId="0" borderId="11" xfId="4" applyFont="1" applyBorder="1" applyAlignment="1">
      <alignment horizontal="centerContinuous" vertical="center"/>
    </xf>
    <xf numFmtId="0" fontId="4" fillId="0" borderId="0" xfId="4"/>
    <xf numFmtId="0" fontId="5" fillId="2" borderId="62" xfId="4" applyFont="1" applyFill="1" applyBorder="1" applyAlignment="1">
      <alignment horizontal="center" vertical="center" wrapText="1"/>
    </xf>
    <xf numFmtId="2" fontId="20" fillId="0" borderId="65" xfId="4" applyNumberFormat="1" applyFont="1" applyBorder="1" applyAlignment="1">
      <alignment vertical="center" wrapText="1"/>
    </xf>
    <xf numFmtId="0" fontId="5" fillId="0" borderId="57" xfId="4" applyFont="1" applyBorder="1" applyAlignment="1">
      <alignment horizontal="center"/>
    </xf>
    <xf numFmtId="0" fontId="19" fillId="2" borderId="46" xfId="4" applyFont="1" applyFill="1" applyBorder="1"/>
    <xf numFmtId="0" fontId="20" fillId="0" borderId="46" xfId="4" applyFont="1" applyBorder="1" applyAlignment="1">
      <alignment horizontal="center"/>
    </xf>
    <xf numFmtId="4" fontId="20" fillId="0" borderId="46" xfId="4" applyNumberFormat="1" applyFont="1" applyBorder="1"/>
    <xf numFmtId="167" fontId="20" fillId="0" borderId="79" xfId="3" applyFont="1" applyBorder="1" applyAlignment="1">
      <alignment horizontal="right"/>
    </xf>
    <xf numFmtId="4" fontId="20" fillId="0" borderId="25" xfId="4" applyNumberFormat="1" applyFont="1" applyBorder="1" applyAlignment="1">
      <alignment horizontal="right"/>
    </xf>
    <xf numFmtId="0" fontId="5" fillId="0" borderId="57" xfId="4" applyFont="1" applyBorder="1" applyAlignment="1">
      <alignment horizontal="center" vertical="center" wrapText="1"/>
    </xf>
    <xf numFmtId="0" fontId="5" fillId="0" borderId="70" xfId="4" applyFont="1" applyBorder="1" applyAlignment="1">
      <alignment horizontal="center" vertical="center" wrapText="1"/>
    </xf>
    <xf numFmtId="0" fontId="5" fillId="0" borderId="66" xfId="4" applyFont="1" applyBorder="1" applyAlignment="1">
      <alignment horizontal="center"/>
    </xf>
    <xf numFmtId="0" fontId="5" fillId="0" borderId="57" xfId="4" applyFont="1" applyBorder="1"/>
    <xf numFmtId="0" fontId="4" fillId="0" borderId="0" xfId="2" applyAlignment="1">
      <alignment horizontal="center" vertical="center"/>
    </xf>
    <xf numFmtId="0" fontId="7" fillId="0" borderId="0" xfId="2" applyFont="1" applyAlignment="1">
      <alignment horizontal="center" vertical="center"/>
    </xf>
    <xf numFmtId="0" fontId="7" fillId="0" borderId="0" xfId="2" applyFont="1" applyAlignment="1">
      <alignment vertical="center"/>
    </xf>
    <xf numFmtId="0" fontId="4" fillId="0" borderId="55" xfId="2" applyBorder="1" applyAlignment="1">
      <alignment horizontal="center" vertical="center"/>
    </xf>
    <xf numFmtId="0" fontId="4" fillId="0" borderId="50" xfId="2" applyBorder="1" applyAlignment="1">
      <alignment horizontal="center" vertical="center"/>
    </xf>
    <xf numFmtId="0" fontId="3" fillId="0" borderId="68" xfId="2" applyFont="1" applyBorder="1" applyAlignment="1">
      <alignment horizontal="center" vertical="center"/>
    </xf>
    <xf numFmtId="0" fontId="8" fillId="0" borderId="55" xfId="2" applyFont="1" applyBorder="1" applyAlignment="1">
      <alignment horizontal="center" vertical="center"/>
    </xf>
    <xf numFmtId="0" fontId="8" fillId="0" borderId="50" xfId="2" applyFont="1" applyBorder="1" applyAlignment="1">
      <alignment horizontal="center" vertical="center"/>
    </xf>
    <xf numFmtId="0" fontId="3" fillId="0" borderId="11" xfId="2" applyFont="1" applyBorder="1" applyAlignment="1">
      <alignment vertical="center" wrapText="1"/>
    </xf>
    <xf numFmtId="0" fontId="2" fillId="0" borderId="0" xfId="2" applyFont="1" applyAlignment="1">
      <alignment horizontal="center" vertical="center"/>
    </xf>
    <xf numFmtId="0" fontId="2" fillId="0" borderId="0" xfId="2" applyFont="1" applyAlignment="1">
      <alignment horizontal="left" vertical="center"/>
    </xf>
    <xf numFmtId="0" fontId="27" fillId="0" borderId="0" xfId="2" applyFont="1" applyAlignment="1">
      <alignment horizontal="center" vertical="center"/>
    </xf>
    <xf numFmtId="0" fontId="3" fillId="0" borderId="43" xfId="0" applyFont="1" applyBorder="1" applyAlignment="1">
      <alignment horizontal="center" vertical="center"/>
    </xf>
    <xf numFmtId="0" fontId="3" fillId="0" borderId="21" xfId="0" applyFont="1" applyBorder="1" applyAlignment="1">
      <alignment horizontal="center" vertical="center"/>
    </xf>
    <xf numFmtId="0" fontId="3" fillId="0" borderId="39" xfId="0" applyFont="1" applyBorder="1" applyAlignment="1">
      <alignment horizontal="center" vertical="center"/>
    </xf>
    <xf numFmtId="0" fontId="4" fillId="0" borderId="48" xfId="2" applyBorder="1" applyAlignment="1">
      <alignment horizontal="center" vertical="center"/>
    </xf>
    <xf numFmtId="0" fontId="4" fillId="0" borderId="49" xfId="2" applyBorder="1"/>
    <xf numFmtId="41" fontId="4" fillId="0" borderId="49" xfId="1" applyFont="1" applyBorder="1"/>
    <xf numFmtId="41" fontId="4" fillId="0" borderId="21" xfId="1" applyFont="1" applyBorder="1"/>
    <xf numFmtId="41" fontId="4" fillId="0" borderId="43" xfId="1" applyFont="1" applyBorder="1"/>
    <xf numFmtId="41" fontId="4" fillId="7" borderId="44" xfId="1" applyFont="1" applyFill="1" applyBorder="1"/>
    <xf numFmtId="41" fontId="4" fillId="7" borderId="21" xfId="1" applyFont="1" applyFill="1" applyBorder="1"/>
    <xf numFmtId="0" fontId="3" fillId="0" borderId="0" xfId="2" applyFont="1" applyAlignment="1">
      <alignment horizontal="center" vertical="center"/>
    </xf>
    <xf numFmtId="41" fontId="4" fillId="0" borderId="43" xfId="1" applyFont="1" applyBorder="1" applyAlignment="1">
      <alignment vertical="center"/>
    </xf>
    <xf numFmtId="41" fontId="4" fillId="7" borderId="43" xfId="1" applyFont="1" applyFill="1" applyBorder="1" applyAlignment="1">
      <alignment vertical="center"/>
    </xf>
    <xf numFmtId="41" fontId="3" fillId="7" borderId="43" xfId="1" applyFont="1" applyFill="1" applyBorder="1" applyAlignment="1">
      <alignment vertical="center"/>
    </xf>
    <xf numFmtId="43" fontId="4" fillId="2" borderId="0" xfId="7" applyFont="1" applyFill="1"/>
    <xf numFmtId="43" fontId="4" fillId="0" borderId="0" xfId="7" applyFont="1"/>
    <xf numFmtId="0" fontId="5" fillId="4" borderId="77" xfId="2" applyFont="1" applyFill="1" applyBorder="1" applyAlignment="1">
      <alignment horizontal="center" vertical="center"/>
    </xf>
    <xf numFmtId="0" fontId="19" fillId="4" borderId="78" xfId="2" applyFont="1" applyFill="1" applyBorder="1" applyAlignment="1">
      <alignment vertical="center"/>
    </xf>
    <xf numFmtId="4" fontId="20" fillId="4" borderId="31" xfId="2" applyNumberFormat="1" applyFont="1" applyFill="1" applyBorder="1"/>
    <xf numFmtId="2" fontId="11" fillId="4" borderId="78" xfId="2" applyNumberFormat="1" applyFont="1" applyFill="1" applyBorder="1"/>
    <xf numFmtId="167" fontId="20" fillId="4" borderId="36" xfId="3" applyFont="1" applyFill="1" applyBorder="1"/>
    <xf numFmtId="0" fontId="5" fillId="4" borderId="86" xfId="2" applyFont="1" applyFill="1" applyBorder="1" applyAlignment="1">
      <alignment horizontal="center" vertical="center"/>
    </xf>
    <xf numFmtId="0" fontId="20" fillId="4" borderId="87" xfId="2" applyFont="1" applyFill="1" applyBorder="1" applyAlignment="1">
      <alignment vertical="center" wrapText="1"/>
    </xf>
    <xf numFmtId="0" fontId="22" fillId="4" borderId="88" xfId="2" applyFont="1" applyFill="1" applyBorder="1" applyAlignment="1">
      <alignment horizontal="center" vertical="center"/>
    </xf>
    <xf numFmtId="4" fontId="20" fillId="4" borderId="88" xfId="2" applyNumberFormat="1" applyFont="1" applyFill="1" applyBorder="1" applyAlignment="1">
      <alignment horizontal="right" vertical="center"/>
    </xf>
    <xf numFmtId="2" fontId="20" fillId="4" borderId="88" xfId="2" applyNumberFormat="1" applyFont="1" applyFill="1" applyBorder="1" applyAlignment="1">
      <alignment vertical="center"/>
    </xf>
    <xf numFmtId="167" fontId="20" fillId="4" borderId="89" xfId="3" applyFont="1" applyFill="1" applyBorder="1" applyAlignment="1">
      <alignment horizontal="right" vertical="center"/>
    </xf>
    <xf numFmtId="0" fontId="5" fillId="4" borderId="59" xfId="4" applyFont="1" applyFill="1" applyBorder="1" applyAlignment="1">
      <alignment horizontal="center"/>
    </xf>
    <xf numFmtId="167" fontId="4" fillId="2" borderId="0" xfId="4" applyNumberFormat="1" applyFill="1"/>
    <xf numFmtId="2" fontId="4" fillId="2" borderId="0" xfId="4" applyNumberFormat="1" applyFill="1"/>
    <xf numFmtId="0" fontId="5" fillId="4" borderId="98" xfId="4" applyFont="1" applyFill="1" applyBorder="1" applyAlignment="1">
      <alignment horizontal="center"/>
    </xf>
    <xf numFmtId="4" fontId="19" fillId="0" borderId="84" xfId="4" applyNumberFormat="1" applyFont="1" applyBorder="1"/>
    <xf numFmtId="4" fontId="20" fillId="0" borderId="16" xfId="4" applyNumberFormat="1" applyFont="1" applyBorder="1"/>
    <xf numFmtId="2" fontId="20" fillId="0" borderId="85" xfId="4" applyNumberFormat="1" applyFont="1" applyBorder="1"/>
    <xf numFmtId="167" fontId="20" fillId="0" borderId="83" xfId="3" applyFont="1" applyBorder="1"/>
    <xf numFmtId="0" fontId="5" fillId="4" borderId="99" xfId="4" applyFont="1" applyFill="1" applyBorder="1" applyAlignment="1">
      <alignment horizontal="center"/>
    </xf>
    <xf numFmtId="4" fontId="19" fillId="0" borderId="80" xfId="4" applyNumberFormat="1" applyFont="1" applyBorder="1"/>
    <xf numFmtId="4" fontId="20" fillId="0" borderId="80" xfId="4" applyNumberFormat="1" applyFont="1" applyBorder="1"/>
    <xf numFmtId="2" fontId="20" fillId="0" borderId="100" xfId="4" applyNumberFormat="1" applyFont="1" applyBorder="1"/>
    <xf numFmtId="167" fontId="20" fillId="0" borderId="81" xfId="3" applyFont="1" applyBorder="1"/>
    <xf numFmtId="43" fontId="4" fillId="0" borderId="0" xfId="7" applyFont="1" applyFill="1"/>
    <xf numFmtId="170" fontId="4" fillId="0" borderId="0" xfId="4" applyNumberFormat="1"/>
    <xf numFmtId="170" fontId="4" fillId="0" borderId="0" xfId="5" applyNumberFormat="1" applyFont="1" applyFill="1"/>
    <xf numFmtId="0" fontId="55" fillId="2" borderId="0" xfId="4" applyFont="1" applyFill="1"/>
    <xf numFmtId="0" fontId="5" fillId="33" borderId="86" xfId="2" applyFont="1" applyFill="1" applyBorder="1" applyAlignment="1">
      <alignment horizontal="center" vertical="center"/>
    </xf>
    <xf numFmtId="0" fontId="20" fillId="33" borderId="87" xfId="2" applyFont="1" applyFill="1" applyBorder="1" applyAlignment="1">
      <alignment vertical="center" wrapText="1"/>
    </xf>
    <xf numFmtId="0" fontId="22" fillId="33" borderId="88" xfId="2" applyFont="1" applyFill="1" applyBorder="1" applyAlignment="1">
      <alignment horizontal="center" vertical="center"/>
    </xf>
    <xf numFmtId="4" fontId="20" fillId="33" borderId="88" xfId="2" applyNumberFormat="1" applyFont="1" applyFill="1" applyBorder="1" applyAlignment="1">
      <alignment horizontal="right" vertical="center"/>
    </xf>
    <xf numFmtId="2" fontId="20" fillId="33" borderId="88" xfId="2" applyNumberFormat="1" applyFont="1" applyFill="1" applyBorder="1" applyAlignment="1">
      <alignment vertical="center"/>
    </xf>
    <xf numFmtId="167" fontId="20" fillId="33" borderId="89" xfId="3" applyFont="1" applyFill="1" applyBorder="1" applyAlignment="1">
      <alignment horizontal="right" vertical="center"/>
    </xf>
    <xf numFmtId="0" fontId="4" fillId="33" borderId="0" xfId="4" applyFill="1"/>
    <xf numFmtId="43" fontId="4" fillId="33" borderId="0" xfId="7" applyFont="1" applyFill="1"/>
    <xf numFmtId="0" fontId="5" fillId="33" borderId="45" xfId="4" applyFont="1" applyFill="1" applyBorder="1"/>
    <xf numFmtId="0" fontId="10" fillId="33" borderId="0" xfId="4" applyFont="1" applyFill="1"/>
    <xf numFmtId="0" fontId="5" fillId="33" borderId="0" xfId="4" applyFont="1" applyFill="1"/>
    <xf numFmtId="170" fontId="9" fillId="33" borderId="103" xfId="4" applyNumberFormat="1" applyFont="1" applyFill="1" applyBorder="1"/>
    <xf numFmtId="43" fontId="4" fillId="2" borderId="0" xfId="4" applyNumberFormat="1" applyFill="1"/>
    <xf numFmtId="167" fontId="20" fillId="0" borderId="14" xfId="3" applyFont="1" applyFill="1" applyBorder="1" applyAlignment="1">
      <alignment horizontal="right"/>
    </xf>
    <xf numFmtId="0" fontId="4" fillId="11" borderId="0" xfId="4" applyFill="1"/>
    <xf numFmtId="43" fontId="4" fillId="11" borderId="0" xfId="7" applyFont="1" applyFill="1"/>
    <xf numFmtId="10" fontId="4" fillId="0" borderId="0" xfId="193" applyNumberFormat="1" applyFont="1" applyFill="1"/>
    <xf numFmtId="0" fontId="5" fillId="0" borderId="45" xfId="4" applyFont="1" applyBorder="1" applyAlignment="1">
      <alignment horizontal="center" vertical="center" wrapText="1"/>
    </xf>
    <xf numFmtId="0" fontId="5" fillId="0" borderId="66" xfId="4" applyFont="1" applyBorder="1" applyAlignment="1">
      <alignment horizontal="center" vertical="center"/>
    </xf>
    <xf numFmtId="44" fontId="4" fillId="2" borderId="0" xfId="194" applyFont="1" applyFill="1"/>
    <xf numFmtId="44" fontId="4" fillId="0" borderId="0" xfId="194" applyFont="1" applyFill="1"/>
    <xf numFmtId="0" fontId="5" fillId="0" borderId="77" xfId="4" applyFont="1" applyBorder="1" applyAlignment="1">
      <alignment horizontal="center"/>
    </xf>
    <xf numFmtId="0" fontId="5" fillId="0" borderId="98" xfId="4" applyFont="1" applyBorder="1" applyAlignment="1">
      <alignment horizontal="center"/>
    </xf>
    <xf numFmtId="0" fontId="5" fillId="0" borderId="99" xfId="4" applyFont="1" applyBorder="1" applyAlignment="1">
      <alignment horizontal="center"/>
    </xf>
    <xf numFmtId="0" fontId="5" fillId="0" borderId="45" xfId="4" applyFont="1" applyBorder="1" applyAlignment="1">
      <alignment horizontal="right"/>
    </xf>
    <xf numFmtId="0" fontId="5" fillId="0" borderId="77" xfId="2" applyFont="1" applyBorder="1" applyAlignment="1">
      <alignment horizontal="center" vertical="center"/>
    </xf>
    <xf numFmtId="0" fontId="4" fillId="0" borderId="57" xfId="4" applyBorder="1"/>
    <xf numFmtId="0" fontId="9" fillId="0" borderId="52" xfId="4" applyFont="1" applyBorder="1"/>
    <xf numFmtId="167" fontId="11" fillId="0" borderId="17" xfId="3" applyFont="1" applyFill="1" applyBorder="1"/>
    <xf numFmtId="0" fontId="4" fillId="0" borderId="45" xfId="4" applyBorder="1"/>
    <xf numFmtId="0" fontId="9" fillId="0" borderId="46" xfId="4" applyFont="1" applyBorder="1"/>
    <xf numFmtId="0" fontId="4" fillId="0" borderId="8" xfId="4" applyBorder="1"/>
    <xf numFmtId="0" fontId="3" fillId="0" borderId="22" xfId="4" applyFont="1" applyBorder="1"/>
    <xf numFmtId="0" fontId="11" fillId="0" borderId="22" xfId="4" applyFont="1" applyBorder="1"/>
    <xf numFmtId="170" fontId="9" fillId="0" borderId="39" xfId="4" applyNumberFormat="1" applyFont="1" applyBorder="1"/>
    <xf numFmtId="4" fontId="19" fillId="0" borderId="104" xfId="4" applyNumberFormat="1" applyFont="1" applyBorder="1"/>
    <xf numFmtId="4" fontId="20" fillId="0" borderId="105" xfId="4" applyNumberFormat="1" applyFont="1" applyBorder="1"/>
    <xf numFmtId="2" fontId="20" fillId="0" borderId="105" xfId="4" applyNumberFormat="1" applyFont="1" applyBorder="1"/>
    <xf numFmtId="167" fontId="20" fillId="0" borderId="106" xfId="3" applyFont="1" applyFill="1" applyBorder="1"/>
    <xf numFmtId="4" fontId="19" fillId="0" borderId="107" xfId="4" applyNumberFormat="1" applyFont="1" applyBorder="1"/>
    <xf numFmtId="4" fontId="20" fillId="0" borderId="108" xfId="4" applyNumberFormat="1" applyFont="1" applyBorder="1"/>
    <xf numFmtId="2" fontId="20" fillId="0" borderId="108" xfId="4" applyNumberFormat="1" applyFont="1" applyBorder="1"/>
    <xf numFmtId="167" fontId="20" fillId="0" borderId="109" xfId="3" applyFont="1" applyFill="1" applyBorder="1"/>
    <xf numFmtId="0" fontId="20" fillId="0" borderId="107" xfId="4" applyFont="1" applyBorder="1"/>
    <xf numFmtId="0" fontId="19" fillId="0" borderId="107" xfId="2" applyFont="1" applyBorder="1" applyAlignment="1">
      <alignment vertical="center"/>
    </xf>
    <xf numFmtId="4" fontId="20" fillId="0" borderId="108" xfId="2" applyNumberFormat="1" applyFont="1" applyBorder="1"/>
    <xf numFmtId="2" fontId="11" fillId="0" borderId="108" xfId="2" applyNumberFormat="1" applyFont="1" applyBorder="1"/>
    <xf numFmtId="0" fontId="19" fillId="0" borderId="107" xfId="4" applyFont="1" applyBorder="1"/>
    <xf numFmtId="0" fontId="19" fillId="0" borderId="110" xfId="4" applyFont="1" applyBorder="1"/>
    <xf numFmtId="4" fontId="20" fillId="0" borderId="111" xfId="4" applyNumberFormat="1" applyFont="1" applyBorder="1"/>
    <xf numFmtId="2" fontId="20" fillId="0" borderId="111" xfId="4" applyNumberFormat="1" applyFont="1" applyBorder="1"/>
    <xf numFmtId="167" fontId="20" fillId="0" borderId="112" xfId="3" applyFont="1" applyFill="1" applyBorder="1"/>
    <xf numFmtId="43" fontId="4" fillId="0" borderId="0" xfId="4" applyNumberFormat="1"/>
    <xf numFmtId="167" fontId="24" fillId="0" borderId="0" xfId="3" applyFont="1" applyFill="1" applyBorder="1" applyAlignment="1">
      <alignment horizontal="right" vertical="center"/>
    </xf>
    <xf numFmtId="187" fontId="24" fillId="0" borderId="31" xfId="195" applyNumberFormat="1" applyFont="1" applyBorder="1" applyAlignment="1">
      <alignment vertical="center"/>
    </xf>
    <xf numFmtId="187" fontId="24" fillId="0" borderId="18" xfId="195" applyNumberFormat="1" applyFont="1" applyBorder="1" applyAlignment="1">
      <alignment vertical="center" wrapText="1"/>
    </xf>
    <xf numFmtId="0" fontId="10" fillId="0" borderId="73" xfId="4" applyFont="1" applyBorder="1"/>
    <xf numFmtId="0" fontId="5" fillId="0" borderId="74" xfId="4" applyFont="1" applyBorder="1"/>
    <xf numFmtId="0" fontId="5" fillId="0" borderId="113" xfId="4" applyFont="1" applyBorder="1"/>
    <xf numFmtId="0" fontId="6" fillId="4" borderId="82" xfId="4" applyFont="1" applyFill="1" applyBorder="1" applyAlignment="1">
      <alignment vertical="center" wrapText="1"/>
    </xf>
    <xf numFmtId="186" fontId="4" fillId="2" borderId="0" xfId="4" applyNumberFormat="1" applyFill="1"/>
    <xf numFmtId="167" fontId="20" fillId="5" borderId="42" xfId="3" applyFont="1" applyFill="1" applyBorder="1"/>
    <xf numFmtId="0" fontId="5" fillId="4" borderId="11" xfId="4" applyFont="1" applyFill="1" applyBorder="1" applyAlignment="1">
      <alignment horizontal="center"/>
    </xf>
    <xf numFmtId="0" fontId="11" fillId="4" borderId="114" xfId="0" applyFont="1" applyFill="1" applyBorder="1" applyAlignment="1">
      <alignment wrapText="1"/>
    </xf>
    <xf numFmtId="4" fontId="20" fillId="4" borderId="114" xfId="4" applyNumberFormat="1" applyFont="1" applyFill="1" applyBorder="1"/>
    <xf numFmtId="2" fontId="20" fillId="4" borderId="114" xfId="4" applyNumberFormat="1" applyFont="1" applyFill="1" applyBorder="1"/>
    <xf numFmtId="167" fontId="20" fillId="4" borderId="114" xfId="3" applyFont="1" applyFill="1" applyBorder="1"/>
    <xf numFmtId="0" fontId="56" fillId="4" borderId="114" xfId="197" applyFont="1" applyFill="1" applyBorder="1" applyAlignment="1">
      <alignment vertical="center"/>
    </xf>
    <xf numFmtId="170" fontId="4" fillId="2" borderId="0" xfId="7" applyNumberFormat="1" applyFont="1" applyFill="1"/>
    <xf numFmtId="0" fontId="3" fillId="0" borderId="11" xfId="2" applyFont="1" applyBorder="1" applyAlignment="1">
      <alignment horizontal="center" vertical="center" wrapText="1"/>
    </xf>
    <xf numFmtId="0" fontId="3" fillId="0" borderId="0" xfId="2" applyFont="1" applyAlignment="1">
      <alignment horizontal="center" vertical="center" wrapText="1"/>
    </xf>
    <xf numFmtId="0" fontId="3" fillId="0" borderId="49" xfId="2" applyFont="1" applyBorder="1" applyAlignment="1">
      <alignment horizontal="center" vertical="center" wrapText="1"/>
    </xf>
    <xf numFmtId="0" fontId="18" fillId="4" borderId="51" xfId="4" applyFont="1" applyFill="1" applyBorder="1" applyAlignment="1">
      <alignment horizontal="justify" vertical="center" wrapText="1"/>
    </xf>
    <xf numFmtId="0" fontId="18" fillId="4" borderId="52" xfId="4" applyFont="1" applyFill="1" applyBorder="1" applyAlignment="1">
      <alignment horizontal="justify" vertical="center" wrapText="1"/>
    </xf>
    <xf numFmtId="0" fontId="18" fillId="4" borderId="53" xfId="4" applyFont="1" applyFill="1" applyBorder="1" applyAlignment="1">
      <alignment horizontal="justify" vertical="center" wrapText="1"/>
    </xf>
    <xf numFmtId="0" fontId="18" fillId="0" borderId="51" xfId="4" applyFont="1" applyBorder="1" applyAlignment="1">
      <alignment horizontal="justify" vertical="center" wrapText="1"/>
    </xf>
    <xf numFmtId="0" fontId="18" fillId="0" borderId="52" xfId="4" applyFont="1" applyBorder="1" applyAlignment="1">
      <alignment horizontal="justify" vertical="center" wrapText="1"/>
    </xf>
    <xf numFmtId="0" fontId="18" fillId="0" borderId="53" xfId="4" applyFont="1" applyBorder="1" applyAlignment="1">
      <alignment horizontal="justify" vertical="center" wrapText="1"/>
    </xf>
    <xf numFmtId="0" fontId="18" fillId="5" borderId="51" xfId="4" applyFont="1" applyFill="1" applyBorder="1" applyAlignment="1">
      <alignment horizontal="justify" vertical="center" wrapText="1"/>
    </xf>
    <xf numFmtId="0" fontId="18" fillId="5" borderId="52" xfId="4" applyFont="1" applyFill="1" applyBorder="1" applyAlignment="1">
      <alignment horizontal="justify" vertical="center" wrapText="1"/>
    </xf>
    <xf numFmtId="0" fontId="18" fillId="5" borderId="53" xfId="4" applyFont="1" applyFill="1" applyBorder="1" applyAlignment="1">
      <alignment horizontal="justify" vertical="center" wrapText="1"/>
    </xf>
    <xf numFmtId="0" fontId="18" fillId="4" borderId="101" xfId="4" applyFont="1" applyFill="1" applyBorder="1" applyAlignment="1">
      <alignment horizontal="justify" vertical="center" wrapText="1"/>
    </xf>
    <xf numFmtId="0" fontId="18" fillId="4" borderId="54" xfId="4" applyFont="1" applyFill="1" applyBorder="1" applyAlignment="1">
      <alignment horizontal="justify" vertical="center" wrapText="1"/>
    </xf>
    <xf numFmtId="0" fontId="18" fillId="4" borderId="102" xfId="4" applyFont="1" applyFill="1" applyBorder="1" applyAlignment="1">
      <alignment horizontal="justify" vertical="center" wrapText="1"/>
    </xf>
    <xf numFmtId="0" fontId="18" fillId="0" borderId="75" xfId="4" applyFont="1" applyBorder="1" applyAlignment="1">
      <alignment horizontal="justify" vertical="center" wrapText="1"/>
    </xf>
    <xf numFmtId="0" fontId="18" fillId="0" borderId="69" xfId="4" applyFont="1" applyBorder="1" applyAlignment="1">
      <alignment horizontal="justify" vertical="center" wrapText="1"/>
    </xf>
    <xf numFmtId="0" fontId="18" fillId="0" borderId="76" xfId="4" applyFont="1" applyBorder="1" applyAlignment="1">
      <alignment horizontal="justify" vertical="center" wrapText="1"/>
    </xf>
    <xf numFmtId="0" fontId="3" fillId="0" borderId="56" xfId="4" applyFont="1" applyBorder="1" applyAlignment="1">
      <alignment horizontal="center" vertical="center"/>
    </xf>
    <xf numFmtId="0" fontId="3" fillId="0" borderId="23" xfId="4" applyFont="1" applyBorder="1" applyAlignment="1">
      <alignment horizontal="center" vertical="center"/>
    </xf>
    <xf numFmtId="0" fontId="14" fillId="0" borderId="38" xfId="4" applyFont="1" applyBorder="1" applyAlignment="1">
      <alignment horizontal="center"/>
    </xf>
    <xf numFmtId="0" fontId="14" fillId="0" borderId="1" xfId="4" applyFont="1" applyBorder="1" applyAlignment="1">
      <alignment horizontal="center"/>
    </xf>
    <xf numFmtId="0" fontId="14" fillId="0" borderId="7" xfId="4" applyFont="1" applyBorder="1" applyAlignment="1">
      <alignment horizontal="center"/>
    </xf>
    <xf numFmtId="0" fontId="13" fillId="0" borderId="11" xfId="4" applyFont="1" applyBorder="1" applyAlignment="1">
      <alignment horizontal="center" vertical="center"/>
    </xf>
    <xf numFmtId="0" fontId="13" fillId="0" borderId="0" xfId="4" applyFont="1" applyAlignment="1">
      <alignment horizontal="center" vertical="center"/>
    </xf>
    <xf numFmtId="0" fontId="13" fillId="0" borderId="49" xfId="4" applyFont="1" applyBorder="1" applyAlignment="1">
      <alignment horizontal="center" vertical="center"/>
    </xf>
    <xf numFmtId="0" fontId="8" fillId="0" borderId="11" xfId="4" applyFont="1" applyBorder="1" applyAlignment="1">
      <alignment horizontal="center" vertical="center"/>
    </xf>
    <xf numFmtId="0" fontId="8" fillId="0" borderId="0" xfId="4" applyFont="1" applyAlignment="1">
      <alignment horizontal="center" vertical="center"/>
    </xf>
    <xf numFmtId="0" fontId="8" fillId="0" borderId="49" xfId="4" applyFont="1" applyBorder="1" applyAlignment="1">
      <alignment horizontal="center" vertical="center"/>
    </xf>
    <xf numFmtId="0" fontId="18" fillId="0" borderId="51" xfId="4" applyFont="1" applyBorder="1" applyAlignment="1">
      <alignment horizontal="left" vertical="center" wrapText="1"/>
    </xf>
    <xf numFmtId="0" fontId="18" fillId="0" borderId="52" xfId="4" applyFont="1" applyBorder="1" applyAlignment="1">
      <alignment horizontal="left" vertical="center" wrapText="1"/>
    </xf>
    <xf numFmtId="0" fontId="18" fillId="0" borderId="53" xfId="4" applyFont="1" applyBorder="1" applyAlignment="1">
      <alignment horizontal="left" vertical="center" wrapText="1"/>
    </xf>
    <xf numFmtId="0" fontId="18" fillId="0" borderId="51" xfId="4" applyFont="1" applyBorder="1" applyAlignment="1">
      <alignment vertical="center" wrapText="1"/>
    </xf>
    <xf numFmtId="0" fontId="18" fillId="0" borderId="52" xfId="4" applyFont="1" applyBorder="1" applyAlignment="1">
      <alignment vertical="center" wrapText="1"/>
    </xf>
    <xf numFmtId="0" fontId="18" fillId="0" borderId="53" xfId="4" applyFont="1" applyBorder="1" applyAlignment="1">
      <alignment vertical="center" wrapText="1"/>
    </xf>
    <xf numFmtId="0" fontId="0" fillId="0" borderId="52" xfId="0" applyBorder="1" applyAlignment="1">
      <alignment horizontal="justify" vertical="center" wrapText="1"/>
    </xf>
    <xf numFmtId="0" fontId="0" fillId="0" borderId="53" xfId="0" applyBorder="1" applyAlignment="1">
      <alignment horizontal="justify" vertical="center" wrapText="1"/>
    </xf>
    <xf numFmtId="0" fontId="18" fillId="0" borderId="115" xfId="4" applyFont="1" applyBorder="1" applyAlignment="1">
      <alignment horizontal="justify" vertical="center" wrapText="1"/>
    </xf>
    <xf numFmtId="0" fontId="18" fillId="0" borderId="114" xfId="4" applyFont="1" applyBorder="1" applyAlignment="1">
      <alignment horizontal="justify" vertical="center" wrapText="1"/>
    </xf>
    <xf numFmtId="0" fontId="18" fillId="0" borderId="17" xfId="4" applyFont="1" applyBorder="1" applyAlignment="1">
      <alignment horizontal="justify" vertical="center" wrapText="1"/>
    </xf>
    <xf numFmtId="0" fontId="18" fillId="0" borderId="116" xfId="4" applyFont="1" applyBorder="1" applyAlignment="1">
      <alignment horizontal="justify" vertical="center" wrapText="1"/>
    </xf>
    <xf numFmtId="0" fontId="18" fillId="0" borderId="117" xfId="4" applyFont="1" applyBorder="1" applyAlignment="1">
      <alignment horizontal="justify" vertical="center" wrapText="1"/>
    </xf>
    <xf numFmtId="0" fontId="18" fillId="0" borderId="37" xfId="4" applyFont="1" applyBorder="1" applyAlignment="1">
      <alignment horizontal="justify" vertical="center" wrapText="1"/>
    </xf>
    <xf numFmtId="0" fontId="18" fillId="0" borderId="115" xfId="4" applyFont="1" applyBorder="1" applyAlignment="1">
      <alignment horizontal="left" vertical="center" wrapText="1"/>
    </xf>
    <xf numFmtId="0" fontId="18" fillId="0" borderId="114" xfId="4" applyFont="1" applyBorder="1" applyAlignment="1">
      <alignment horizontal="left" vertical="center" wrapText="1"/>
    </xf>
    <xf numFmtId="0" fontId="18" fillId="0" borderId="17" xfId="4" applyFont="1" applyBorder="1" applyAlignment="1">
      <alignment horizontal="left" vertical="center" wrapText="1"/>
    </xf>
    <xf numFmtId="0" fontId="7" fillId="0" borderId="0" xfId="2" applyFont="1" applyAlignment="1">
      <alignment horizontal="center" vertical="center" wrapText="1"/>
    </xf>
    <xf numFmtId="0" fontId="7" fillId="0" borderId="0" xfId="2" applyFont="1" applyAlignment="1">
      <alignment horizontal="center" vertical="center"/>
    </xf>
    <xf numFmtId="0" fontId="3" fillId="0" borderId="9" xfId="0" applyFont="1" applyBorder="1" applyAlignment="1">
      <alignment horizontal="center" vertical="center"/>
    </xf>
    <xf numFmtId="0" fontId="0" fillId="0" borderId="47" xfId="0" applyBorder="1" applyAlignment="1">
      <alignment vertical="center"/>
    </xf>
    <xf numFmtId="0" fontId="0" fillId="0" borderId="48" xfId="0" applyBorder="1" applyAlignment="1">
      <alignment vertical="center"/>
    </xf>
    <xf numFmtId="0" fontId="8" fillId="0" borderId="4" xfId="2" applyFont="1" applyBorder="1" applyAlignment="1">
      <alignment horizontal="center" vertical="center" wrapText="1"/>
    </xf>
    <xf numFmtId="0" fontId="8" fillId="0" borderId="45" xfId="2" applyFont="1" applyBorder="1" applyAlignment="1">
      <alignment horizontal="center" vertical="center" wrapText="1"/>
    </xf>
    <xf numFmtId="0" fontId="8" fillId="0" borderId="8" xfId="2" applyFont="1" applyBorder="1" applyAlignment="1">
      <alignment horizontal="center" vertical="center" wrapText="1"/>
    </xf>
    <xf numFmtId="0" fontId="27" fillId="0" borderId="4" xfId="2" applyFont="1" applyBorder="1" applyAlignment="1">
      <alignment horizontal="center" vertical="center"/>
    </xf>
    <xf numFmtId="0" fontId="27" fillId="0" borderId="45" xfId="2" applyFont="1" applyBorder="1" applyAlignment="1">
      <alignment horizontal="center" vertical="center"/>
    </xf>
    <xf numFmtId="0" fontId="27" fillId="0" borderId="8" xfId="2" applyFont="1" applyBorder="1" applyAlignment="1">
      <alignment horizontal="center" vertical="center"/>
    </xf>
    <xf numFmtId="0" fontId="7" fillId="0" borderId="54" xfId="2" applyFont="1" applyBorder="1" applyAlignment="1">
      <alignment horizontal="center" vertical="center"/>
    </xf>
    <xf numFmtId="14" fontId="7" fillId="0" borderId="54" xfId="2" applyNumberFormat="1" applyFont="1" applyBorder="1" applyAlignment="1">
      <alignment horizontal="center" vertical="center"/>
    </xf>
    <xf numFmtId="0" fontId="3" fillId="3" borderId="82" xfId="2" applyFont="1" applyFill="1" applyBorder="1" applyAlignment="1">
      <alignment horizontal="center" vertical="center" wrapText="1"/>
    </xf>
    <xf numFmtId="0" fontId="3" fillId="3" borderId="4" xfId="2" applyFont="1" applyFill="1" applyBorder="1" applyAlignment="1">
      <alignment horizontal="center" vertical="center" wrapText="1"/>
    </xf>
    <xf numFmtId="0" fontId="3" fillId="3" borderId="8" xfId="2" applyFont="1" applyFill="1" applyBorder="1" applyAlignment="1">
      <alignment horizontal="center" vertical="center" wrapText="1"/>
    </xf>
    <xf numFmtId="0" fontId="3" fillId="0" borderId="75" xfId="2" applyFont="1" applyBorder="1" applyAlignment="1">
      <alignment horizontal="center" vertical="center"/>
    </xf>
    <xf numFmtId="0" fontId="3" fillId="0" borderId="76" xfId="2" applyFont="1" applyBorder="1" applyAlignment="1">
      <alignment horizontal="center" vertical="center"/>
    </xf>
    <xf numFmtId="0" fontId="27" fillId="4" borderId="4" xfId="2" applyFont="1" applyFill="1" applyBorder="1" applyAlignment="1">
      <alignment horizontal="center" vertical="center"/>
    </xf>
    <xf numFmtId="0" fontId="27" fillId="4" borderId="45" xfId="2" applyFont="1" applyFill="1" applyBorder="1" applyAlignment="1">
      <alignment horizontal="center" vertical="center"/>
    </xf>
    <xf numFmtId="0" fontId="27" fillId="4" borderId="8" xfId="2" applyFont="1" applyFill="1" applyBorder="1" applyAlignment="1">
      <alignment horizontal="center" vertical="center"/>
    </xf>
    <xf numFmtId="0" fontId="28" fillId="0" borderId="4" xfId="2" applyFont="1" applyBorder="1" applyAlignment="1">
      <alignment horizontal="center" vertical="center"/>
    </xf>
    <xf numFmtId="0" fontId="28" fillId="0" borderId="45" xfId="2" applyFont="1" applyBorder="1" applyAlignment="1">
      <alignment horizontal="center" vertical="center"/>
    </xf>
    <xf numFmtId="0" fontId="28" fillId="0" borderId="4" xfId="2" applyFont="1" applyBorder="1" applyAlignment="1">
      <alignment horizontal="center" vertical="center" wrapText="1"/>
    </xf>
    <xf numFmtId="0" fontId="28" fillId="0" borderId="45" xfId="2" applyFont="1" applyBorder="1" applyAlignment="1">
      <alignment horizontal="center" vertical="center" wrapText="1"/>
    </xf>
  </cellXfs>
  <cellStyles count="198">
    <cellStyle name="20% - Accent1" xfId="16" xr:uid="{00000000-0005-0000-0000-000000000000}"/>
    <cellStyle name="20% - Accent1 2" xfId="17" xr:uid="{00000000-0005-0000-0000-000001000000}"/>
    <cellStyle name="20% - Accent2" xfId="18" xr:uid="{00000000-0005-0000-0000-000002000000}"/>
    <cellStyle name="20% - Accent2 2" xfId="19" xr:uid="{00000000-0005-0000-0000-000003000000}"/>
    <cellStyle name="20% - Accent3" xfId="20" xr:uid="{00000000-0005-0000-0000-000004000000}"/>
    <cellStyle name="20% - Accent3 2" xfId="21" xr:uid="{00000000-0005-0000-0000-000005000000}"/>
    <cellStyle name="20% - Accent4" xfId="22" xr:uid="{00000000-0005-0000-0000-000006000000}"/>
    <cellStyle name="20% - Accent4 2" xfId="23" xr:uid="{00000000-0005-0000-0000-000007000000}"/>
    <cellStyle name="20% - Accent5" xfId="24" xr:uid="{00000000-0005-0000-0000-000008000000}"/>
    <cellStyle name="20% - Accent5 2" xfId="25" xr:uid="{00000000-0005-0000-0000-000009000000}"/>
    <cellStyle name="20% - Accent6" xfId="26" xr:uid="{00000000-0005-0000-0000-00000A000000}"/>
    <cellStyle name="20% - Accent6 2" xfId="27" xr:uid="{00000000-0005-0000-0000-00000B000000}"/>
    <cellStyle name="2-decimales" xfId="28" xr:uid="{00000000-0005-0000-0000-00000C000000}"/>
    <cellStyle name="40% - Accent1" xfId="29" xr:uid="{00000000-0005-0000-0000-00000D000000}"/>
    <cellStyle name="40% - Accent1 2" xfId="30" xr:uid="{00000000-0005-0000-0000-00000E000000}"/>
    <cellStyle name="40% - Accent2" xfId="31" xr:uid="{00000000-0005-0000-0000-00000F000000}"/>
    <cellStyle name="40% - Accent2 2" xfId="32" xr:uid="{00000000-0005-0000-0000-000010000000}"/>
    <cellStyle name="40% - Accent3" xfId="33" xr:uid="{00000000-0005-0000-0000-000011000000}"/>
    <cellStyle name="40% - Accent3 2" xfId="34" xr:uid="{00000000-0005-0000-0000-000012000000}"/>
    <cellStyle name="40% - Accent4" xfId="35" xr:uid="{00000000-0005-0000-0000-000013000000}"/>
    <cellStyle name="40% - Accent4 2" xfId="36" xr:uid="{00000000-0005-0000-0000-000014000000}"/>
    <cellStyle name="40% - Accent5" xfId="37" xr:uid="{00000000-0005-0000-0000-000015000000}"/>
    <cellStyle name="40% - Accent5 2" xfId="38" xr:uid="{00000000-0005-0000-0000-000016000000}"/>
    <cellStyle name="40% - Accent6" xfId="39" xr:uid="{00000000-0005-0000-0000-000017000000}"/>
    <cellStyle name="40% - Accent6 2" xfId="40" xr:uid="{00000000-0005-0000-0000-000018000000}"/>
    <cellStyle name="60% - Accent1" xfId="41" xr:uid="{00000000-0005-0000-0000-000019000000}"/>
    <cellStyle name="60% - Accent2" xfId="42" xr:uid="{00000000-0005-0000-0000-00001A000000}"/>
    <cellStyle name="60% - Accent3" xfId="43" xr:uid="{00000000-0005-0000-0000-00001B000000}"/>
    <cellStyle name="60% - Accent4" xfId="44" xr:uid="{00000000-0005-0000-0000-00001C000000}"/>
    <cellStyle name="60% - Accent5" xfId="45" xr:uid="{00000000-0005-0000-0000-00001D000000}"/>
    <cellStyle name="60% - Accent6" xfId="46" xr:uid="{00000000-0005-0000-0000-00001E000000}"/>
    <cellStyle name="Accent1" xfId="47" xr:uid="{00000000-0005-0000-0000-00001F000000}"/>
    <cellStyle name="Accent2" xfId="48" xr:uid="{00000000-0005-0000-0000-000020000000}"/>
    <cellStyle name="Accent3" xfId="49" xr:uid="{00000000-0005-0000-0000-000021000000}"/>
    <cellStyle name="Accent4" xfId="50" xr:uid="{00000000-0005-0000-0000-000022000000}"/>
    <cellStyle name="Accent5" xfId="51" xr:uid="{00000000-0005-0000-0000-000023000000}"/>
    <cellStyle name="Accent6" xfId="52" xr:uid="{00000000-0005-0000-0000-000024000000}"/>
    <cellStyle name="Bad" xfId="53" xr:uid="{00000000-0005-0000-0000-000025000000}"/>
    <cellStyle name="Calculation" xfId="54" xr:uid="{00000000-0005-0000-0000-000026000000}"/>
    <cellStyle name="Calculation 2" xfId="55" xr:uid="{00000000-0005-0000-0000-000027000000}"/>
    <cellStyle name="Check Cell" xfId="56" xr:uid="{00000000-0005-0000-0000-000028000000}"/>
    <cellStyle name="Comma0" xfId="57" xr:uid="{00000000-0005-0000-0000-000029000000}"/>
    <cellStyle name="Currency0" xfId="58" xr:uid="{00000000-0005-0000-0000-00002A000000}"/>
    <cellStyle name="Date" xfId="59" xr:uid="{00000000-0005-0000-0000-00002B000000}"/>
    <cellStyle name="ENTERO" xfId="60" xr:uid="{00000000-0005-0000-0000-00002C000000}"/>
    <cellStyle name="Euro" xfId="61" xr:uid="{00000000-0005-0000-0000-00002D000000}"/>
    <cellStyle name="Euro 2" xfId="62" xr:uid="{00000000-0005-0000-0000-00002E000000}"/>
    <cellStyle name="Euro 3" xfId="63" xr:uid="{00000000-0005-0000-0000-00002F000000}"/>
    <cellStyle name="Euro_28+0300-4504" xfId="64" xr:uid="{00000000-0005-0000-0000-000030000000}"/>
    <cellStyle name="Explanatory Text" xfId="65" xr:uid="{00000000-0005-0000-0000-000031000000}"/>
    <cellStyle name="F2" xfId="66" xr:uid="{00000000-0005-0000-0000-000032000000}"/>
    <cellStyle name="F3" xfId="67" xr:uid="{00000000-0005-0000-0000-000033000000}"/>
    <cellStyle name="F4" xfId="68" xr:uid="{00000000-0005-0000-0000-000034000000}"/>
    <cellStyle name="F5" xfId="69" xr:uid="{00000000-0005-0000-0000-000035000000}"/>
    <cellStyle name="F6" xfId="70" xr:uid="{00000000-0005-0000-0000-000036000000}"/>
    <cellStyle name="F7" xfId="71" xr:uid="{00000000-0005-0000-0000-000037000000}"/>
    <cellStyle name="F8" xfId="72" xr:uid="{00000000-0005-0000-0000-000038000000}"/>
    <cellStyle name="Fixed" xfId="73" xr:uid="{00000000-0005-0000-0000-000039000000}"/>
    <cellStyle name="Good" xfId="74" xr:uid="{00000000-0005-0000-0000-00003A000000}"/>
    <cellStyle name="GRADOSMINSEG" xfId="75" xr:uid="{00000000-0005-0000-0000-00003B000000}"/>
    <cellStyle name="Heading 1" xfId="76" xr:uid="{00000000-0005-0000-0000-00003C000000}"/>
    <cellStyle name="Heading 1 2" xfId="77" xr:uid="{00000000-0005-0000-0000-00003D000000}"/>
    <cellStyle name="Heading 2" xfId="78" xr:uid="{00000000-0005-0000-0000-00003E000000}"/>
    <cellStyle name="Heading 2 2" xfId="79" xr:uid="{00000000-0005-0000-0000-00003F000000}"/>
    <cellStyle name="Heading 3" xfId="80" xr:uid="{00000000-0005-0000-0000-000040000000}"/>
    <cellStyle name="Heading 4" xfId="81" xr:uid="{00000000-0005-0000-0000-000041000000}"/>
    <cellStyle name="Hipervínculo 2" xfId="9" xr:uid="{00000000-0005-0000-0000-000042000000}"/>
    <cellStyle name="Hipervínculo 2 2" xfId="82" xr:uid="{00000000-0005-0000-0000-000043000000}"/>
    <cellStyle name="Hipervínculo 2 3" xfId="83" xr:uid="{00000000-0005-0000-0000-000044000000}"/>
    <cellStyle name="Hipervínculo 3" xfId="84" xr:uid="{00000000-0005-0000-0000-000045000000}"/>
    <cellStyle name="Hipervínculo 4" xfId="85" xr:uid="{00000000-0005-0000-0000-000046000000}"/>
    <cellStyle name="Hyperlink_28+0300-4504" xfId="86" xr:uid="{00000000-0005-0000-0000-000047000000}"/>
    <cellStyle name="Input" xfId="87" xr:uid="{00000000-0005-0000-0000-000048000000}"/>
    <cellStyle name="Input 2" xfId="88" xr:uid="{00000000-0005-0000-0000-000049000000}"/>
    <cellStyle name="Linked Cell" xfId="89" xr:uid="{00000000-0005-0000-0000-00004A000000}"/>
    <cellStyle name="Millares" xfId="7" builtinId="3"/>
    <cellStyle name="Millares [0]" xfId="1" builtinId="6"/>
    <cellStyle name="Millares [0] 2" xfId="5" xr:uid="{00000000-0005-0000-0000-00004D000000}"/>
    <cellStyle name="Millares [0] 2 2" xfId="90" xr:uid="{00000000-0005-0000-0000-00004E000000}"/>
    <cellStyle name="Millares [0] 3" xfId="192" xr:uid="{00000000-0005-0000-0000-00004F000000}"/>
    <cellStyle name="Millares 10" xfId="191" xr:uid="{00000000-0005-0000-0000-000050000000}"/>
    <cellStyle name="Millares 2" xfId="3" xr:uid="{00000000-0005-0000-0000-000051000000}"/>
    <cellStyle name="Millares 2 2" xfId="13" xr:uid="{00000000-0005-0000-0000-000052000000}"/>
    <cellStyle name="Millares 2 2 2" xfId="91" xr:uid="{00000000-0005-0000-0000-000053000000}"/>
    <cellStyle name="Millares 2 3" xfId="92" xr:uid="{00000000-0005-0000-0000-000054000000}"/>
    <cellStyle name="Millares 2_001_PO_INTERV_Proy_MOJARRAS_POPAYAN_v01npareja" xfId="93" xr:uid="{00000000-0005-0000-0000-000055000000}"/>
    <cellStyle name="Millares 3" xfId="94" xr:uid="{00000000-0005-0000-0000-000056000000}"/>
    <cellStyle name="Millares 3 2" xfId="95" xr:uid="{00000000-0005-0000-0000-000057000000}"/>
    <cellStyle name="Millares 4" xfId="96" xr:uid="{00000000-0005-0000-0000-000058000000}"/>
    <cellStyle name="Millares 4 2" xfId="97" xr:uid="{00000000-0005-0000-0000-000059000000}"/>
    <cellStyle name="Millares 5" xfId="98" xr:uid="{00000000-0005-0000-0000-00005A000000}"/>
    <cellStyle name="Millares 6" xfId="99" xr:uid="{00000000-0005-0000-0000-00005B000000}"/>
    <cellStyle name="Millares 7" xfId="100" xr:uid="{00000000-0005-0000-0000-00005C000000}"/>
    <cellStyle name="Millares 8" xfId="101" xr:uid="{00000000-0005-0000-0000-00005D000000}"/>
    <cellStyle name="Millares 9" xfId="102" xr:uid="{00000000-0005-0000-0000-00005E000000}"/>
    <cellStyle name="Moneda" xfId="194" builtinId="4"/>
    <cellStyle name="Moneda [0]" xfId="195" builtinId="7"/>
    <cellStyle name="Moneda [0] 2" xfId="10" xr:uid="{00000000-0005-0000-0000-00005F000000}"/>
    <cellStyle name="Moneda [0] 3" xfId="196" xr:uid="{CAD0C557-E43A-5E4D-BA0A-0F2DB2DF47FB}"/>
    <cellStyle name="Moneda [2]" xfId="103" xr:uid="{00000000-0005-0000-0000-000060000000}"/>
    <cellStyle name="Moneda 2" xfId="8" xr:uid="{00000000-0005-0000-0000-000061000000}"/>
    <cellStyle name="Moneda 2 2" xfId="104" xr:uid="{00000000-0005-0000-0000-000062000000}"/>
    <cellStyle name="Moneda 2 2 2" xfId="105" xr:uid="{00000000-0005-0000-0000-000063000000}"/>
    <cellStyle name="Moneda 2 3" xfId="106" xr:uid="{00000000-0005-0000-0000-000064000000}"/>
    <cellStyle name="Moneda 2 4" xfId="107" xr:uid="{00000000-0005-0000-0000-000065000000}"/>
    <cellStyle name="Moneda 2 4 2" xfId="108" xr:uid="{00000000-0005-0000-0000-000066000000}"/>
    <cellStyle name="Moneda 2 5" xfId="109" xr:uid="{00000000-0005-0000-0000-000067000000}"/>
    <cellStyle name="Moneda 2_28+0300-4504" xfId="110" xr:uid="{00000000-0005-0000-0000-000068000000}"/>
    <cellStyle name="Moneda 3" xfId="12" xr:uid="{00000000-0005-0000-0000-000069000000}"/>
    <cellStyle name="Moneda 3 2" xfId="111" xr:uid="{00000000-0005-0000-0000-00006A000000}"/>
    <cellStyle name="Moneda 3 2 2" xfId="112" xr:uid="{00000000-0005-0000-0000-00006B000000}"/>
    <cellStyle name="Moneda 3 3" xfId="113" xr:uid="{00000000-0005-0000-0000-00006C000000}"/>
    <cellStyle name="Moneda 3 3 2" xfId="114" xr:uid="{00000000-0005-0000-0000-00006D000000}"/>
    <cellStyle name="Moneda 3 4" xfId="115" xr:uid="{00000000-0005-0000-0000-00006E000000}"/>
    <cellStyle name="Moneda 3 5" xfId="116" xr:uid="{00000000-0005-0000-0000-00006F000000}"/>
    <cellStyle name="Moneda 3 6" xfId="117" xr:uid="{00000000-0005-0000-0000-000070000000}"/>
    <cellStyle name="Moneda 3_APU-DEFINITIVO AMV G2 THUI" xfId="118" xr:uid="{00000000-0005-0000-0000-000071000000}"/>
    <cellStyle name="Moneda 4" xfId="119" xr:uid="{00000000-0005-0000-0000-000072000000}"/>
    <cellStyle name="Moneda 4 2" xfId="120" xr:uid="{00000000-0005-0000-0000-000073000000}"/>
    <cellStyle name="Moneda 4 2 2" xfId="121" xr:uid="{00000000-0005-0000-0000-000074000000}"/>
    <cellStyle name="Moneda 4 2 2 2" xfId="122" xr:uid="{00000000-0005-0000-0000-000075000000}"/>
    <cellStyle name="Moneda 4 2 3" xfId="123" xr:uid="{00000000-0005-0000-0000-000076000000}"/>
    <cellStyle name="Moneda 4 3" xfId="124" xr:uid="{00000000-0005-0000-0000-000077000000}"/>
    <cellStyle name="Moneda 5" xfId="125" xr:uid="{00000000-0005-0000-0000-000078000000}"/>
    <cellStyle name="Moneda 5 2" xfId="126" xr:uid="{00000000-0005-0000-0000-000079000000}"/>
    <cellStyle name="Moneda 5 2 2" xfId="127" xr:uid="{00000000-0005-0000-0000-00007A000000}"/>
    <cellStyle name="Moneda 6" xfId="128" xr:uid="{00000000-0005-0000-0000-00007B000000}"/>
    <cellStyle name="Normal" xfId="0" builtinId="0"/>
    <cellStyle name="Normal 10" xfId="4" xr:uid="{00000000-0005-0000-0000-00007D000000}"/>
    <cellStyle name="Normal 10 2" xfId="6" xr:uid="{00000000-0005-0000-0000-00007E000000}"/>
    <cellStyle name="Normal 10 3" xfId="129" xr:uid="{00000000-0005-0000-0000-00007F000000}"/>
    <cellStyle name="Normal 11" xfId="130" xr:uid="{00000000-0005-0000-0000-000080000000}"/>
    <cellStyle name="Normal 12" xfId="131" xr:uid="{00000000-0005-0000-0000-000081000000}"/>
    <cellStyle name="Normal 12 2" xfId="132" xr:uid="{00000000-0005-0000-0000-000082000000}"/>
    <cellStyle name="Normal 13" xfId="133" xr:uid="{00000000-0005-0000-0000-000083000000}"/>
    <cellStyle name="Normal 2" xfId="2" xr:uid="{00000000-0005-0000-0000-000084000000}"/>
    <cellStyle name="Normal 2 10" xfId="134" xr:uid="{00000000-0005-0000-0000-000085000000}"/>
    <cellStyle name="Normal 2 2" xfId="135" xr:uid="{00000000-0005-0000-0000-000086000000}"/>
    <cellStyle name="Normal 2 3" xfId="136" xr:uid="{00000000-0005-0000-0000-000087000000}"/>
    <cellStyle name="Normal 2 3 2" xfId="137" xr:uid="{00000000-0005-0000-0000-000088000000}"/>
    <cellStyle name="Normal 2 3_2010 APU GRUPO No. 4 OK" xfId="138" xr:uid="{00000000-0005-0000-0000-000089000000}"/>
    <cellStyle name="Normal 2 4" xfId="139" xr:uid="{00000000-0005-0000-0000-00008A000000}"/>
    <cellStyle name="Normal 2_2010 APU GRUPO No. 4 OK" xfId="140" xr:uid="{00000000-0005-0000-0000-00008B000000}"/>
    <cellStyle name="Normal 3" xfId="11" xr:uid="{00000000-0005-0000-0000-00008C000000}"/>
    <cellStyle name="Normal 3 11 2" xfId="197" xr:uid="{753CC850-9D35-4FA7-A7EF-2E6F894932E7}"/>
    <cellStyle name="Normal 3 2" xfId="141" xr:uid="{00000000-0005-0000-0000-00008D000000}"/>
    <cellStyle name="Normal 3 2 2" xfId="142" xr:uid="{00000000-0005-0000-0000-00008E000000}"/>
    <cellStyle name="Normal 3 2 3" xfId="143" xr:uid="{00000000-0005-0000-0000-00008F000000}"/>
    <cellStyle name="Normal 3 3" xfId="144" xr:uid="{00000000-0005-0000-0000-000090000000}"/>
    <cellStyle name="Normal 3 4" xfId="145" xr:uid="{00000000-0005-0000-0000-000091000000}"/>
    <cellStyle name="Normal 3 4 2" xfId="146" xr:uid="{00000000-0005-0000-0000-000092000000}"/>
    <cellStyle name="Normal 4" xfId="14" xr:uid="{00000000-0005-0000-0000-000093000000}"/>
    <cellStyle name="Normal 4 2" xfId="147" xr:uid="{00000000-0005-0000-0000-000094000000}"/>
    <cellStyle name="Normal 4 3" xfId="148" xr:uid="{00000000-0005-0000-0000-000095000000}"/>
    <cellStyle name="Normal 4_2010 APU GRUPO No. 4 OK" xfId="149" xr:uid="{00000000-0005-0000-0000-000096000000}"/>
    <cellStyle name="Normal 5" xfId="15" xr:uid="{00000000-0005-0000-0000-000097000000}"/>
    <cellStyle name="Normal 5 2" xfId="150" xr:uid="{00000000-0005-0000-0000-000098000000}"/>
    <cellStyle name="Normal 5 3" xfId="151" xr:uid="{00000000-0005-0000-0000-000099000000}"/>
    <cellStyle name="Normal 5 3 2" xfId="152" xr:uid="{00000000-0005-0000-0000-00009A000000}"/>
    <cellStyle name="Normal 5 4" xfId="153" xr:uid="{00000000-0005-0000-0000-00009B000000}"/>
    <cellStyle name="Normal 6" xfId="154" xr:uid="{00000000-0005-0000-0000-00009C000000}"/>
    <cellStyle name="Normal 6 2" xfId="155" xr:uid="{00000000-0005-0000-0000-00009D000000}"/>
    <cellStyle name="Normal 6 2 2" xfId="156" xr:uid="{00000000-0005-0000-0000-00009E000000}"/>
    <cellStyle name="Normal 6 3" xfId="157" xr:uid="{00000000-0005-0000-0000-00009F000000}"/>
    <cellStyle name="Normal 6 3 2" xfId="158" xr:uid="{00000000-0005-0000-0000-0000A0000000}"/>
    <cellStyle name="Normal 6_APU+SE%c3%91AL..(1)" xfId="159" xr:uid="{00000000-0005-0000-0000-0000A1000000}"/>
    <cellStyle name="Normal 7" xfId="160" xr:uid="{00000000-0005-0000-0000-0000A2000000}"/>
    <cellStyle name="Normal 7 2" xfId="161" xr:uid="{00000000-0005-0000-0000-0000A3000000}"/>
    <cellStyle name="Normal 7 2 2" xfId="162" xr:uid="{00000000-0005-0000-0000-0000A4000000}"/>
    <cellStyle name="Normal 7 3" xfId="163" xr:uid="{00000000-0005-0000-0000-0000A5000000}"/>
    <cellStyle name="Normal 8" xfId="164" xr:uid="{00000000-0005-0000-0000-0000A6000000}"/>
    <cellStyle name="Normal 9" xfId="165" xr:uid="{00000000-0005-0000-0000-0000A7000000}"/>
    <cellStyle name="Normal 9 2" xfId="166" xr:uid="{00000000-0005-0000-0000-0000A8000000}"/>
    <cellStyle name="Note" xfId="167" xr:uid="{00000000-0005-0000-0000-0000A9000000}"/>
    <cellStyle name="Note 2" xfId="168" xr:uid="{00000000-0005-0000-0000-0000AA000000}"/>
    <cellStyle name="Output" xfId="169" xr:uid="{00000000-0005-0000-0000-0000AB000000}"/>
    <cellStyle name="Porcentaje" xfId="193" builtinId="5"/>
    <cellStyle name="Porcentaje 2" xfId="170" xr:uid="{00000000-0005-0000-0000-0000AC000000}"/>
    <cellStyle name="Porcentaje 2 2" xfId="171" xr:uid="{00000000-0005-0000-0000-0000AD000000}"/>
    <cellStyle name="Porcentaje 2 2 2" xfId="172" xr:uid="{00000000-0005-0000-0000-0000AE000000}"/>
    <cellStyle name="Porcentaje 2 3" xfId="173" xr:uid="{00000000-0005-0000-0000-0000AF000000}"/>
    <cellStyle name="Porcentaje 2 3 2" xfId="174" xr:uid="{00000000-0005-0000-0000-0000B0000000}"/>
    <cellStyle name="Porcentual 2" xfId="175" xr:uid="{00000000-0005-0000-0000-0000B1000000}"/>
    <cellStyle name="Porcentual 2 2" xfId="176" xr:uid="{00000000-0005-0000-0000-0000B2000000}"/>
    <cellStyle name="Porcentual 2 3" xfId="177" xr:uid="{00000000-0005-0000-0000-0000B3000000}"/>
    <cellStyle name="Porcentual 2 3 2" xfId="178" xr:uid="{00000000-0005-0000-0000-0000B4000000}"/>
    <cellStyle name="Porcentual 2 4" xfId="179" xr:uid="{00000000-0005-0000-0000-0000B5000000}"/>
    <cellStyle name="Porcentual 3" xfId="180" xr:uid="{00000000-0005-0000-0000-0000B6000000}"/>
    <cellStyle name="Porcentual 3 2" xfId="181" xr:uid="{00000000-0005-0000-0000-0000B7000000}"/>
    <cellStyle name="Porcentual 3 3" xfId="182" xr:uid="{00000000-0005-0000-0000-0000B8000000}"/>
    <cellStyle name="Porcentual 4" xfId="183" xr:uid="{00000000-0005-0000-0000-0000B9000000}"/>
    <cellStyle name="Porcentual 4 2" xfId="184" xr:uid="{00000000-0005-0000-0000-0000BA000000}"/>
    <cellStyle name="Porcentual 5" xfId="185" xr:uid="{00000000-0005-0000-0000-0000BB000000}"/>
    <cellStyle name="Porcentual 6" xfId="186" xr:uid="{00000000-0005-0000-0000-0000BC000000}"/>
    <cellStyle name="Porcentual 7" xfId="187" xr:uid="{00000000-0005-0000-0000-0000BD000000}"/>
    <cellStyle name="Title" xfId="188" xr:uid="{00000000-0005-0000-0000-0000BE000000}"/>
    <cellStyle name="TITULO" xfId="189" xr:uid="{00000000-0005-0000-0000-0000BF000000}"/>
    <cellStyle name="Warning Text" xfId="190" xr:uid="{00000000-0005-0000-0000-0000C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0</xdr:row>
          <xdr:rowOff>85725</xdr:rowOff>
        </xdr:from>
        <xdr:to>
          <xdr:col>0</xdr:col>
          <xdr:colOff>904875</xdr:colOff>
          <xdr:row>5</xdr:row>
          <xdr:rowOff>76200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200-000001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291"/>
  <sheetViews>
    <sheetView topLeftCell="B53" zoomScale="90" zoomScaleNormal="90" zoomScaleSheetLayoutView="115" workbookViewId="0">
      <selection activeCell="H12" sqref="H12"/>
    </sheetView>
  </sheetViews>
  <sheetFormatPr baseColWidth="10" defaultRowHeight="12.75" x14ac:dyDescent="0.2"/>
  <cols>
    <col min="1" max="1" width="7" style="193" customWidth="1"/>
    <col min="2" max="2" width="35.7109375" style="59" customWidth="1"/>
    <col min="3" max="3" width="16.42578125" style="59" customWidth="1"/>
    <col min="4" max="4" width="14.7109375" style="59" bestFit="1" customWidth="1"/>
    <col min="5" max="5" width="14.7109375" style="59" customWidth="1"/>
    <col min="6" max="6" width="18.28515625" style="59" bestFit="1" customWidth="1"/>
    <col min="7" max="7" width="16.42578125" style="193" bestFit="1" customWidth="1"/>
    <col min="8" max="8" width="16.42578125" style="233" bestFit="1" customWidth="1"/>
    <col min="9" max="9" width="14.85546875" style="193" bestFit="1" customWidth="1"/>
    <col min="10" max="10" width="9.28515625" style="193" customWidth="1"/>
    <col min="11" max="11" width="33.140625" style="193" customWidth="1"/>
    <col min="12" max="12" width="14.140625" style="193" bestFit="1" customWidth="1"/>
    <col min="13" max="13" width="20.7109375" style="193" customWidth="1"/>
    <col min="14" max="14" width="18.140625" style="193" bestFit="1" customWidth="1"/>
    <col min="15" max="15" width="16" style="193" customWidth="1"/>
    <col min="16" max="16" width="14.7109375" style="193" bestFit="1" customWidth="1"/>
    <col min="17" max="17" width="14.85546875" style="193" bestFit="1" customWidth="1"/>
    <col min="18" max="245" width="11.42578125" style="193"/>
    <col min="246" max="246" width="7" style="193" customWidth="1"/>
    <col min="247" max="247" width="35.7109375" style="193" customWidth="1"/>
    <col min="248" max="248" width="16.42578125" style="193" customWidth="1"/>
    <col min="249" max="249" width="12.85546875" style="193" customWidth="1"/>
    <col min="250" max="250" width="14.7109375" style="193" customWidth="1"/>
    <col min="251" max="251" width="16.85546875" style="193" customWidth="1"/>
    <col min="252" max="252" width="15.140625" style="193" bestFit="1" customWidth="1"/>
    <col min="253" max="254" width="11.42578125" style="193"/>
    <col min="255" max="255" width="6.7109375" style="193" bestFit="1" customWidth="1"/>
    <col min="256" max="256" width="36.42578125" style="193" customWidth="1"/>
    <col min="257" max="257" width="16.42578125" style="193" bestFit="1" customWidth="1"/>
    <col min="258" max="258" width="12.42578125" style="193" bestFit="1" customWidth="1"/>
    <col min="259" max="259" width="13" style="193" bestFit="1" customWidth="1"/>
    <col min="260" max="260" width="15.85546875" style="193" bestFit="1" customWidth="1"/>
    <col min="261" max="261" width="15.140625" style="193" bestFit="1" customWidth="1"/>
    <col min="262" max="501" width="11.42578125" style="193"/>
    <col min="502" max="502" width="7" style="193" customWidth="1"/>
    <col min="503" max="503" width="35.7109375" style="193" customWidth="1"/>
    <col min="504" max="504" width="16.42578125" style="193" customWidth="1"/>
    <col min="505" max="505" width="12.85546875" style="193" customWidth="1"/>
    <col min="506" max="506" width="14.7109375" style="193" customWidth="1"/>
    <col min="507" max="507" width="16.85546875" style="193" customWidth="1"/>
    <col min="508" max="508" width="15.140625" style="193" bestFit="1" customWidth="1"/>
    <col min="509" max="510" width="11.42578125" style="193"/>
    <col min="511" max="511" width="6.7109375" style="193" bestFit="1" customWidth="1"/>
    <col min="512" max="512" width="36.42578125" style="193" customWidth="1"/>
    <col min="513" max="513" width="16.42578125" style="193" bestFit="1" customWidth="1"/>
    <col min="514" max="514" width="12.42578125" style="193" bestFit="1" customWidth="1"/>
    <col min="515" max="515" width="13" style="193" bestFit="1" customWidth="1"/>
    <col min="516" max="516" width="15.85546875" style="193" bestFit="1" customWidth="1"/>
    <col min="517" max="517" width="15.140625" style="193" bestFit="1" customWidth="1"/>
    <col min="518" max="757" width="11.42578125" style="193"/>
    <col min="758" max="758" width="7" style="193" customWidth="1"/>
    <col min="759" max="759" width="35.7109375" style="193" customWidth="1"/>
    <col min="760" max="760" width="16.42578125" style="193" customWidth="1"/>
    <col min="761" max="761" width="12.85546875" style="193" customWidth="1"/>
    <col min="762" max="762" width="14.7109375" style="193" customWidth="1"/>
    <col min="763" max="763" width="16.85546875" style="193" customWidth="1"/>
    <col min="764" max="764" width="15.140625" style="193" bestFit="1" customWidth="1"/>
    <col min="765" max="766" width="11.42578125" style="193"/>
    <col min="767" max="767" width="6.7109375" style="193" bestFit="1" customWidth="1"/>
    <col min="768" max="768" width="36.42578125" style="193" customWidth="1"/>
    <col min="769" max="769" width="16.42578125" style="193" bestFit="1" customWidth="1"/>
    <col min="770" max="770" width="12.42578125" style="193" bestFit="1" customWidth="1"/>
    <col min="771" max="771" width="13" style="193" bestFit="1" customWidth="1"/>
    <col min="772" max="772" width="15.85546875" style="193" bestFit="1" customWidth="1"/>
    <col min="773" max="773" width="15.140625" style="193" bestFit="1" customWidth="1"/>
    <col min="774" max="1013" width="11.42578125" style="193"/>
    <col min="1014" max="1014" width="7" style="193" customWidth="1"/>
    <col min="1015" max="1015" width="35.7109375" style="193" customWidth="1"/>
    <col min="1016" max="1016" width="16.42578125" style="193" customWidth="1"/>
    <col min="1017" max="1017" width="12.85546875" style="193" customWidth="1"/>
    <col min="1018" max="1018" width="14.7109375" style="193" customWidth="1"/>
    <col min="1019" max="1019" width="16.85546875" style="193" customWidth="1"/>
    <col min="1020" max="1020" width="15.140625" style="193" bestFit="1" customWidth="1"/>
    <col min="1021" max="1022" width="11.42578125" style="193"/>
    <col min="1023" max="1023" width="6.7109375" style="193" bestFit="1" customWidth="1"/>
    <col min="1024" max="1024" width="36.42578125" style="193" customWidth="1"/>
    <col min="1025" max="1025" width="16.42578125" style="193" bestFit="1" customWidth="1"/>
    <col min="1026" max="1026" width="12.42578125" style="193" bestFit="1" customWidth="1"/>
    <col min="1027" max="1027" width="13" style="193" bestFit="1" customWidth="1"/>
    <col min="1028" max="1028" width="15.85546875" style="193" bestFit="1" customWidth="1"/>
    <col min="1029" max="1029" width="15.140625" style="193" bestFit="1" customWidth="1"/>
    <col min="1030" max="1269" width="11.42578125" style="193"/>
    <col min="1270" max="1270" width="7" style="193" customWidth="1"/>
    <col min="1271" max="1271" width="35.7109375" style="193" customWidth="1"/>
    <col min="1272" max="1272" width="16.42578125" style="193" customWidth="1"/>
    <col min="1273" max="1273" width="12.85546875" style="193" customWidth="1"/>
    <col min="1274" max="1274" width="14.7109375" style="193" customWidth="1"/>
    <col min="1275" max="1275" width="16.85546875" style="193" customWidth="1"/>
    <col min="1276" max="1276" width="15.140625" style="193" bestFit="1" customWidth="1"/>
    <col min="1277" max="1278" width="11.42578125" style="193"/>
    <col min="1279" max="1279" width="6.7109375" style="193" bestFit="1" customWidth="1"/>
    <col min="1280" max="1280" width="36.42578125" style="193" customWidth="1"/>
    <col min="1281" max="1281" width="16.42578125" style="193" bestFit="1" customWidth="1"/>
    <col min="1282" max="1282" width="12.42578125" style="193" bestFit="1" customWidth="1"/>
    <col min="1283" max="1283" width="13" style="193" bestFit="1" customWidth="1"/>
    <col min="1284" max="1284" width="15.85546875" style="193" bestFit="1" customWidth="1"/>
    <col min="1285" max="1285" width="15.140625" style="193" bestFit="1" customWidth="1"/>
    <col min="1286" max="1525" width="11.42578125" style="193"/>
    <col min="1526" max="1526" width="7" style="193" customWidth="1"/>
    <col min="1527" max="1527" width="35.7109375" style="193" customWidth="1"/>
    <col min="1528" max="1528" width="16.42578125" style="193" customWidth="1"/>
    <col min="1529" max="1529" width="12.85546875" style="193" customWidth="1"/>
    <col min="1530" max="1530" width="14.7109375" style="193" customWidth="1"/>
    <col min="1531" max="1531" width="16.85546875" style="193" customWidth="1"/>
    <col min="1532" max="1532" width="15.140625" style="193" bestFit="1" customWidth="1"/>
    <col min="1533" max="1534" width="11.42578125" style="193"/>
    <col min="1535" max="1535" width="6.7109375" style="193" bestFit="1" customWidth="1"/>
    <col min="1536" max="1536" width="36.42578125" style="193" customWidth="1"/>
    <col min="1537" max="1537" width="16.42578125" style="193" bestFit="1" customWidth="1"/>
    <col min="1538" max="1538" width="12.42578125" style="193" bestFit="1" customWidth="1"/>
    <col min="1539" max="1539" width="13" style="193" bestFit="1" customWidth="1"/>
    <col min="1540" max="1540" width="15.85546875" style="193" bestFit="1" customWidth="1"/>
    <col min="1541" max="1541" width="15.140625" style="193" bestFit="1" customWidth="1"/>
    <col min="1542" max="1781" width="11.42578125" style="193"/>
    <col min="1782" max="1782" width="7" style="193" customWidth="1"/>
    <col min="1783" max="1783" width="35.7109375" style="193" customWidth="1"/>
    <col min="1784" max="1784" width="16.42578125" style="193" customWidth="1"/>
    <col min="1785" max="1785" width="12.85546875" style="193" customWidth="1"/>
    <col min="1786" max="1786" width="14.7109375" style="193" customWidth="1"/>
    <col min="1787" max="1787" width="16.85546875" style="193" customWidth="1"/>
    <col min="1788" max="1788" width="15.140625" style="193" bestFit="1" customWidth="1"/>
    <col min="1789" max="1790" width="11.42578125" style="193"/>
    <col min="1791" max="1791" width="6.7109375" style="193" bestFit="1" customWidth="1"/>
    <col min="1792" max="1792" width="36.42578125" style="193" customWidth="1"/>
    <col min="1793" max="1793" width="16.42578125" style="193" bestFit="1" customWidth="1"/>
    <col min="1794" max="1794" width="12.42578125" style="193" bestFit="1" customWidth="1"/>
    <col min="1795" max="1795" width="13" style="193" bestFit="1" customWidth="1"/>
    <col min="1796" max="1796" width="15.85546875" style="193" bestFit="1" customWidth="1"/>
    <col min="1797" max="1797" width="15.140625" style="193" bestFit="1" customWidth="1"/>
    <col min="1798" max="2037" width="11.42578125" style="193"/>
    <col min="2038" max="2038" width="7" style="193" customWidth="1"/>
    <col min="2039" max="2039" width="35.7109375" style="193" customWidth="1"/>
    <col min="2040" max="2040" width="16.42578125" style="193" customWidth="1"/>
    <col min="2041" max="2041" width="12.85546875" style="193" customWidth="1"/>
    <col min="2042" max="2042" width="14.7109375" style="193" customWidth="1"/>
    <col min="2043" max="2043" width="16.85546875" style="193" customWidth="1"/>
    <col min="2044" max="2044" width="15.140625" style="193" bestFit="1" customWidth="1"/>
    <col min="2045" max="2046" width="11.42578125" style="193"/>
    <col min="2047" max="2047" width="6.7109375" style="193" bestFit="1" customWidth="1"/>
    <col min="2048" max="2048" width="36.42578125" style="193" customWidth="1"/>
    <col min="2049" max="2049" width="16.42578125" style="193" bestFit="1" customWidth="1"/>
    <col min="2050" max="2050" width="12.42578125" style="193" bestFit="1" customWidth="1"/>
    <col min="2051" max="2051" width="13" style="193" bestFit="1" customWidth="1"/>
    <col min="2052" max="2052" width="15.85546875" style="193" bestFit="1" customWidth="1"/>
    <col min="2053" max="2053" width="15.140625" style="193" bestFit="1" customWidth="1"/>
    <col min="2054" max="2293" width="11.42578125" style="193"/>
    <col min="2294" max="2294" width="7" style="193" customWidth="1"/>
    <col min="2295" max="2295" width="35.7109375" style="193" customWidth="1"/>
    <col min="2296" max="2296" width="16.42578125" style="193" customWidth="1"/>
    <col min="2297" max="2297" width="12.85546875" style="193" customWidth="1"/>
    <col min="2298" max="2298" width="14.7109375" style="193" customWidth="1"/>
    <col min="2299" max="2299" width="16.85546875" style="193" customWidth="1"/>
    <col min="2300" max="2300" width="15.140625" style="193" bestFit="1" customWidth="1"/>
    <col min="2301" max="2302" width="11.42578125" style="193"/>
    <col min="2303" max="2303" width="6.7109375" style="193" bestFit="1" customWidth="1"/>
    <col min="2304" max="2304" width="36.42578125" style="193" customWidth="1"/>
    <col min="2305" max="2305" width="16.42578125" style="193" bestFit="1" customWidth="1"/>
    <col min="2306" max="2306" width="12.42578125" style="193" bestFit="1" customWidth="1"/>
    <col min="2307" max="2307" width="13" style="193" bestFit="1" customWidth="1"/>
    <col min="2308" max="2308" width="15.85546875" style="193" bestFit="1" customWidth="1"/>
    <col min="2309" max="2309" width="15.140625" style="193" bestFit="1" customWidth="1"/>
    <col min="2310" max="2549" width="11.42578125" style="193"/>
    <col min="2550" max="2550" width="7" style="193" customWidth="1"/>
    <col min="2551" max="2551" width="35.7109375" style="193" customWidth="1"/>
    <col min="2552" max="2552" width="16.42578125" style="193" customWidth="1"/>
    <col min="2553" max="2553" width="12.85546875" style="193" customWidth="1"/>
    <col min="2554" max="2554" width="14.7109375" style="193" customWidth="1"/>
    <col min="2555" max="2555" width="16.85546875" style="193" customWidth="1"/>
    <col min="2556" max="2556" width="15.140625" style="193" bestFit="1" customWidth="1"/>
    <col min="2557" max="2558" width="11.42578125" style="193"/>
    <col min="2559" max="2559" width="6.7109375" style="193" bestFit="1" customWidth="1"/>
    <col min="2560" max="2560" width="36.42578125" style="193" customWidth="1"/>
    <col min="2561" max="2561" width="16.42578125" style="193" bestFit="1" customWidth="1"/>
    <col min="2562" max="2562" width="12.42578125" style="193" bestFit="1" customWidth="1"/>
    <col min="2563" max="2563" width="13" style="193" bestFit="1" customWidth="1"/>
    <col min="2564" max="2564" width="15.85546875" style="193" bestFit="1" customWidth="1"/>
    <col min="2565" max="2565" width="15.140625" style="193" bestFit="1" customWidth="1"/>
    <col min="2566" max="2805" width="11.42578125" style="193"/>
    <col min="2806" max="2806" width="7" style="193" customWidth="1"/>
    <col min="2807" max="2807" width="35.7109375" style="193" customWidth="1"/>
    <col min="2808" max="2808" width="16.42578125" style="193" customWidth="1"/>
    <col min="2809" max="2809" width="12.85546875" style="193" customWidth="1"/>
    <col min="2810" max="2810" width="14.7109375" style="193" customWidth="1"/>
    <col min="2811" max="2811" width="16.85546875" style="193" customWidth="1"/>
    <col min="2812" max="2812" width="15.140625" style="193" bestFit="1" customWidth="1"/>
    <col min="2813" max="2814" width="11.42578125" style="193"/>
    <col min="2815" max="2815" width="6.7109375" style="193" bestFit="1" customWidth="1"/>
    <col min="2816" max="2816" width="36.42578125" style="193" customWidth="1"/>
    <col min="2817" max="2817" width="16.42578125" style="193" bestFit="1" customWidth="1"/>
    <col min="2818" max="2818" width="12.42578125" style="193" bestFit="1" customWidth="1"/>
    <col min="2819" max="2819" width="13" style="193" bestFit="1" customWidth="1"/>
    <col min="2820" max="2820" width="15.85546875" style="193" bestFit="1" customWidth="1"/>
    <col min="2821" max="2821" width="15.140625" style="193" bestFit="1" customWidth="1"/>
    <col min="2822" max="3061" width="11.42578125" style="193"/>
    <col min="3062" max="3062" width="7" style="193" customWidth="1"/>
    <col min="3063" max="3063" width="35.7109375" style="193" customWidth="1"/>
    <col min="3064" max="3064" width="16.42578125" style="193" customWidth="1"/>
    <col min="3065" max="3065" width="12.85546875" style="193" customWidth="1"/>
    <col min="3066" max="3066" width="14.7109375" style="193" customWidth="1"/>
    <col min="3067" max="3067" width="16.85546875" style="193" customWidth="1"/>
    <col min="3068" max="3068" width="15.140625" style="193" bestFit="1" customWidth="1"/>
    <col min="3069" max="3070" width="11.42578125" style="193"/>
    <col min="3071" max="3071" width="6.7109375" style="193" bestFit="1" customWidth="1"/>
    <col min="3072" max="3072" width="36.42578125" style="193" customWidth="1"/>
    <col min="3073" max="3073" width="16.42578125" style="193" bestFit="1" customWidth="1"/>
    <col min="3074" max="3074" width="12.42578125" style="193" bestFit="1" customWidth="1"/>
    <col min="3075" max="3075" width="13" style="193" bestFit="1" customWidth="1"/>
    <col min="3076" max="3076" width="15.85546875" style="193" bestFit="1" customWidth="1"/>
    <col min="3077" max="3077" width="15.140625" style="193" bestFit="1" customWidth="1"/>
    <col min="3078" max="3317" width="11.42578125" style="193"/>
    <col min="3318" max="3318" width="7" style="193" customWidth="1"/>
    <col min="3319" max="3319" width="35.7109375" style="193" customWidth="1"/>
    <col min="3320" max="3320" width="16.42578125" style="193" customWidth="1"/>
    <col min="3321" max="3321" width="12.85546875" style="193" customWidth="1"/>
    <col min="3322" max="3322" width="14.7109375" style="193" customWidth="1"/>
    <col min="3323" max="3323" width="16.85546875" style="193" customWidth="1"/>
    <col min="3324" max="3324" width="15.140625" style="193" bestFit="1" customWidth="1"/>
    <col min="3325" max="3326" width="11.42578125" style="193"/>
    <col min="3327" max="3327" width="6.7109375" style="193" bestFit="1" customWidth="1"/>
    <col min="3328" max="3328" width="36.42578125" style="193" customWidth="1"/>
    <col min="3329" max="3329" width="16.42578125" style="193" bestFit="1" customWidth="1"/>
    <col min="3330" max="3330" width="12.42578125" style="193" bestFit="1" customWidth="1"/>
    <col min="3331" max="3331" width="13" style="193" bestFit="1" customWidth="1"/>
    <col min="3332" max="3332" width="15.85546875" style="193" bestFit="1" customWidth="1"/>
    <col min="3333" max="3333" width="15.140625" style="193" bestFit="1" customWidth="1"/>
    <col min="3334" max="3573" width="11.42578125" style="193"/>
    <col min="3574" max="3574" width="7" style="193" customWidth="1"/>
    <col min="3575" max="3575" width="35.7109375" style="193" customWidth="1"/>
    <col min="3576" max="3576" width="16.42578125" style="193" customWidth="1"/>
    <col min="3577" max="3577" width="12.85546875" style="193" customWidth="1"/>
    <col min="3578" max="3578" width="14.7109375" style="193" customWidth="1"/>
    <col min="3579" max="3579" width="16.85546875" style="193" customWidth="1"/>
    <col min="3580" max="3580" width="15.140625" style="193" bestFit="1" customWidth="1"/>
    <col min="3581" max="3582" width="11.42578125" style="193"/>
    <col min="3583" max="3583" width="6.7109375" style="193" bestFit="1" customWidth="1"/>
    <col min="3584" max="3584" width="36.42578125" style="193" customWidth="1"/>
    <col min="3585" max="3585" width="16.42578125" style="193" bestFit="1" customWidth="1"/>
    <col min="3586" max="3586" width="12.42578125" style="193" bestFit="1" customWidth="1"/>
    <col min="3587" max="3587" width="13" style="193" bestFit="1" customWidth="1"/>
    <col min="3588" max="3588" width="15.85546875" style="193" bestFit="1" customWidth="1"/>
    <col min="3589" max="3589" width="15.140625" style="193" bestFit="1" customWidth="1"/>
    <col min="3590" max="3829" width="11.42578125" style="193"/>
    <col min="3830" max="3830" width="7" style="193" customWidth="1"/>
    <col min="3831" max="3831" width="35.7109375" style="193" customWidth="1"/>
    <col min="3832" max="3832" width="16.42578125" style="193" customWidth="1"/>
    <col min="3833" max="3833" width="12.85546875" style="193" customWidth="1"/>
    <col min="3834" max="3834" width="14.7109375" style="193" customWidth="1"/>
    <col min="3835" max="3835" width="16.85546875" style="193" customWidth="1"/>
    <col min="3836" max="3836" width="15.140625" style="193" bestFit="1" customWidth="1"/>
    <col min="3837" max="3838" width="11.42578125" style="193"/>
    <col min="3839" max="3839" width="6.7109375" style="193" bestFit="1" customWidth="1"/>
    <col min="3840" max="3840" width="36.42578125" style="193" customWidth="1"/>
    <col min="3841" max="3841" width="16.42578125" style="193" bestFit="1" customWidth="1"/>
    <col min="3842" max="3842" width="12.42578125" style="193" bestFit="1" customWidth="1"/>
    <col min="3843" max="3843" width="13" style="193" bestFit="1" customWidth="1"/>
    <col min="3844" max="3844" width="15.85546875" style="193" bestFit="1" customWidth="1"/>
    <col min="3845" max="3845" width="15.140625" style="193" bestFit="1" customWidth="1"/>
    <col min="3846" max="4085" width="11.42578125" style="193"/>
    <col min="4086" max="4086" width="7" style="193" customWidth="1"/>
    <col min="4087" max="4087" width="35.7109375" style="193" customWidth="1"/>
    <col min="4088" max="4088" width="16.42578125" style="193" customWidth="1"/>
    <col min="4089" max="4089" width="12.85546875" style="193" customWidth="1"/>
    <col min="4090" max="4090" width="14.7109375" style="193" customWidth="1"/>
    <col min="4091" max="4091" width="16.85546875" style="193" customWidth="1"/>
    <col min="4092" max="4092" width="15.140625" style="193" bestFit="1" customWidth="1"/>
    <col min="4093" max="4094" width="11.42578125" style="193"/>
    <col min="4095" max="4095" width="6.7109375" style="193" bestFit="1" customWidth="1"/>
    <col min="4096" max="4096" width="36.42578125" style="193" customWidth="1"/>
    <col min="4097" max="4097" width="16.42578125" style="193" bestFit="1" customWidth="1"/>
    <col min="4098" max="4098" width="12.42578125" style="193" bestFit="1" customWidth="1"/>
    <col min="4099" max="4099" width="13" style="193" bestFit="1" customWidth="1"/>
    <col min="4100" max="4100" width="15.85546875" style="193" bestFit="1" customWidth="1"/>
    <col min="4101" max="4101" width="15.140625" style="193" bestFit="1" customWidth="1"/>
    <col min="4102" max="4341" width="11.42578125" style="193"/>
    <col min="4342" max="4342" width="7" style="193" customWidth="1"/>
    <col min="4343" max="4343" width="35.7109375" style="193" customWidth="1"/>
    <col min="4344" max="4344" width="16.42578125" style="193" customWidth="1"/>
    <col min="4345" max="4345" width="12.85546875" style="193" customWidth="1"/>
    <col min="4346" max="4346" width="14.7109375" style="193" customWidth="1"/>
    <col min="4347" max="4347" width="16.85546875" style="193" customWidth="1"/>
    <col min="4348" max="4348" width="15.140625" style="193" bestFit="1" customWidth="1"/>
    <col min="4349" max="4350" width="11.42578125" style="193"/>
    <col min="4351" max="4351" width="6.7109375" style="193" bestFit="1" customWidth="1"/>
    <col min="4352" max="4352" width="36.42578125" style="193" customWidth="1"/>
    <col min="4353" max="4353" width="16.42578125" style="193" bestFit="1" customWidth="1"/>
    <col min="4354" max="4354" width="12.42578125" style="193" bestFit="1" customWidth="1"/>
    <col min="4355" max="4355" width="13" style="193" bestFit="1" customWidth="1"/>
    <col min="4356" max="4356" width="15.85546875" style="193" bestFit="1" customWidth="1"/>
    <col min="4357" max="4357" width="15.140625" style="193" bestFit="1" customWidth="1"/>
    <col min="4358" max="4597" width="11.42578125" style="193"/>
    <col min="4598" max="4598" width="7" style="193" customWidth="1"/>
    <col min="4599" max="4599" width="35.7109375" style="193" customWidth="1"/>
    <col min="4600" max="4600" width="16.42578125" style="193" customWidth="1"/>
    <col min="4601" max="4601" width="12.85546875" style="193" customWidth="1"/>
    <col min="4602" max="4602" width="14.7109375" style="193" customWidth="1"/>
    <col min="4603" max="4603" width="16.85546875" style="193" customWidth="1"/>
    <col min="4604" max="4604" width="15.140625" style="193" bestFit="1" customWidth="1"/>
    <col min="4605" max="4606" width="11.42578125" style="193"/>
    <col min="4607" max="4607" width="6.7109375" style="193" bestFit="1" customWidth="1"/>
    <col min="4608" max="4608" width="36.42578125" style="193" customWidth="1"/>
    <col min="4609" max="4609" width="16.42578125" style="193" bestFit="1" customWidth="1"/>
    <col min="4610" max="4610" width="12.42578125" style="193" bestFit="1" customWidth="1"/>
    <col min="4611" max="4611" width="13" style="193" bestFit="1" customWidth="1"/>
    <col min="4612" max="4612" width="15.85546875" style="193" bestFit="1" customWidth="1"/>
    <col min="4613" max="4613" width="15.140625" style="193" bestFit="1" customWidth="1"/>
    <col min="4614" max="4853" width="11.42578125" style="193"/>
    <col min="4854" max="4854" width="7" style="193" customWidth="1"/>
    <col min="4855" max="4855" width="35.7109375" style="193" customWidth="1"/>
    <col min="4856" max="4856" width="16.42578125" style="193" customWidth="1"/>
    <col min="4857" max="4857" width="12.85546875" style="193" customWidth="1"/>
    <col min="4858" max="4858" width="14.7109375" style="193" customWidth="1"/>
    <col min="4859" max="4859" width="16.85546875" style="193" customWidth="1"/>
    <col min="4860" max="4860" width="15.140625" style="193" bestFit="1" customWidth="1"/>
    <col min="4861" max="4862" width="11.42578125" style="193"/>
    <col min="4863" max="4863" width="6.7109375" style="193" bestFit="1" customWidth="1"/>
    <col min="4864" max="4864" width="36.42578125" style="193" customWidth="1"/>
    <col min="4865" max="4865" width="16.42578125" style="193" bestFit="1" customWidth="1"/>
    <col min="4866" max="4866" width="12.42578125" style="193" bestFit="1" customWidth="1"/>
    <col min="4867" max="4867" width="13" style="193" bestFit="1" customWidth="1"/>
    <col min="4868" max="4868" width="15.85546875" style="193" bestFit="1" customWidth="1"/>
    <col min="4869" max="4869" width="15.140625" style="193" bestFit="1" customWidth="1"/>
    <col min="4870" max="5109" width="11.42578125" style="193"/>
    <col min="5110" max="5110" width="7" style="193" customWidth="1"/>
    <col min="5111" max="5111" width="35.7109375" style="193" customWidth="1"/>
    <col min="5112" max="5112" width="16.42578125" style="193" customWidth="1"/>
    <col min="5113" max="5113" width="12.85546875" style="193" customWidth="1"/>
    <col min="5114" max="5114" width="14.7109375" style="193" customWidth="1"/>
    <col min="5115" max="5115" width="16.85546875" style="193" customWidth="1"/>
    <col min="5116" max="5116" width="15.140625" style="193" bestFit="1" customWidth="1"/>
    <col min="5117" max="5118" width="11.42578125" style="193"/>
    <col min="5119" max="5119" width="6.7109375" style="193" bestFit="1" customWidth="1"/>
    <col min="5120" max="5120" width="36.42578125" style="193" customWidth="1"/>
    <col min="5121" max="5121" width="16.42578125" style="193" bestFit="1" customWidth="1"/>
    <col min="5122" max="5122" width="12.42578125" style="193" bestFit="1" customWidth="1"/>
    <col min="5123" max="5123" width="13" style="193" bestFit="1" customWidth="1"/>
    <col min="5124" max="5124" width="15.85546875" style="193" bestFit="1" customWidth="1"/>
    <col min="5125" max="5125" width="15.140625" style="193" bestFit="1" customWidth="1"/>
    <col min="5126" max="5365" width="11.42578125" style="193"/>
    <col min="5366" max="5366" width="7" style="193" customWidth="1"/>
    <col min="5367" max="5367" width="35.7109375" style="193" customWidth="1"/>
    <col min="5368" max="5368" width="16.42578125" style="193" customWidth="1"/>
    <col min="5369" max="5369" width="12.85546875" style="193" customWidth="1"/>
    <col min="5370" max="5370" width="14.7109375" style="193" customWidth="1"/>
    <col min="5371" max="5371" width="16.85546875" style="193" customWidth="1"/>
    <col min="5372" max="5372" width="15.140625" style="193" bestFit="1" customWidth="1"/>
    <col min="5373" max="5374" width="11.42578125" style="193"/>
    <col min="5375" max="5375" width="6.7109375" style="193" bestFit="1" customWidth="1"/>
    <col min="5376" max="5376" width="36.42578125" style="193" customWidth="1"/>
    <col min="5377" max="5377" width="16.42578125" style="193" bestFit="1" customWidth="1"/>
    <col min="5378" max="5378" width="12.42578125" style="193" bestFit="1" customWidth="1"/>
    <col min="5379" max="5379" width="13" style="193" bestFit="1" customWidth="1"/>
    <col min="5380" max="5380" width="15.85546875" style="193" bestFit="1" customWidth="1"/>
    <col min="5381" max="5381" width="15.140625" style="193" bestFit="1" customWidth="1"/>
    <col min="5382" max="5621" width="11.42578125" style="193"/>
    <col min="5622" max="5622" width="7" style="193" customWidth="1"/>
    <col min="5623" max="5623" width="35.7109375" style="193" customWidth="1"/>
    <col min="5624" max="5624" width="16.42578125" style="193" customWidth="1"/>
    <col min="5625" max="5625" width="12.85546875" style="193" customWidth="1"/>
    <col min="5626" max="5626" width="14.7109375" style="193" customWidth="1"/>
    <col min="5627" max="5627" width="16.85546875" style="193" customWidth="1"/>
    <col min="5628" max="5628" width="15.140625" style="193" bestFit="1" customWidth="1"/>
    <col min="5629" max="5630" width="11.42578125" style="193"/>
    <col min="5631" max="5631" width="6.7109375" style="193" bestFit="1" customWidth="1"/>
    <col min="5632" max="5632" width="36.42578125" style="193" customWidth="1"/>
    <col min="5633" max="5633" width="16.42578125" style="193" bestFit="1" customWidth="1"/>
    <col min="5634" max="5634" width="12.42578125" style="193" bestFit="1" customWidth="1"/>
    <col min="5635" max="5635" width="13" style="193" bestFit="1" customWidth="1"/>
    <col min="5636" max="5636" width="15.85546875" style="193" bestFit="1" customWidth="1"/>
    <col min="5637" max="5637" width="15.140625" style="193" bestFit="1" customWidth="1"/>
    <col min="5638" max="5877" width="11.42578125" style="193"/>
    <col min="5878" max="5878" width="7" style="193" customWidth="1"/>
    <col min="5879" max="5879" width="35.7109375" style="193" customWidth="1"/>
    <col min="5880" max="5880" width="16.42578125" style="193" customWidth="1"/>
    <col min="5881" max="5881" width="12.85546875" style="193" customWidth="1"/>
    <col min="5882" max="5882" width="14.7109375" style="193" customWidth="1"/>
    <col min="5883" max="5883" width="16.85546875" style="193" customWidth="1"/>
    <col min="5884" max="5884" width="15.140625" style="193" bestFit="1" customWidth="1"/>
    <col min="5885" max="5886" width="11.42578125" style="193"/>
    <col min="5887" max="5887" width="6.7109375" style="193" bestFit="1" customWidth="1"/>
    <col min="5888" max="5888" width="36.42578125" style="193" customWidth="1"/>
    <col min="5889" max="5889" width="16.42578125" style="193" bestFit="1" customWidth="1"/>
    <col min="5890" max="5890" width="12.42578125" style="193" bestFit="1" customWidth="1"/>
    <col min="5891" max="5891" width="13" style="193" bestFit="1" customWidth="1"/>
    <col min="5892" max="5892" width="15.85546875" style="193" bestFit="1" customWidth="1"/>
    <col min="5893" max="5893" width="15.140625" style="193" bestFit="1" customWidth="1"/>
    <col min="5894" max="6133" width="11.42578125" style="193"/>
    <col min="6134" max="6134" width="7" style="193" customWidth="1"/>
    <col min="6135" max="6135" width="35.7109375" style="193" customWidth="1"/>
    <col min="6136" max="6136" width="16.42578125" style="193" customWidth="1"/>
    <col min="6137" max="6137" width="12.85546875" style="193" customWidth="1"/>
    <col min="6138" max="6138" width="14.7109375" style="193" customWidth="1"/>
    <col min="6139" max="6139" width="16.85546875" style="193" customWidth="1"/>
    <col min="6140" max="6140" width="15.140625" style="193" bestFit="1" customWidth="1"/>
    <col min="6141" max="6142" width="11.42578125" style="193"/>
    <col min="6143" max="6143" width="6.7109375" style="193" bestFit="1" customWidth="1"/>
    <col min="6144" max="6144" width="36.42578125" style="193" customWidth="1"/>
    <col min="6145" max="6145" width="16.42578125" style="193" bestFit="1" customWidth="1"/>
    <col min="6146" max="6146" width="12.42578125" style="193" bestFit="1" customWidth="1"/>
    <col min="6147" max="6147" width="13" style="193" bestFit="1" customWidth="1"/>
    <col min="6148" max="6148" width="15.85546875" style="193" bestFit="1" customWidth="1"/>
    <col min="6149" max="6149" width="15.140625" style="193" bestFit="1" customWidth="1"/>
    <col min="6150" max="6389" width="11.42578125" style="193"/>
    <col min="6390" max="6390" width="7" style="193" customWidth="1"/>
    <col min="6391" max="6391" width="35.7109375" style="193" customWidth="1"/>
    <col min="6392" max="6392" width="16.42578125" style="193" customWidth="1"/>
    <col min="6393" max="6393" width="12.85546875" style="193" customWidth="1"/>
    <col min="6394" max="6394" width="14.7109375" style="193" customWidth="1"/>
    <col min="6395" max="6395" width="16.85546875" style="193" customWidth="1"/>
    <col min="6396" max="6396" width="15.140625" style="193" bestFit="1" customWidth="1"/>
    <col min="6397" max="6398" width="11.42578125" style="193"/>
    <col min="6399" max="6399" width="6.7109375" style="193" bestFit="1" customWidth="1"/>
    <col min="6400" max="6400" width="36.42578125" style="193" customWidth="1"/>
    <col min="6401" max="6401" width="16.42578125" style="193" bestFit="1" customWidth="1"/>
    <col min="6402" max="6402" width="12.42578125" style="193" bestFit="1" customWidth="1"/>
    <col min="6403" max="6403" width="13" style="193" bestFit="1" customWidth="1"/>
    <col min="6404" max="6404" width="15.85546875" style="193" bestFit="1" customWidth="1"/>
    <col min="6405" max="6405" width="15.140625" style="193" bestFit="1" customWidth="1"/>
    <col min="6406" max="6645" width="11.42578125" style="193"/>
    <col min="6646" max="6646" width="7" style="193" customWidth="1"/>
    <col min="6647" max="6647" width="35.7109375" style="193" customWidth="1"/>
    <col min="6648" max="6648" width="16.42578125" style="193" customWidth="1"/>
    <col min="6649" max="6649" width="12.85546875" style="193" customWidth="1"/>
    <col min="6650" max="6650" width="14.7109375" style="193" customWidth="1"/>
    <col min="6651" max="6651" width="16.85546875" style="193" customWidth="1"/>
    <col min="6652" max="6652" width="15.140625" style="193" bestFit="1" customWidth="1"/>
    <col min="6653" max="6654" width="11.42578125" style="193"/>
    <col min="6655" max="6655" width="6.7109375" style="193" bestFit="1" customWidth="1"/>
    <col min="6656" max="6656" width="36.42578125" style="193" customWidth="1"/>
    <col min="6657" max="6657" width="16.42578125" style="193" bestFit="1" customWidth="1"/>
    <col min="6658" max="6658" width="12.42578125" style="193" bestFit="1" customWidth="1"/>
    <col min="6659" max="6659" width="13" style="193" bestFit="1" customWidth="1"/>
    <col min="6660" max="6660" width="15.85546875" style="193" bestFit="1" customWidth="1"/>
    <col min="6661" max="6661" width="15.140625" style="193" bestFit="1" customWidth="1"/>
    <col min="6662" max="6901" width="11.42578125" style="193"/>
    <col min="6902" max="6902" width="7" style="193" customWidth="1"/>
    <col min="6903" max="6903" width="35.7109375" style="193" customWidth="1"/>
    <col min="6904" max="6904" width="16.42578125" style="193" customWidth="1"/>
    <col min="6905" max="6905" width="12.85546875" style="193" customWidth="1"/>
    <col min="6906" max="6906" width="14.7109375" style="193" customWidth="1"/>
    <col min="6907" max="6907" width="16.85546875" style="193" customWidth="1"/>
    <col min="6908" max="6908" width="15.140625" style="193" bestFit="1" customWidth="1"/>
    <col min="6909" max="6910" width="11.42578125" style="193"/>
    <col min="6911" max="6911" width="6.7109375" style="193" bestFit="1" customWidth="1"/>
    <col min="6912" max="6912" width="36.42578125" style="193" customWidth="1"/>
    <col min="6913" max="6913" width="16.42578125" style="193" bestFit="1" customWidth="1"/>
    <col min="6914" max="6914" width="12.42578125" style="193" bestFit="1" customWidth="1"/>
    <col min="6915" max="6915" width="13" style="193" bestFit="1" customWidth="1"/>
    <col min="6916" max="6916" width="15.85546875" style="193" bestFit="1" customWidth="1"/>
    <col min="6917" max="6917" width="15.140625" style="193" bestFit="1" customWidth="1"/>
    <col min="6918" max="7157" width="11.42578125" style="193"/>
    <col min="7158" max="7158" width="7" style="193" customWidth="1"/>
    <col min="7159" max="7159" width="35.7109375" style="193" customWidth="1"/>
    <col min="7160" max="7160" width="16.42578125" style="193" customWidth="1"/>
    <col min="7161" max="7161" width="12.85546875" style="193" customWidth="1"/>
    <col min="7162" max="7162" width="14.7109375" style="193" customWidth="1"/>
    <col min="7163" max="7163" width="16.85546875" style="193" customWidth="1"/>
    <col min="7164" max="7164" width="15.140625" style="193" bestFit="1" customWidth="1"/>
    <col min="7165" max="7166" width="11.42578125" style="193"/>
    <col min="7167" max="7167" width="6.7109375" style="193" bestFit="1" customWidth="1"/>
    <col min="7168" max="7168" width="36.42578125" style="193" customWidth="1"/>
    <col min="7169" max="7169" width="16.42578125" style="193" bestFit="1" customWidth="1"/>
    <col min="7170" max="7170" width="12.42578125" style="193" bestFit="1" customWidth="1"/>
    <col min="7171" max="7171" width="13" style="193" bestFit="1" customWidth="1"/>
    <col min="7172" max="7172" width="15.85546875" style="193" bestFit="1" customWidth="1"/>
    <col min="7173" max="7173" width="15.140625" style="193" bestFit="1" customWidth="1"/>
    <col min="7174" max="7413" width="11.42578125" style="193"/>
    <col min="7414" max="7414" width="7" style="193" customWidth="1"/>
    <col min="7415" max="7415" width="35.7109375" style="193" customWidth="1"/>
    <col min="7416" max="7416" width="16.42578125" style="193" customWidth="1"/>
    <col min="7417" max="7417" width="12.85546875" style="193" customWidth="1"/>
    <col min="7418" max="7418" width="14.7109375" style="193" customWidth="1"/>
    <col min="7419" max="7419" width="16.85546875" style="193" customWidth="1"/>
    <col min="7420" max="7420" width="15.140625" style="193" bestFit="1" customWidth="1"/>
    <col min="7421" max="7422" width="11.42578125" style="193"/>
    <col min="7423" max="7423" width="6.7109375" style="193" bestFit="1" customWidth="1"/>
    <col min="7424" max="7424" width="36.42578125" style="193" customWidth="1"/>
    <col min="7425" max="7425" width="16.42578125" style="193" bestFit="1" customWidth="1"/>
    <col min="7426" max="7426" width="12.42578125" style="193" bestFit="1" customWidth="1"/>
    <col min="7427" max="7427" width="13" style="193" bestFit="1" customWidth="1"/>
    <col min="7428" max="7428" width="15.85546875" style="193" bestFit="1" customWidth="1"/>
    <col min="7429" max="7429" width="15.140625" style="193" bestFit="1" customWidth="1"/>
    <col min="7430" max="7669" width="11.42578125" style="193"/>
    <col min="7670" max="7670" width="7" style="193" customWidth="1"/>
    <col min="7671" max="7671" width="35.7109375" style="193" customWidth="1"/>
    <col min="7672" max="7672" width="16.42578125" style="193" customWidth="1"/>
    <col min="7673" max="7673" width="12.85546875" style="193" customWidth="1"/>
    <col min="7674" max="7674" width="14.7109375" style="193" customWidth="1"/>
    <col min="7675" max="7675" width="16.85546875" style="193" customWidth="1"/>
    <col min="7676" max="7676" width="15.140625" style="193" bestFit="1" customWidth="1"/>
    <col min="7677" max="7678" width="11.42578125" style="193"/>
    <col min="7679" max="7679" width="6.7109375" style="193" bestFit="1" customWidth="1"/>
    <col min="7680" max="7680" width="36.42578125" style="193" customWidth="1"/>
    <col min="7681" max="7681" width="16.42578125" style="193" bestFit="1" customWidth="1"/>
    <col min="7682" max="7682" width="12.42578125" style="193" bestFit="1" customWidth="1"/>
    <col min="7683" max="7683" width="13" style="193" bestFit="1" customWidth="1"/>
    <col min="7684" max="7684" width="15.85546875" style="193" bestFit="1" customWidth="1"/>
    <col min="7685" max="7685" width="15.140625" style="193" bestFit="1" customWidth="1"/>
    <col min="7686" max="7925" width="11.42578125" style="193"/>
    <col min="7926" max="7926" width="7" style="193" customWidth="1"/>
    <col min="7927" max="7927" width="35.7109375" style="193" customWidth="1"/>
    <col min="7928" max="7928" width="16.42578125" style="193" customWidth="1"/>
    <col min="7929" max="7929" width="12.85546875" style="193" customWidth="1"/>
    <col min="7930" max="7930" width="14.7109375" style="193" customWidth="1"/>
    <col min="7931" max="7931" width="16.85546875" style="193" customWidth="1"/>
    <col min="7932" max="7932" width="15.140625" style="193" bestFit="1" customWidth="1"/>
    <col min="7933" max="7934" width="11.42578125" style="193"/>
    <col min="7935" max="7935" width="6.7109375" style="193" bestFit="1" customWidth="1"/>
    <col min="7936" max="7936" width="36.42578125" style="193" customWidth="1"/>
    <col min="7937" max="7937" width="16.42578125" style="193" bestFit="1" customWidth="1"/>
    <col min="7938" max="7938" width="12.42578125" style="193" bestFit="1" customWidth="1"/>
    <col min="7939" max="7939" width="13" style="193" bestFit="1" customWidth="1"/>
    <col min="7940" max="7940" width="15.85546875" style="193" bestFit="1" customWidth="1"/>
    <col min="7941" max="7941" width="15.140625" style="193" bestFit="1" customWidth="1"/>
    <col min="7942" max="8181" width="11.42578125" style="193"/>
    <col min="8182" max="8182" width="7" style="193" customWidth="1"/>
    <col min="8183" max="8183" width="35.7109375" style="193" customWidth="1"/>
    <col min="8184" max="8184" width="16.42578125" style="193" customWidth="1"/>
    <col min="8185" max="8185" width="12.85546875" style="193" customWidth="1"/>
    <col min="8186" max="8186" width="14.7109375" style="193" customWidth="1"/>
    <col min="8187" max="8187" width="16.85546875" style="193" customWidth="1"/>
    <col min="8188" max="8188" width="15.140625" style="193" bestFit="1" customWidth="1"/>
    <col min="8189" max="8190" width="11.42578125" style="193"/>
    <col min="8191" max="8191" width="6.7109375" style="193" bestFit="1" customWidth="1"/>
    <col min="8192" max="8192" width="36.42578125" style="193" customWidth="1"/>
    <col min="8193" max="8193" width="16.42578125" style="193" bestFit="1" customWidth="1"/>
    <col min="8194" max="8194" width="12.42578125" style="193" bestFit="1" customWidth="1"/>
    <col min="8195" max="8195" width="13" style="193" bestFit="1" customWidth="1"/>
    <col min="8196" max="8196" width="15.85546875" style="193" bestFit="1" customWidth="1"/>
    <col min="8197" max="8197" width="15.140625" style="193" bestFit="1" customWidth="1"/>
    <col min="8198" max="8437" width="11.42578125" style="193"/>
    <col min="8438" max="8438" width="7" style="193" customWidth="1"/>
    <col min="8439" max="8439" width="35.7109375" style="193" customWidth="1"/>
    <col min="8440" max="8440" width="16.42578125" style="193" customWidth="1"/>
    <col min="8441" max="8441" width="12.85546875" style="193" customWidth="1"/>
    <col min="8442" max="8442" width="14.7109375" style="193" customWidth="1"/>
    <col min="8443" max="8443" width="16.85546875" style="193" customWidth="1"/>
    <col min="8444" max="8444" width="15.140625" style="193" bestFit="1" customWidth="1"/>
    <col min="8445" max="8446" width="11.42578125" style="193"/>
    <col min="8447" max="8447" width="6.7109375" style="193" bestFit="1" customWidth="1"/>
    <col min="8448" max="8448" width="36.42578125" style="193" customWidth="1"/>
    <col min="8449" max="8449" width="16.42578125" style="193" bestFit="1" customWidth="1"/>
    <col min="8450" max="8450" width="12.42578125" style="193" bestFit="1" customWidth="1"/>
    <col min="8451" max="8451" width="13" style="193" bestFit="1" customWidth="1"/>
    <col min="8452" max="8452" width="15.85546875" style="193" bestFit="1" customWidth="1"/>
    <col min="8453" max="8453" width="15.140625" style="193" bestFit="1" customWidth="1"/>
    <col min="8454" max="8693" width="11.42578125" style="193"/>
    <col min="8694" max="8694" width="7" style="193" customWidth="1"/>
    <col min="8695" max="8695" width="35.7109375" style="193" customWidth="1"/>
    <col min="8696" max="8696" width="16.42578125" style="193" customWidth="1"/>
    <col min="8697" max="8697" width="12.85546875" style="193" customWidth="1"/>
    <col min="8698" max="8698" width="14.7109375" style="193" customWidth="1"/>
    <col min="8699" max="8699" width="16.85546875" style="193" customWidth="1"/>
    <col min="8700" max="8700" width="15.140625" style="193" bestFit="1" customWidth="1"/>
    <col min="8701" max="8702" width="11.42578125" style="193"/>
    <col min="8703" max="8703" width="6.7109375" style="193" bestFit="1" customWidth="1"/>
    <col min="8704" max="8704" width="36.42578125" style="193" customWidth="1"/>
    <col min="8705" max="8705" width="16.42578125" style="193" bestFit="1" customWidth="1"/>
    <col min="8706" max="8706" width="12.42578125" style="193" bestFit="1" customWidth="1"/>
    <col min="8707" max="8707" width="13" style="193" bestFit="1" customWidth="1"/>
    <col min="8708" max="8708" width="15.85546875" style="193" bestFit="1" customWidth="1"/>
    <col min="8709" max="8709" width="15.140625" style="193" bestFit="1" customWidth="1"/>
    <col min="8710" max="8949" width="11.42578125" style="193"/>
    <col min="8950" max="8950" width="7" style="193" customWidth="1"/>
    <col min="8951" max="8951" width="35.7109375" style="193" customWidth="1"/>
    <col min="8952" max="8952" width="16.42578125" style="193" customWidth="1"/>
    <col min="8953" max="8953" width="12.85546875" style="193" customWidth="1"/>
    <col min="8954" max="8954" width="14.7109375" style="193" customWidth="1"/>
    <col min="8955" max="8955" width="16.85546875" style="193" customWidth="1"/>
    <col min="8956" max="8956" width="15.140625" style="193" bestFit="1" customWidth="1"/>
    <col min="8957" max="8958" width="11.42578125" style="193"/>
    <col min="8959" max="8959" width="6.7109375" style="193" bestFit="1" customWidth="1"/>
    <col min="8960" max="8960" width="36.42578125" style="193" customWidth="1"/>
    <col min="8961" max="8961" width="16.42578125" style="193" bestFit="1" customWidth="1"/>
    <col min="8962" max="8962" width="12.42578125" style="193" bestFit="1" customWidth="1"/>
    <col min="8963" max="8963" width="13" style="193" bestFit="1" customWidth="1"/>
    <col min="8964" max="8964" width="15.85546875" style="193" bestFit="1" customWidth="1"/>
    <col min="8965" max="8965" width="15.140625" style="193" bestFit="1" customWidth="1"/>
    <col min="8966" max="9205" width="11.42578125" style="193"/>
    <col min="9206" max="9206" width="7" style="193" customWidth="1"/>
    <col min="9207" max="9207" width="35.7109375" style="193" customWidth="1"/>
    <col min="9208" max="9208" width="16.42578125" style="193" customWidth="1"/>
    <col min="9209" max="9209" width="12.85546875" style="193" customWidth="1"/>
    <col min="9210" max="9210" width="14.7109375" style="193" customWidth="1"/>
    <col min="9211" max="9211" width="16.85546875" style="193" customWidth="1"/>
    <col min="9212" max="9212" width="15.140625" style="193" bestFit="1" customWidth="1"/>
    <col min="9213" max="9214" width="11.42578125" style="193"/>
    <col min="9215" max="9215" width="6.7109375" style="193" bestFit="1" customWidth="1"/>
    <col min="9216" max="9216" width="36.42578125" style="193" customWidth="1"/>
    <col min="9217" max="9217" width="16.42578125" style="193" bestFit="1" customWidth="1"/>
    <col min="9218" max="9218" width="12.42578125" style="193" bestFit="1" customWidth="1"/>
    <col min="9219" max="9219" width="13" style="193" bestFit="1" customWidth="1"/>
    <col min="9220" max="9220" width="15.85546875" style="193" bestFit="1" customWidth="1"/>
    <col min="9221" max="9221" width="15.140625" style="193" bestFit="1" customWidth="1"/>
    <col min="9222" max="9461" width="11.42578125" style="193"/>
    <col min="9462" max="9462" width="7" style="193" customWidth="1"/>
    <col min="9463" max="9463" width="35.7109375" style="193" customWidth="1"/>
    <col min="9464" max="9464" width="16.42578125" style="193" customWidth="1"/>
    <col min="9465" max="9465" width="12.85546875" style="193" customWidth="1"/>
    <col min="9466" max="9466" width="14.7109375" style="193" customWidth="1"/>
    <col min="9467" max="9467" width="16.85546875" style="193" customWidth="1"/>
    <col min="9468" max="9468" width="15.140625" style="193" bestFit="1" customWidth="1"/>
    <col min="9469" max="9470" width="11.42578125" style="193"/>
    <col min="9471" max="9471" width="6.7109375" style="193" bestFit="1" customWidth="1"/>
    <col min="9472" max="9472" width="36.42578125" style="193" customWidth="1"/>
    <col min="9473" max="9473" width="16.42578125" style="193" bestFit="1" customWidth="1"/>
    <col min="9474" max="9474" width="12.42578125" style="193" bestFit="1" customWidth="1"/>
    <col min="9475" max="9475" width="13" style="193" bestFit="1" customWidth="1"/>
    <col min="9476" max="9476" width="15.85546875" style="193" bestFit="1" customWidth="1"/>
    <col min="9477" max="9477" width="15.140625" style="193" bestFit="1" customWidth="1"/>
    <col min="9478" max="9717" width="11.42578125" style="193"/>
    <col min="9718" max="9718" width="7" style="193" customWidth="1"/>
    <col min="9719" max="9719" width="35.7109375" style="193" customWidth="1"/>
    <col min="9720" max="9720" width="16.42578125" style="193" customWidth="1"/>
    <col min="9721" max="9721" width="12.85546875" style="193" customWidth="1"/>
    <col min="9722" max="9722" width="14.7109375" style="193" customWidth="1"/>
    <col min="9723" max="9723" width="16.85546875" style="193" customWidth="1"/>
    <col min="9724" max="9724" width="15.140625" style="193" bestFit="1" customWidth="1"/>
    <col min="9725" max="9726" width="11.42578125" style="193"/>
    <col min="9727" max="9727" width="6.7109375" style="193" bestFit="1" customWidth="1"/>
    <col min="9728" max="9728" width="36.42578125" style="193" customWidth="1"/>
    <col min="9729" max="9729" width="16.42578125" style="193" bestFit="1" customWidth="1"/>
    <col min="9730" max="9730" width="12.42578125" style="193" bestFit="1" customWidth="1"/>
    <col min="9731" max="9731" width="13" style="193" bestFit="1" customWidth="1"/>
    <col min="9732" max="9732" width="15.85546875" style="193" bestFit="1" customWidth="1"/>
    <col min="9733" max="9733" width="15.140625" style="193" bestFit="1" customWidth="1"/>
    <col min="9734" max="9973" width="11.42578125" style="193"/>
    <col min="9974" max="9974" width="7" style="193" customWidth="1"/>
    <col min="9975" max="9975" width="35.7109375" style="193" customWidth="1"/>
    <col min="9976" max="9976" width="16.42578125" style="193" customWidth="1"/>
    <col min="9977" max="9977" width="12.85546875" style="193" customWidth="1"/>
    <col min="9978" max="9978" width="14.7109375" style="193" customWidth="1"/>
    <col min="9979" max="9979" width="16.85546875" style="193" customWidth="1"/>
    <col min="9980" max="9980" width="15.140625" style="193" bestFit="1" customWidth="1"/>
    <col min="9981" max="9982" width="11.42578125" style="193"/>
    <col min="9983" max="9983" width="6.7109375" style="193" bestFit="1" customWidth="1"/>
    <col min="9984" max="9984" width="36.42578125" style="193" customWidth="1"/>
    <col min="9985" max="9985" width="16.42578125" style="193" bestFit="1" customWidth="1"/>
    <col min="9986" max="9986" width="12.42578125" style="193" bestFit="1" customWidth="1"/>
    <col min="9987" max="9987" width="13" style="193" bestFit="1" customWidth="1"/>
    <col min="9988" max="9988" width="15.85546875" style="193" bestFit="1" customWidth="1"/>
    <col min="9989" max="9989" width="15.140625" style="193" bestFit="1" customWidth="1"/>
    <col min="9990" max="10229" width="11.42578125" style="193"/>
    <col min="10230" max="10230" width="7" style="193" customWidth="1"/>
    <col min="10231" max="10231" width="35.7109375" style="193" customWidth="1"/>
    <col min="10232" max="10232" width="16.42578125" style="193" customWidth="1"/>
    <col min="10233" max="10233" width="12.85546875" style="193" customWidth="1"/>
    <col min="10234" max="10234" width="14.7109375" style="193" customWidth="1"/>
    <col min="10235" max="10235" width="16.85546875" style="193" customWidth="1"/>
    <col min="10236" max="10236" width="15.140625" style="193" bestFit="1" customWidth="1"/>
    <col min="10237" max="10238" width="11.42578125" style="193"/>
    <col min="10239" max="10239" width="6.7109375" style="193" bestFit="1" customWidth="1"/>
    <col min="10240" max="10240" width="36.42578125" style="193" customWidth="1"/>
    <col min="10241" max="10241" width="16.42578125" style="193" bestFit="1" customWidth="1"/>
    <col min="10242" max="10242" width="12.42578125" style="193" bestFit="1" customWidth="1"/>
    <col min="10243" max="10243" width="13" style="193" bestFit="1" customWidth="1"/>
    <col min="10244" max="10244" width="15.85546875" style="193" bestFit="1" customWidth="1"/>
    <col min="10245" max="10245" width="15.140625" style="193" bestFit="1" customWidth="1"/>
    <col min="10246" max="10485" width="11.42578125" style="193"/>
    <col min="10486" max="10486" width="7" style="193" customWidth="1"/>
    <col min="10487" max="10487" width="35.7109375" style="193" customWidth="1"/>
    <col min="10488" max="10488" width="16.42578125" style="193" customWidth="1"/>
    <col min="10489" max="10489" width="12.85546875" style="193" customWidth="1"/>
    <col min="10490" max="10490" width="14.7109375" style="193" customWidth="1"/>
    <col min="10491" max="10491" width="16.85546875" style="193" customWidth="1"/>
    <col min="10492" max="10492" width="15.140625" style="193" bestFit="1" customWidth="1"/>
    <col min="10493" max="10494" width="11.42578125" style="193"/>
    <col min="10495" max="10495" width="6.7109375" style="193" bestFit="1" customWidth="1"/>
    <col min="10496" max="10496" width="36.42578125" style="193" customWidth="1"/>
    <col min="10497" max="10497" width="16.42578125" style="193" bestFit="1" customWidth="1"/>
    <col min="10498" max="10498" width="12.42578125" style="193" bestFit="1" customWidth="1"/>
    <col min="10499" max="10499" width="13" style="193" bestFit="1" customWidth="1"/>
    <col min="10500" max="10500" width="15.85546875" style="193" bestFit="1" customWidth="1"/>
    <col min="10501" max="10501" width="15.140625" style="193" bestFit="1" customWidth="1"/>
    <col min="10502" max="10741" width="11.42578125" style="193"/>
    <col min="10742" max="10742" width="7" style="193" customWidth="1"/>
    <col min="10743" max="10743" width="35.7109375" style="193" customWidth="1"/>
    <col min="10744" max="10744" width="16.42578125" style="193" customWidth="1"/>
    <col min="10745" max="10745" width="12.85546875" style="193" customWidth="1"/>
    <col min="10746" max="10746" width="14.7109375" style="193" customWidth="1"/>
    <col min="10747" max="10747" width="16.85546875" style="193" customWidth="1"/>
    <col min="10748" max="10748" width="15.140625" style="193" bestFit="1" customWidth="1"/>
    <col min="10749" max="10750" width="11.42578125" style="193"/>
    <col min="10751" max="10751" width="6.7109375" style="193" bestFit="1" customWidth="1"/>
    <col min="10752" max="10752" width="36.42578125" style="193" customWidth="1"/>
    <col min="10753" max="10753" width="16.42578125" style="193" bestFit="1" customWidth="1"/>
    <col min="10754" max="10754" width="12.42578125" style="193" bestFit="1" customWidth="1"/>
    <col min="10755" max="10755" width="13" style="193" bestFit="1" customWidth="1"/>
    <col min="10756" max="10756" width="15.85546875" style="193" bestFit="1" customWidth="1"/>
    <col min="10757" max="10757" width="15.140625" style="193" bestFit="1" customWidth="1"/>
    <col min="10758" max="10997" width="11.42578125" style="193"/>
    <col min="10998" max="10998" width="7" style="193" customWidth="1"/>
    <col min="10999" max="10999" width="35.7109375" style="193" customWidth="1"/>
    <col min="11000" max="11000" width="16.42578125" style="193" customWidth="1"/>
    <col min="11001" max="11001" width="12.85546875" style="193" customWidth="1"/>
    <col min="11002" max="11002" width="14.7109375" style="193" customWidth="1"/>
    <col min="11003" max="11003" width="16.85546875" style="193" customWidth="1"/>
    <col min="11004" max="11004" width="15.140625" style="193" bestFit="1" customWidth="1"/>
    <col min="11005" max="11006" width="11.42578125" style="193"/>
    <col min="11007" max="11007" width="6.7109375" style="193" bestFit="1" customWidth="1"/>
    <col min="11008" max="11008" width="36.42578125" style="193" customWidth="1"/>
    <col min="11009" max="11009" width="16.42578125" style="193" bestFit="1" customWidth="1"/>
    <col min="11010" max="11010" width="12.42578125" style="193" bestFit="1" customWidth="1"/>
    <col min="11011" max="11011" width="13" style="193" bestFit="1" customWidth="1"/>
    <col min="11012" max="11012" width="15.85546875" style="193" bestFit="1" customWidth="1"/>
    <col min="11013" max="11013" width="15.140625" style="193" bestFit="1" customWidth="1"/>
    <col min="11014" max="11253" width="11.42578125" style="193"/>
    <col min="11254" max="11254" width="7" style="193" customWidth="1"/>
    <col min="11255" max="11255" width="35.7109375" style="193" customWidth="1"/>
    <col min="11256" max="11256" width="16.42578125" style="193" customWidth="1"/>
    <col min="11257" max="11257" width="12.85546875" style="193" customWidth="1"/>
    <col min="11258" max="11258" width="14.7109375" style="193" customWidth="1"/>
    <col min="11259" max="11259" width="16.85546875" style="193" customWidth="1"/>
    <col min="11260" max="11260" width="15.140625" style="193" bestFit="1" customWidth="1"/>
    <col min="11261" max="11262" width="11.42578125" style="193"/>
    <col min="11263" max="11263" width="6.7109375" style="193" bestFit="1" customWidth="1"/>
    <col min="11264" max="11264" width="36.42578125" style="193" customWidth="1"/>
    <col min="11265" max="11265" width="16.42578125" style="193" bestFit="1" customWidth="1"/>
    <col min="11266" max="11266" width="12.42578125" style="193" bestFit="1" customWidth="1"/>
    <col min="11267" max="11267" width="13" style="193" bestFit="1" customWidth="1"/>
    <col min="11268" max="11268" width="15.85546875" style="193" bestFit="1" customWidth="1"/>
    <col min="11269" max="11269" width="15.140625" style="193" bestFit="1" customWidth="1"/>
    <col min="11270" max="11509" width="11.42578125" style="193"/>
    <col min="11510" max="11510" width="7" style="193" customWidth="1"/>
    <col min="11511" max="11511" width="35.7109375" style="193" customWidth="1"/>
    <col min="11512" max="11512" width="16.42578125" style="193" customWidth="1"/>
    <col min="11513" max="11513" width="12.85546875" style="193" customWidth="1"/>
    <col min="11514" max="11514" width="14.7109375" style="193" customWidth="1"/>
    <col min="11515" max="11515" width="16.85546875" style="193" customWidth="1"/>
    <col min="11516" max="11516" width="15.140625" style="193" bestFit="1" customWidth="1"/>
    <col min="11517" max="11518" width="11.42578125" style="193"/>
    <col min="11519" max="11519" width="6.7109375" style="193" bestFit="1" customWidth="1"/>
    <col min="11520" max="11520" width="36.42578125" style="193" customWidth="1"/>
    <col min="11521" max="11521" width="16.42578125" style="193" bestFit="1" customWidth="1"/>
    <col min="11522" max="11522" width="12.42578125" style="193" bestFit="1" customWidth="1"/>
    <col min="11523" max="11523" width="13" style="193" bestFit="1" customWidth="1"/>
    <col min="11524" max="11524" width="15.85546875" style="193" bestFit="1" customWidth="1"/>
    <col min="11525" max="11525" width="15.140625" style="193" bestFit="1" customWidth="1"/>
    <col min="11526" max="11765" width="11.42578125" style="193"/>
    <col min="11766" max="11766" width="7" style="193" customWidth="1"/>
    <col min="11767" max="11767" width="35.7109375" style="193" customWidth="1"/>
    <col min="11768" max="11768" width="16.42578125" style="193" customWidth="1"/>
    <col min="11769" max="11769" width="12.85546875" style="193" customWidth="1"/>
    <col min="11770" max="11770" width="14.7109375" style="193" customWidth="1"/>
    <col min="11771" max="11771" width="16.85546875" style="193" customWidth="1"/>
    <col min="11772" max="11772" width="15.140625" style="193" bestFit="1" customWidth="1"/>
    <col min="11773" max="11774" width="11.42578125" style="193"/>
    <col min="11775" max="11775" width="6.7109375" style="193" bestFit="1" customWidth="1"/>
    <col min="11776" max="11776" width="36.42578125" style="193" customWidth="1"/>
    <col min="11777" max="11777" width="16.42578125" style="193" bestFit="1" customWidth="1"/>
    <col min="11778" max="11778" width="12.42578125" style="193" bestFit="1" customWidth="1"/>
    <col min="11779" max="11779" width="13" style="193" bestFit="1" customWidth="1"/>
    <col min="11780" max="11780" width="15.85546875" style="193" bestFit="1" customWidth="1"/>
    <col min="11781" max="11781" width="15.140625" style="193" bestFit="1" customWidth="1"/>
    <col min="11782" max="12021" width="11.42578125" style="193"/>
    <col min="12022" max="12022" width="7" style="193" customWidth="1"/>
    <col min="12023" max="12023" width="35.7109375" style="193" customWidth="1"/>
    <col min="12024" max="12024" width="16.42578125" style="193" customWidth="1"/>
    <col min="12025" max="12025" width="12.85546875" style="193" customWidth="1"/>
    <col min="12026" max="12026" width="14.7109375" style="193" customWidth="1"/>
    <col min="12027" max="12027" width="16.85546875" style="193" customWidth="1"/>
    <col min="12028" max="12028" width="15.140625" style="193" bestFit="1" customWidth="1"/>
    <col min="12029" max="12030" width="11.42578125" style="193"/>
    <col min="12031" max="12031" width="6.7109375" style="193" bestFit="1" customWidth="1"/>
    <col min="12032" max="12032" width="36.42578125" style="193" customWidth="1"/>
    <col min="12033" max="12033" width="16.42578125" style="193" bestFit="1" customWidth="1"/>
    <col min="12034" max="12034" width="12.42578125" style="193" bestFit="1" customWidth="1"/>
    <col min="12035" max="12035" width="13" style="193" bestFit="1" customWidth="1"/>
    <col min="12036" max="12036" width="15.85546875" style="193" bestFit="1" customWidth="1"/>
    <col min="12037" max="12037" width="15.140625" style="193" bestFit="1" customWidth="1"/>
    <col min="12038" max="12277" width="11.42578125" style="193"/>
    <col min="12278" max="12278" width="7" style="193" customWidth="1"/>
    <col min="12279" max="12279" width="35.7109375" style="193" customWidth="1"/>
    <col min="12280" max="12280" width="16.42578125" style="193" customWidth="1"/>
    <col min="12281" max="12281" width="12.85546875" style="193" customWidth="1"/>
    <col min="12282" max="12282" width="14.7109375" style="193" customWidth="1"/>
    <col min="12283" max="12283" width="16.85546875" style="193" customWidth="1"/>
    <col min="12284" max="12284" width="15.140625" style="193" bestFit="1" customWidth="1"/>
    <col min="12285" max="12286" width="11.42578125" style="193"/>
    <col min="12287" max="12287" width="6.7109375" style="193" bestFit="1" customWidth="1"/>
    <col min="12288" max="12288" width="36.42578125" style="193" customWidth="1"/>
    <col min="12289" max="12289" width="16.42578125" style="193" bestFit="1" customWidth="1"/>
    <col min="12290" max="12290" width="12.42578125" style="193" bestFit="1" customWidth="1"/>
    <col min="12291" max="12291" width="13" style="193" bestFit="1" customWidth="1"/>
    <col min="12292" max="12292" width="15.85546875" style="193" bestFit="1" customWidth="1"/>
    <col min="12293" max="12293" width="15.140625" style="193" bestFit="1" customWidth="1"/>
    <col min="12294" max="12533" width="11.42578125" style="193"/>
    <col min="12534" max="12534" width="7" style="193" customWidth="1"/>
    <col min="12535" max="12535" width="35.7109375" style="193" customWidth="1"/>
    <col min="12536" max="12536" width="16.42578125" style="193" customWidth="1"/>
    <col min="12537" max="12537" width="12.85546875" style="193" customWidth="1"/>
    <col min="12538" max="12538" width="14.7109375" style="193" customWidth="1"/>
    <col min="12539" max="12539" width="16.85546875" style="193" customWidth="1"/>
    <col min="12540" max="12540" width="15.140625" style="193" bestFit="1" customWidth="1"/>
    <col min="12541" max="12542" width="11.42578125" style="193"/>
    <col min="12543" max="12543" width="6.7109375" style="193" bestFit="1" customWidth="1"/>
    <col min="12544" max="12544" width="36.42578125" style="193" customWidth="1"/>
    <col min="12545" max="12545" width="16.42578125" style="193" bestFit="1" customWidth="1"/>
    <col min="12546" max="12546" width="12.42578125" style="193" bestFit="1" customWidth="1"/>
    <col min="12547" max="12547" width="13" style="193" bestFit="1" customWidth="1"/>
    <col min="12548" max="12548" width="15.85546875" style="193" bestFit="1" customWidth="1"/>
    <col min="12549" max="12549" width="15.140625" style="193" bestFit="1" customWidth="1"/>
    <col min="12550" max="12789" width="11.42578125" style="193"/>
    <col min="12790" max="12790" width="7" style="193" customWidth="1"/>
    <col min="12791" max="12791" width="35.7109375" style="193" customWidth="1"/>
    <col min="12792" max="12792" width="16.42578125" style="193" customWidth="1"/>
    <col min="12793" max="12793" width="12.85546875" style="193" customWidth="1"/>
    <col min="12794" max="12794" width="14.7109375" style="193" customWidth="1"/>
    <col min="12795" max="12795" width="16.85546875" style="193" customWidth="1"/>
    <col min="12796" max="12796" width="15.140625" style="193" bestFit="1" customWidth="1"/>
    <col min="12797" max="12798" width="11.42578125" style="193"/>
    <col min="12799" max="12799" width="6.7109375" style="193" bestFit="1" customWidth="1"/>
    <col min="12800" max="12800" width="36.42578125" style="193" customWidth="1"/>
    <col min="12801" max="12801" width="16.42578125" style="193" bestFit="1" customWidth="1"/>
    <col min="12802" max="12802" width="12.42578125" style="193" bestFit="1" customWidth="1"/>
    <col min="12803" max="12803" width="13" style="193" bestFit="1" customWidth="1"/>
    <col min="12804" max="12804" width="15.85546875" style="193" bestFit="1" customWidth="1"/>
    <col min="12805" max="12805" width="15.140625" style="193" bestFit="1" customWidth="1"/>
    <col min="12806" max="13045" width="11.42578125" style="193"/>
    <col min="13046" max="13046" width="7" style="193" customWidth="1"/>
    <col min="13047" max="13047" width="35.7109375" style="193" customWidth="1"/>
    <col min="13048" max="13048" width="16.42578125" style="193" customWidth="1"/>
    <col min="13049" max="13049" width="12.85546875" style="193" customWidth="1"/>
    <col min="13050" max="13050" width="14.7109375" style="193" customWidth="1"/>
    <col min="13051" max="13051" width="16.85546875" style="193" customWidth="1"/>
    <col min="13052" max="13052" width="15.140625" style="193" bestFit="1" customWidth="1"/>
    <col min="13053" max="13054" width="11.42578125" style="193"/>
    <col min="13055" max="13055" width="6.7109375" style="193" bestFit="1" customWidth="1"/>
    <col min="13056" max="13056" width="36.42578125" style="193" customWidth="1"/>
    <col min="13057" max="13057" width="16.42578125" style="193" bestFit="1" customWidth="1"/>
    <col min="13058" max="13058" width="12.42578125" style="193" bestFit="1" customWidth="1"/>
    <col min="13059" max="13059" width="13" style="193" bestFit="1" customWidth="1"/>
    <col min="13060" max="13060" width="15.85546875" style="193" bestFit="1" customWidth="1"/>
    <col min="13061" max="13061" width="15.140625" style="193" bestFit="1" customWidth="1"/>
    <col min="13062" max="13301" width="11.42578125" style="193"/>
    <col min="13302" max="13302" width="7" style="193" customWidth="1"/>
    <col min="13303" max="13303" width="35.7109375" style="193" customWidth="1"/>
    <col min="13304" max="13304" width="16.42578125" style="193" customWidth="1"/>
    <col min="13305" max="13305" width="12.85546875" style="193" customWidth="1"/>
    <col min="13306" max="13306" width="14.7109375" style="193" customWidth="1"/>
    <col min="13307" max="13307" width="16.85546875" style="193" customWidth="1"/>
    <col min="13308" max="13308" width="15.140625" style="193" bestFit="1" customWidth="1"/>
    <col min="13309" max="13310" width="11.42578125" style="193"/>
    <col min="13311" max="13311" width="6.7109375" style="193" bestFit="1" customWidth="1"/>
    <col min="13312" max="13312" width="36.42578125" style="193" customWidth="1"/>
    <col min="13313" max="13313" width="16.42578125" style="193" bestFit="1" customWidth="1"/>
    <col min="13314" max="13314" width="12.42578125" style="193" bestFit="1" customWidth="1"/>
    <col min="13315" max="13315" width="13" style="193" bestFit="1" customWidth="1"/>
    <col min="13316" max="13316" width="15.85546875" style="193" bestFit="1" customWidth="1"/>
    <col min="13317" max="13317" width="15.140625" style="193" bestFit="1" customWidth="1"/>
    <col min="13318" max="13557" width="11.42578125" style="193"/>
    <col min="13558" max="13558" width="7" style="193" customWidth="1"/>
    <col min="13559" max="13559" width="35.7109375" style="193" customWidth="1"/>
    <col min="13560" max="13560" width="16.42578125" style="193" customWidth="1"/>
    <col min="13561" max="13561" width="12.85546875" style="193" customWidth="1"/>
    <col min="13562" max="13562" width="14.7109375" style="193" customWidth="1"/>
    <col min="13563" max="13563" width="16.85546875" style="193" customWidth="1"/>
    <col min="13564" max="13564" width="15.140625" style="193" bestFit="1" customWidth="1"/>
    <col min="13565" max="13566" width="11.42578125" style="193"/>
    <col min="13567" max="13567" width="6.7109375" style="193" bestFit="1" customWidth="1"/>
    <col min="13568" max="13568" width="36.42578125" style="193" customWidth="1"/>
    <col min="13569" max="13569" width="16.42578125" style="193" bestFit="1" customWidth="1"/>
    <col min="13570" max="13570" width="12.42578125" style="193" bestFit="1" customWidth="1"/>
    <col min="13571" max="13571" width="13" style="193" bestFit="1" customWidth="1"/>
    <col min="13572" max="13572" width="15.85546875" style="193" bestFit="1" customWidth="1"/>
    <col min="13573" max="13573" width="15.140625" style="193" bestFit="1" customWidth="1"/>
    <col min="13574" max="13813" width="11.42578125" style="193"/>
    <col min="13814" max="13814" width="7" style="193" customWidth="1"/>
    <col min="13815" max="13815" width="35.7109375" style="193" customWidth="1"/>
    <col min="13816" max="13816" width="16.42578125" style="193" customWidth="1"/>
    <col min="13817" max="13817" width="12.85546875" style="193" customWidth="1"/>
    <col min="13818" max="13818" width="14.7109375" style="193" customWidth="1"/>
    <col min="13819" max="13819" width="16.85546875" style="193" customWidth="1"/>
    <col min="13820" max="13820" width="15.140625" style="193" bestFit="1" customWidth="1"/>
    <col min="13821" max="13822" width="11.42578125" style="193"/>
    <col min="13823" max="13823" width="6.7109375" style="193" bestFit="1" customWidth="1"/>
    <col min="13824" max="13824" width="36.42578125" style="193" customWidth="1"/>
    <col min="13825" max="13825" width="16.42578125" style="193" bestFit="1" customWidth="1"/>
    <col min="13826" max="13826" width="12.42578125" style="193" bestFit="1" customWidth="1"/>
    <col min="13827" max="13827" width="13" style="193" bestFit="1" customWidth="1"/>
    <col min="13828" max="13828" width="15.85546875" style="193" bestFit="1" customWidth="1"/>
    <col min="13829" max="13829" width="15.140625" style="193" bestFit="1" customWidth="1"/>
    <col min="13830" max="14069" width="11.42578125" style="193"/>
    <col min="14070" max="14070" width="7" style="193" customWidth="1"/>
    <col min="14071" max="14071" width="35.7109375" style="193" customWidth="1"/>
    <col min="14072" max="14072" width="16.42578125" style="193" customWidth="1"/>
    <col min="14073" max="14073" width="12.85546875" style="193" customWidth="1"/>
    <col min="14074" max="14074" width="14.7109375" style="193" customWidth="1"/>
    <col min="14075" max="14075" width="16.85546875" style="193" customWidth="1"/>
    <col min="14076" max="14076" width="15.140625" style="193" bestFit="1" customWidth="1"/>
    <col min="14077" max="14078" width="11.42578125" style="193"/>
    <col min="14079" max="14079" width="6.7109375" style="193" bestFit="1" customWidth="1"/>
    <col min="14080" max="14080" width="36.42578125" style="193" customWidth="1"/>
    <col min="14081" max="14081" width="16.42578125" style="193" bestFit="1" customWidth="1"/>
    <col min="14082" max="14082" width="12.42578125" style="193" bestFit="1" customWidth="1"/>
    <col min="14083" max="14083" width="13" style="193" bestFit="1" customWidth="1"/>
    <col min="14084" max="14084" width="15.85546875" style="193" bestFit="1" customWidth="1"/>
    <col min="14085" max="14085" width="15.140625" style="193" bestFit="1" customWidth="1"/>
    <col min="14086" max="14325" width="11.42578125" style="193"/>
    <col min="14326" max="14326" width="7" style="193" customWidth="1"/>
    <col min="14327" max="14327" width="35.7109375" style="193" customWidth="1"/>
    <col min="14328" max="14328" width="16.42578125" style="193" customWidth="1"/>
    <col min="14329" max="14329" width="12.85546875" style="193" customWidth="1"/>
    <col min="14330" max="14330" width="14.7109375" style="193" customWidth="1"/>
    <col min="14331" max="14331" width="16.85546875" style="193" customWidth="1"/>
    <col min="14332" max="14332" width="15.140625" style="193" bestFit="1" customWidth="1"/>
    <col min="14333" max="14334" width="11.42578125" style="193"/>
    <col min="14335" max="14335" width="6.7109375" style="193" bestFit="1" customWidth="1"/>
    <col min="14336" max="14336" width="36.42578125" style="193" customWidth="1"/>
    <col min="14337" max="14337" width="16.42578125" style="193" bestFit="1" customWidth="1"/>
    <col min="14338" max="14338" width="12.42578125" style="193" bestFit="1" customWidth="1"/>
    <col min="14339" max="14339" width="13" style="193" bestFit="1" customWidth="1"/>
    <col min="14340" max="14340" width="15.85546875" style="193" bestFit="1" customWidth="1"/>
    <col min="14341" max="14341" width="15.140625" style="193" bestFit="1" customWidth="1"/>
    <col min="14342" max="14581" width="11.42578125" style="193"/>
    <col min="14582" max="14582" width="7" style="193" customWidth="1"/>
    <col min="14583" max="14583" width="35.7109375" style="193" customWidth="1"/>
    <col min="14584" max="14584" width="16.42578125" style="193" customWidth="1"/>
    <col min="14585" max="14585" width="12.85546875" style="193" customWidth="1"/>
    <col min="14586" max="14586" width="14.7109375" style="193" customWidth="1"/>
    <col min="14587" max="14587" width="16.85546875" style="193" customWidth="1"/>
    <col min="14588" max="14588" width="15.140625" style="193" bestFit="1" customWidth="1"/>
    <col min="14589" max="14590" width="11.42578125" style="193"/>
    <col min="14591" max="14591" width="6.7109375" style="193" bestFit="1" customWidth="1"/>
    <col min="14592" max="14592" width="36.42578125" style="193" customWidth="1"/>
    <col min="14593" max="14593" width="16.42578125" style="193" bestFit="1" customWidth="1"/>
    <col min="14594" max="14594" width="12.42578125" style="193" bestFit="1" customWidth="1"/>
    <col min="14595" max="14595" width="13" style="193" bestFit="1" customWidth="1"/>
    <col min="14596" max="14596" width="15.85546875" style="193" bestFit="1" customWidth="1"/>
    <col min="14597" max="14597" width="15.140625" style="193" bestFit="1" customWidth="1"/>
    <col min="14598" max="14837" width="11.42578125" style="193"/>
    <col min="14838" max="14838" width="7" style="193" customWidth="1"/>
    <col min="14839" max="14839" width="35.7109375" style="193" customWidth="1"/>
    <col min="14840" max="14840" width="16.42578125" style="193" customWidth="1"/>
    <col min="14841" max="14841" width="12.85546875" style="193" customWidth="1"/>
    <col min="14842" max="14842" width="14.7109375" style="193" customWidth="1"/>
    <col min="14843" max="14843" width="16.85546875" style="193" customWidth="1"/>
    <col min="14844" max="14844" width="15.140625" style="193" bestFit="1" customWidth="1"/>
    <col min="14845" max="14846" width="11.42578125" style="193"/>
    <col min="14847" max="14847" width="6.7109375" style="193" bestFit="1" customWidth="1"/>
    <col min="14848" max="14848" width="36.42578125" style="193" customWidth="1"/>
    <col min="14849" max="14849" width="16.42578125" style="193" bestFit="1" customWidth="1"/>
    <col min="14850" max="14850" width="12.42578125" style="193" bestFit="1" customWidth="1"/>
    <col min="14851" max="14851" width="13" style="193" bestFit="1" customWidth="1"/>
    <col min="14852" max="14852" width="15.85546875" style="193" bestFit="1" customWidth="1"/>
    <col min="14853" max="14853" width="15.140625" style="193" bestFit="1" customWidth="1"/>
    <col min="14854" max="15093" width="11.42578125" style="193"/>
    <col min="15094" max="15094" width="7" style="193" customWidth="1"/>
    <col min="15095" max="15095" width="35.7109375" style="193" customWidth="1"/>
    <col min="15096" max="15096" width="16.42578125" style="193" customWidth="1"/>
    <col min="15097" max="15097" width="12.85546875" style="193" customWidth="1"/>
    <col min="15098" max="15098" width="14.7109375" style="193" customWidth="1"/>
    <col min="15099" max="15099" width="16.85546875" style="193" customWidth="1"/>
    <col min="15100" max="15100" width="15.140625" style="193" bestFit="1" customWidth="1"/>
    <col min="15101" max="15102" width="11.42578125" style="193"/>
    <col min="15103" max="15103" width="6.7109375" style="193" bestFit="1" customWidth="1"/>
    <col min="15104" max="15104" width="36.42578125" style="193" customWidth="1"/>
    <col min="15105" max="15105" width="16.42578125" style="193" bestFit="1" customWidth="1"/>
    <col min="15106" max="15106" width="12.42578125" style="193" bestFit="1" customWidth="1"/>
    <col min="15107" max="15107" width="13" style="193" bestFit="1" customWidth="1"/>
    <col min="15108" max="15108" width="15.85546875" style="193" bestFit="1" customWidth="1"/>
    <col min="15109" max="15109" width="15.140625" style="193" bestFit="1" customWidth="1"/>
    <col min="15110" max="15349" width="11.42578125" style="193"/>
    <col min="15350" max="15350" width="7" style="193" customWidth="1"/>
    <col min="15351" max="15351" width="35.7109375" style="193" customWidth="1"/>
    <col min="15352" max="15352" width="16.42578125" style="193" customWidth="1"/>
    <col min="15353" max="15353" width="12.85546875" style="193" customWidth="1"/>
    <col min="15354" max="15354" width="14.7109375" style="193" customWidth="1"/>
    <col min="15355" max="15355" width="16.85546875" style="193" customWidth="1"/>
    <col min="15356" max="15356" width="15.140625" style="193" bestFit="1" customWidth="1"/>
    <col min="15357" max="15358" width="11.42578125" style="193"/>
    <col min="15359" max="15359" width="6.7109375" style="193" bestFit="1" customWidth="1"/>
    <col min="15360" max="15360" width="36.42578125" style="193" customWidth="1"/>
    <col min="15361" max="15361" width="16.42578125" style="193" bestFit="1" customWidth="1"/>
    <col min="15362" max="15362" width="12.42578125" style="193" bestFit="1" customWidth="1"/>
    <col min="15363" max="15363" width="13" style="193" bestFit="1" customWidth="1"/>
    <col min="15364" max="15364" width="15.85546875" style="193" bestFit="1" customWidth="1"/>
    <col min="15365" max="15365" width="15.140625" style="193" bestFit="1" customWidth="1"/>
    <col min="15366" max="15605" width="11.42578125" style="193"/>
    <col min="15606" max="15606" width="7" style="193" customWidth="1"/>
    <col min="15607" max="15607" width="35.7109375" style="193" customWidth="1"/>
    <col min="15608" max="15608" width="16.42578125" style="193" customWidth="1"/>
    <col min="15609" max="15609" width="12.85546875" style="193" customWidth="1"/>
    <col min="15610" max="15610" width="14.7109375" style="193" customWidth="1"/>
    <col min="15611" max="15611" width="16.85546875" style="193" customWidth="1"/>
    <col min="15612" max="15612" width="15.140625" style="193" bestFit="1" customWidth="1"/>
    <col min="15613" max="15614" width="11.42578125" style="193"/>
    <col min="15615" max="15615" width="6.7109375" style="193" bestFit="1" customWidth="1"/>
    <col min="15616" max="15616" width="36.42578125" style="193" customWidth="1"/>
    <col min="15617" max="15617" width="16.42578125" style="193" bestFit="1" customWidth="1"/>
    <col min="15618" max="15618" width="12.42578125" style="193" bestFit="1" customWidth="1"/>
    <col min="15619" max="15619" width="13" style="193" bestFit="1" customWidth="1"/>
    <col min="15620" max="15620" width="15.85546875" style="193" bestFit="1" customWidth="1"/>
    <col min="15621" max="15621" width="15.140625" style="193" bestFit="1" customWidth="1"/>
    <col min="15622" max="15861" width="11.42578125" style="193"/>
    <col min="15862" max="15862" width="7" style="193" customWidth="1"/>
    <col min="15863" max="15863" width="35.7109375" style="193" customWidth="1"/>
    <col min="15864" max="15864" width="16.42578125" style="193" customWidth="1"/>
    <col min="15865" max="15865" width="12.85546875" style="193" customWidth="1"/>
    <col min="15866" max="15866" width="14.7109375" style="193" customWidth="1"/>
    <col min="15867" max="15867" width="16.85546875" style="193" customWidth="1"/>
    <col min="15868" max="15868" width="15.140625" style="193" bestFit="1" customWidth="1"/>
    <col min="15869" max="15870" width="11.42578125" style="193"/>
    <col min="15871" max="15871" width="6.7109375" style="193" bestFit="1" customWidth="1"/>
    <col min="15872" max="15872" width="36.42578125" style="193" customWidth="1"/>
    <col min="15873" max="15873" width="16.42578125" style="193" bestFit="1" customWidth="1"/>
    <col min="15874" max="15874" width="12.42578125" style="193" bestFit="1" customWidth="1"/>
    <col min="15875" max="15875" width="13" style="193" bestFit="1" customWidth="1"/>
    <col min="15876" max="15876" width="15.85546875" style="193" bestFit="1" customWidth="1"/>
    <col min="15877" max="15877" width="15.140625" style="193" bestFit="1" customWidth="1"/>
    <col min="15878" max="16117" width="11.42578125" style="193"/>
    <col min="16118" max="16118" width="7" style="193" customWidth="1"/>
    <col min="16119" max="16119" width="35.7109375" style="193" customWidth="1"/>
    <col min="16120" max="16120" width="16.42578125" style="193" customWidth="1"/>
    <col min="16121" max="16121" width="12.85546875" style="193" customWidth="1"/>
    <col min="16122" max="16122" width="14.7109375" style="193" customWidth="1"/>
    <col min="16123" max="16123" width="16.85546875" style="193" customWidth="1"/>
    <col min="16124" max="16124" width="15.140625" style="193" bestFit="1" customWidth="1"/>
    <col min="16125" max="16126" width="11.42578125" style="193"/>
    <col min="16127" max="16127" width="6.7109375" style="193" bestFit="1" customWidth="1"/>
    <col min="16128" max="16128" width="36.42578125" style="193" customWidth="1"/>
    <col min="16129" max="16129" width="16.42578125" style="193" bestFit="1" customWidth="1"/>
    <col min="16130" max="16130" width="12.42578125" style="193" bestFit="1" customWidth="1"/>
    <col min="16131" max="16131" width="13" style="193" bestFit="1" customWidth="1"/>
    <col min="16132" max="16132" width="15.85546875" style="193" bestFit="1" customWidth="1"/>
    <col min="16133" max="16133" width="15.140625" style="193" bestFit="1" customWidth="1"/>
    <col min="16134" max="16384" width="11.42578125" style="193"/>
  </cols>
  <sheetData>
    <row r="1" spans="1:8" s="59" customFormat="1" ht="13.5" thickBot="1" x14ac:dyDescent="0.25">
      <c r="H1" s="232"/>
    </row>
    <row r="2" spans="1:8" s="59" customFormat="1" x14ac:dyDescent="0.2">
      <c r="A2" s="60" t="s">
        <v>12</v>
      </c>
      <c r="B2" s="61"/>
      <c r="C2" s="61"/>
      <c r="D2" s="61"/>
      <c r="E2" s="61"/>
      <c r="F2" s="62"/>
      <c r="H2" s="232"/>
    </row>
    <row r="3" spans="1:8" s="59" customFormat="1" ht="18" x14ac:dyDescent="0.2">
      <c r="A3" s="63" t="s">
        <v>13</v>
      </c>
      <c r="B3" s="64"/>
      <c r="C3" s="64"/>
      <c r="D3" s="64"/>
      <c r="E3" s="64"/>
      <c r="F3" s="65"/>
      <c r="H3" s="232"/>
    </row>
    <row r="4" spans="1:8" s="59" customFormat="1" x14ac:dyDescent="0.2">
      <c r="A4" s="67" t="s">
        <v>150</v>
      </c>
      <c r="B4" s="64"/>
      <c r="C4" s="64"/>
      <c r="D4" s="64"/>
      <c r="E4" s="64"/>
      <c r="F4" s="65"/>
      <c r="H4" s="232"/>
    </row>
    <row r="5" spans="1:8" s="59" customFormat="1" ht="15" x14ac:dyDescent="0.2">
      <c r="A5" s="66" t="s">
        <v>143</v>
      </c>
      <c r="B5" s="64"/>
      <c r="C5" s="64"/>
      <c r="D5" s="64"/>
      <c r="E5" s="64"/>
      <c r="F5" s="65"/>
      <c r="H5" s="232"/>
    </row>
    <row r="6" spans="1:8" s="59" customFormat="1" ht="60.75" customHeight="1" x14ac:dyDescent="0.2">
      <c r="A6" s="331" t="s">
        <v>144</v>
      </c>
      <c r="B6" s="332"/>
      <c r="C6" s="332"/>
      <c r="D6" s="332"/>
      <c r="E6" s="332"/>
      <c r="F6" s="333"/>
      <c r="H6" s="232"/>
    </row>
    <row r="7" spans="1:8" s="59" customFormat="1" ht="13.5" thickBot="1" x14ac:dyDescent="0.25">
      <c r="A7" s="192" t="s">
        <v>91</v>
      </c>
      <c r="B7" s="64"/>
      <c r="C7" s="64"/>
      <c r="D7" s="64"/>
      <c r="E7" s="64"/>
      <c r="F7" s="65"/>
      <c r="H7" s="232"/>
    </row>
    <row r="8" spans="1:8" s="59" customFormat="1" ht="13.5" thickBot="1" x14ac:dyDescent="0.25">
      <c r="A8" s="68"/>
      <c r="B8" s="69"/>
      <c r="C8" s="69"/>
      <c r="D8" s="69"/>
      <c r="E8" s="349" t="s">
        <v>146</v>
      </c>
      <c r="F8" s="350"/>
      <c r="G8" s="261"/>
      <c r="H8" s="232"/>
    </row>
    <row r="9" spans="1:8" s="59" customFormat="1" x14ac:dyDescent="0.2">
      <c r="A9" s="70"/>
      <c r="B9" s="71"/>
      <c r="C9" s="71"/>
      <c r="D9" s="71"/>
      <c r="E9" s="71"/>
      <c r="F9" s="72"/>
      <c r="H9" s="232"/>
    </row>
    <row r="10" spans="1:8" s="59" customFormat="1" ht="15.75" x14ac:dyDescent="0.2">
      <c r="A10" s="73" t="s">
        <v>14</v>
      </c>
      <c r="B10" s="74"/>
      <c r="C10" s="74"/>
      <c r="D10" s="74"/>
      <c r="E10" s="74"/>
      <c r="F10" s="75"/>
      <c r="H10" s="232"/>
    </row>
    <row r="11" spans="1:8" s="59" customFormat="1" ht="15.75" thickBot="1" x14ac:dyDescent="0.3">
      <c r="A11" s="351" t="s">
        <v>15</v>
      </c>
      <c r="B11" s="352"/>
      <c r="C11" s="352"/>
      <c r="D11" s="352"/>
      <c r="E11" s="352"/>
      <c r="F11" s="353"/>
      <c r="H11" s="232"/>
    </row>
    <row r="12" spans="1:8" s="59" customFormat="1" x14ac:dyDescent="0.2">
      <c r="A12" s="76"/>
      <c r="B12" s="77"/>
      <c r="C12" s="34" t="s">
        <v>16</v>
      </c>
      <c r="D12" s="34" t="s">
        <v>17</v>
      </c>
      <c r="E12" s="34" t="s">
        <v>18</v>
      </c>
      <c r="F12" s="36" t="s">
        <v>19</v>
      </c>
      <c r="G12" s="78" t="s">
        <v>20</v>
      </c>
      <c r="H12" s="232"/>
    </row>
    <row r="13" spans="1:8" s="59" customFormat="1" x14ac:dyDescent="0.2">
      <c r="A13" s="37" t="s">
        <v>21</v>
      </c>
      <c r="B13" s="79" t="s">
        <v>22</v>
      </c>
      <c r="C13" s="39" t="s">
        <v>23</v>
      </c>
      <c r="D13" s="39" t="s">
        <v>24</v>
      </c>
      <c r="E13" s="39" t="s">
        <v>25</v>
      </c>
      <c r="F13" s="41" t="s">
        <v>26</v>
      </c>
      <c r="G13" s="78">
        <v>1.06</v>
      </c>
      <c r="H13" s="232"/>
    </row>
    <row r="14" spans="1:8" s="59" customFormat="1" ht="13.5" thickBot="1" x14ac:dyDescent="0.25">
      <c r="A14" s="42" t="s">
        <v>27</v>
      </c>
      <c r="B14" s="80"/>
      <c r="C14" s="45" t="s">
        <v>28</v>
      </c>
      <c r="D14" s="45" t="s">
        <v>29</v>
      </c>
      <c r="E14" s="45" t="s">
        <v>30</v>
      </c>
      <c r="F14" s="81" t="s">
        <v>31</v>
      </c>
      <c r="H14" s="232"/>
    </row>
    <row r="15" spans="1:8" s="59" customFormat="1" x14ac:dyDescent="0.2">
      <c r="A15" s="82"/>
      <c r="B15" s="49" t="s">
        <v>32</v>
      </c>
      <c r="C15" s="7"/>
      <c r="D15" s="7"/>
      <c r="E15" s="8"/>
      <c r="F15" s="9"/>
      <c r="H15" s="232"/>
    </row>
    <row r="16" spans="1:8" s="59" customFormat="1" x14ac:dyDescent="0.2">
      <c r="A16" s="83"/>
      <c r="B16" s="84" t="s">
        <v>33</v>
      </c>
      <c r="C16" s="10"/>
      <c r="D16" s="10"/>
      <c r="E16" s="11"/>
      <c r="F16" s="12"/>
      <c r="H16" s="232"/>
    </row>
    <row r="17" spans="1:8" s="59" customFormat="1" x14ac:dyDescent="0.2">
      <c r="A17" s="85">
        <v>1</v>
      </c>
      <c r="B17" s="86" t="s">
        <v>34</v>
      </c>
      <c r="C17" s="87">
        <f>ROUNDUP((4800000*G13)*G13*G13*G13*G13,0)</f>
        <v>6423483</v>
      </c>
      <c r="D17" s="87">
        <f>ROUNDUP((490000*G13)*G13*G13*G13*G13,0)</f>
        <v>655731</v>
      </c>
      <c r="E17" s="88">
        <v>43</v>
      </c>
      <c r="F17" s="14">
        <f>+A17*(C17+D17)*E17</f>
        <v>304406202</v>
      </c>
      <c r="H17" s="232"/>
    </row>
    <row r="18" spans="1:8" s="59" customFormat="1" x14ac:dyDescent="0.2">
      <c r="A18" s="248">
        <v>1</v>
      </c>
      <c r="B18" s="249" t="s">
        <v>128</v>
      </c>
      <c r="C18" s="250">
        <f>ROUNDUP((3400000*G13)*G13*G13*G13*G13,0)</f>
        <v>4549967</v>
      </c>
      <c r="D18" s="250">
        <f>ROUNDUP((490000*G13)*G13*G13*G13*G13,0)</f>
        <v>655731</v>
      </c>
      <c r="E18" s="251">
        <v>43</v>
      </c>
      <c r="F18" s="252">
        <f>+A18*(C18+D18)*E18</f>
        <v>223845014</v>
      </c>
      <c r="H18" s="232"/>
    </row>
    <row r="19" spans="1:8" s="59" customFormat="1" x14ac:dyDescent="0.2">
      <c r="A19" s="253">
        <v>1</v>
      </c>
      <c r="B19" s="254" t="s">
        <v>129</v>
      </c>
      <c r="C19" s="255">
        <v>2810273</v>
      </c>
      <c r="D19" s="255">
        <f>+D18</f>
        <v>655731</v>
      </c>
      <c r="E19" s="256">
        <v>43</v>
      </c>
      <c r="F19" s="257">
        <f>+A19*(C19+D19)*E19</f>
        <v>149038172</v>
      </c>
      <c r="H19" s="232"/>
    </row>
    <row r="20" spans="1:8" s="59" customFormat="1" x14ac:dyDescent="0.2">
      <c r="A20" s="94"/>
      <c r="B20" s="95" t="s">
        <v>35</v>
      </c>
      <c r="C20" s="96"/>
      <c r="D20" s="96"/>
      <c r="E20" s="97"/>
      <c r="F20" s="13"/>
      <c r="H20" s="232"/>
    </row>
    <row r="21" spans="1:8" s="59" customFormat="1" x14ac:dyDescent="0.2">
      <c r="A21" s="234">
        <v>1</v>
      </c>
      <c r="B21" s="235" t="s">
        <v>125</v>
      </c>
      <c r="C21" s="236">
        <f>ROUND(1600000*G13*G13*G13,0)</f>
        <v>1905626</v>
      </c>
      <c r="D21" s="236"/>
      <c r="E21" s="237">
        <v>43</v>
      </c>
      <c r="F21" s="238">
        <f>+A21*(C21+D21)*E21</f>
        <v>81941918</v>
      </c>
      <c r="H21" s="232"/>
    </row>
    <row r="22" spans="1:8" s="59" customFormat="1" x14ac:dyDescent="0.2">
      <c r="A22" s="98">
        <v>1</v>
      </c>
      <c r="B22" s="99" t="s">
        <v>88</v>
      </c>
      <c r="C22" s="87">
        <f>ROUNDUP((1100000*G13)*G13*G13*G13*G13,0)</f>
        <v>1472049</v>
      </c>
      <c r="D22" s="100"/>
      <c r="E22" s="101">
        <v>43</v>
      </c>
      <c r="F22" s="14">
        <f>+A22*(C22+D22)*E22</f>
        <v>63298107</v>
      </c>
      <c r="H22" s="232"/>
    </row>
    <row r="23" spans="1:8" s="59" customFormat="1" x14ac:dyDescent="0.2">
      <c r="A23" s="253">
        <v>2</v>
      </c>
      <c r="B23" s="102" t="s">
        <v>36</v>
      </c>
      <c r="C23" s="91">
        <f>ROUNDUP((1300000*G13)*G13*G13*G13*G13,0)</f>
        <v>1739694</v>
      </c>
      <c r="D23" s="103"/>
      <c r="E23" s="92">
        <v>43</v>
      </c>
      <c r="F23" s="93">
        <f>+A23*(C23+D23)*E23</f>
        <v>149613684</v>
      </c>
      <c r="H23" s="232"/>
    </row>
    <row r="24" spans="1:8" s="59" customFormat="1" x14ac:dyDescent="0.2">
      <c r="A24" s="104"/>
      <c r="B24" s="105" t="s">
        <v>37</v>
      </c>
      <c r="C24" s="106"/>
      <c r="D24" s="107"/>
      <c r="E24" s="108"/>
      <c r="F24" s="109">
        <f>SUM(F17:F23)</f>
        <v>972143097</v>
      </c>
      <c r="H24" s="232"/>
    </row>
    <row r="25" spans="1:8" s="59" customFormat="1" ht="13.5" thickBot="1" x14ac:dyDescent="0.25">
      <c r="A25" s="110"/>
      <c r="B25" s="111" t="s">
        <v>38</v>
      </c>
      <c r="C25" s="112"/>
      <c r="D25" s="112"/>
      <c r="E25" s="112"/>
      <c r="F25" s="113">
        <v>2.4</v>
      </c>
      <c r="H25" s="232"/>
    </row>
    <row r="26" spans="1:8" s="59" customFormat="1" ht="13.5" thickBot="1" x14ac:dyDescent="0.25">
      <c r="A26" s="114"/>
      <c r="B26" s="115" t="s">
        <v>39</v>
      </c>
      <c r="C26" s="116"/>
      <c r="D26" s="116"/>
      <c r="E26" s="116"/>
      <c r="F26" s="117">
        <f>ROUNDUP(F24*F25,0)</f>
        <v>2333143433</v>
      </c>
      <c r="G26" s="258"/>
      <c r="H26" s="232"/>
    </row>
    <row r="27" spans="1:8" s="59" customFormat="1" ht="13.5" thickBot="1" x14ac:dyDescent="0.25">
      <c r="A27" s="118"/>
      <c r="H27" s="232"/>
    </row>
    <row r="28" spans="1:8" s="59" customFormat="1" x14ac:dyDescent="0.2">
      <c r="A28" s="31"/>
      <c r="B28" s="32"/>
      <c r="C28" s="33"/>
      <c r="D28" s="34" t="s">
        <v>40</v>
      </c>
      <c r="E28" s="35" t="s">
        <v>41</v>
      </c>
      <c r="F28" s="36" t="s">
        <v>19</v>
      </c>
      <c r="H28" s="232"/>
    </row>
    <row r="29" spans="1:8" s="59" customFormat="1" x14ac:dyDescent="0.2">
      <c r="A29" s="37" t="s">
        <v>21</v>
      </c>
      <c r="B29" s="38" t="s">
        <v>42</v>
      </c>
      <c r="C29" s="39" t="s">
        <v>43</v>
      </c>
      <c r="D29" s="39" t="s">
        <v>44</v>
      </c>
      <c r="E29" s="40" t="s">
        <v>45</v>
      </c>
      <c r="F29" s="41" t="s">
        <v>26</v>
      </c>
      <c r="H29" s="232"/>
    </row>
    <row r="30" spans="1:8" s="59" customFormat="1" ht="13.5" thickBot="1" x14ac:dyDescent="0.25">
      <c r="A30" s="42" t="s">
        <v>46</v>
      </c>
      <c r="B30" s="43"/>
      <c r="C30" s="44"/>
      <c r="D30" s="45" t="s">
        <v>47</v>
      </c>
      <c r="E30" s="46" t="s">
        <v>48</v>
      </c>
      <c r="F30" s="47" t="s">
        <v>49</v>
      </c>
      <c r="H30" s="232"/>
    </row>
    <row r="31" spans="1:8" s="59" customFormat="1" x14ac:dyDescent="0.2">
      <c r="A31" s="48"/>
      <c r="B31" s="49" t="s">
        <v>50</v>
      </c>
      <c r="C31" s="50"/>
      <c r="D31" s="15"/>
      <c r="E31" s="16"/>
      <c r="F31" s="17"/>
      <c r="H31" s="232"/>
    </row>
    <row r="32" spans="1:8" s="59" customFormat="1" x14ac:dyDescent="0.2">
      <c r="A32" s="83"/>
      <c r="B32" s="84" t="s">
        <v>51</v>
      </c>
      <c r="C32" s="119"/>
      <c r="D32" s="120"/>
      <c r="E32" s="121"/>
      <c r="F32" s="18"/>
      <c r="H32" s="232"/>
    </row>
    <row r="33" spans="1:9" s="59" customFormat="1" x14ac:dyDescent="0.2">
      <c r="A33" s="122">
        <v>1</v>
      </c>
      <c r="B33" s="123" t="s">
        <v>34</v>
      </c>
      <c r="C33" s="124" t="s">
        <v>52</v>
      </c>
      <c r="D33" s="19">
        <f>ROUNDUP((290000*G13)*G13*G13*G13*G13,0)</f>
        <v>388086</v>
      </c>
      <c r="E33" s="125">
        <f>10+10+10+10</f>
        <v>40</v>
      </c>
      <c r="F33" s="20">
        <f>+A33*D33*E33</f>
        <v>15523440</v>
      </c>
      <c r="H33" s="232"/>
    </row>
    <row r="34" spans="1:9" s="59" customFormat="1" x14ac:dyDescent="0.2">
      <c r="A34" s="126"/>
      <c r="B34" s="127" t="s">
        <v>53</v>
      </c>
      <c r="C34" s="128"/>
      <c r="D34" s="21"/>
      <c r="E34" s="22"/>
      <c r="F34" s="23"/>
      <c r="H34" s="232"/>
    </row>
    <row r="35" spans="1:9" s="59" customFormat="1" ht="24" x14ac:dyDescent="0.2">
      <c r="A35" s="194">
        <v>2</v>
      </c>
      <c r="B35" s="129" t="s">
        <v>54</v>
      </c>
      <c r="C35" s="130" t="s">
        <v>55</v>
      </c>
      <c r="D35" s="131">
        <f>ROUNDUP((4500000*G13)*G13*G13*G13*G13,0)</f>
        <v>6022016</v>
      </c>
      <c r="E35" s="195">
        <v>43</v>
      </c>
      <c r="F35" s="132">
        <f>+A35*D35*E35</f>
        <v>517893376</v>
      </c>
      <c r="H35" s="232"/>
    </row>
    <row r="36" spans="1:9" s="59" customFormat="1" x14ac:dyDescent="0.2">
      <c r="A36" s="196"/>
      <c r="B36" s="197"/>
      <c r="C36" s="198"/>
      <c r="D36" s="199"/>
      <c r="E36" s="101"/>
      <c r="F36" s="200"/>
      <c r="H36" s="232"/>
    </row>
    <row r="37" spans="1:9" s="59" customFormat="1" x14ac:dyDescent="0.2">
      <c r="A37" s="126"/>
      <c r="B37" s="133" t="s">
        <v>56</v>
      </c>
      <c r="C37" s="128"/>
      <c r="D37" s="21"/>
      <c r="E37" s="22"/>
      <c r="F37" s="23"/>
      <c r="H37" s="232"/>
    </row>
    <row r="38" spans="1:9" s="59" customFormat="1" ht="72" x14ac:dyDescent="0.2">
      <c r="A38" s="279">
        <v>1</v>
      </c>
      <c r="B38" s="165" t="s">
        <v>57</v>
      </c>
      <c r="C38" s="24" t="s">
        <v>92</v>
      </c>
      <c r="D38" s="25">
        <f>28000000+28000000+28000000+16333333</f>
        <v>100333333</v>
      </c>
      <c r="E38" s="139">
        <v>1</v>
      </c>
      <c r="F38" s="26">
        <f t="shared" ref="F38:F45" si="0">+A38*D38*E38</f>
        <v>100333333</v>
      </c>
      <c r="G38" s="27" t="s">
        <v>59</v>
      </c>
      <c r="H38" s="232"/>
      <c r="I38" s="247"/>
    </row>
    <row r="39" spans="1:9" s="59" customFormat="1" ht="24" x14ac:dyDescent="0.2">
      <c r="A39" s="280">
        <v>1</v>
      </c>
      <c r="B39" s="137" t="s">
        <v>60</v>
      </c>
      <c r="C39" s="138" t="s">
        <v>58</v>
      </c>
      <c r="D39" s="28">
        <f>ROUNDUP((1900000*2*G13*G13)*G13*G13*G13*G13,0)+5390373+5390373+5390373</f>
        <v>21561492</v>
      </c>
      <c r="E39" s="139">
        <v>1</v>
      </c>
      <c r="F39" s="29">
        <f t="shared" si="0"/>
        <v>21561492</v>
      </c>
      <c r="H39" s="232"/>
    </row>
    <row r="40" spans="1:9" s="59" customFormat="1" x14ac:dyDescent="0.2">
      <c r="A40" s="140">
        <v>1</v>
      </c>
      <c r="B40" s="141" t="s">
        <v>61</v>
      </c>
      <c r="C40" s="142" t="s">
        <v>62</v>
      </c>
      <c r="D40" s="143">
        <f>ROUNDUP((1200000*G13)*G13*G13*G13*G13,0)</f>
        <v>1605871</v>
      </c>
      <c r="E40" s="151">
        <v>43</v>
      </c>
      <c r="F40" s="144">
        <f t="shared" si="0"/>
        <v>69052453</v>
      </c>
      <c r="H40" s="232"/>
    </row>
    <row r="41" spans="1:9" s="59" customFormat="1" x14ac:dyDescent="0.2">
      <c r="A41" s="140">
        <v>1</v>
      </c>
      <c r="B41" s="141" t="s">
        <v>63</v>
      </c>
      <c r="C41" s="142" t="s">
        <v>62</v>
      </c>
      <c r="D41" s="145">
        <f>ROUNDUP((420000*G13)*G13*G13*G13*G13,0)</f>
        <v>562055</v>
      </c>
      <c r="E41" s="146">
        <v>43</v>
      </c>
      <c r="F41" s="144">
        <f t="shared" si="0"/>
        <v>24168365</v>
      </c>
      <c r="H41" s="232"/>
    </row>
    <row r="42" spans="1:9" s="59" customFormat="1" ht="24" x14ac:dyDescent="0.2">
      <c r="A42" s="136">
        <v>1</v>
      </c>
      <c r="B42" s="141" t="s">
        <v>64</v>
      </c>
      <c r="C42" s="147" t="s">
        <v>62</v>
      </c>
      <c r="D42" s="148">
        <f>ROUNDUP((160000*G13)*G13*G13*G13*G13,0)</f>
        <v>214117</v>
      </c>
      <c r="E42" s="149">
        <v>43</v>
      </c>
      <c r="F42" s="150">
        <f t="shared" si="0"/>
        <v>9207031</v>
      </c>
      <c r="H42" s="232"/>
    </row>
    <row r="43" spans="1:9" s="59" customFormat="1" x14ac:dyDescent="0.2">
      <c r="A43" s="140">
        <v>1</v>
      </c>
      <c r="B43" s="141" t="s">
        <v>65</v>
      </c>
      <c r="C43" s="142" t="s">
        <v>62</v>
      </c>
      <c r="D43" s="143">
        <f>ROUNDUP((330000*G13)*G13*G13*G13*G13,0)</f>
        <v>441615</v>
      </c>
      <c r="E43" s="151">
        <v>43</v>
      </c>
      <c r="F43" s="144">
        <f t="shared" si="0"/>
        <v>18989445</v>
      </c>
      <c r="H43" s="232"/>
    </row>
    <row r="44" spans="1:9" s="59" customFormat="1" x14ac:dyDescent="0.2">
      <c r="A44" s="140">
        <v>1</v>
      </c>
      <c r="B44" s="141" t="s">
        <v>66</v>
      </c>
      <c r="C44" s="142" t="s">
        <v>62</v>
      </c>
      <c r="D44" s="143">
        <f>ROUNDUP((400000*G13)*G13*G13*G13*G13,0)</f>
        <v>535291</v>
      </c>
      <c r="E44" s="151">
        <v>43</v>
      </c>
      <c r="F44" s="144">
        <f t="shared" si="0"/>
        <v>23017513</v>
      </c>
      <c r="H44" s="232"/>
    </row>
    <row r="45" spans="1:9" s="59" customFormat="1" x14ac:dyDescent="0.2">
      <c r="A45" s="152">
        <v>1</v>
      </c>
      <c r="B45" s="153" t="s">
        <v>67</v>
      </c>
      <c r="C45" s="154" t="s">
        <v>62</v>
      </c>
      <c r="D45" s="201">
        <f>ROUNDUP((420000*G13)*G13*G13*G13*G13,0)</f>
        <v>562055</v>
      </c>
      <c r="E45" s="155">
        <v>43</v>
      </c>
      <c r="F45" s="144">
        <f t="shared" si="0"/>
        <v>24168365</v>
      </c>
      <c r="H45" s="232"/>
    </row>
    <row r="46" spans="1:9" s="268" customFormat="1" ht="24" x14ac:dyDescent="0.2">
      <c r="A46" s="262">
        <v>1</v>
      </c>
      <c r="B46" s="263" t="s">
        <v>126</v>
      </c>
      <c r="C46" s="264" t="s">
        <v>62</v>
      </c>
      <c r="D46" s="265">
        <v>0</v>
      </c>
      <c r="E46" s="266">
        <v>43</v>
      </c>
      <c r="F46" s="267">
        <f>+A46*D46*E46</f>
        <v>0</v>
      </c>
      <c r="G46" s="268" t="s">
        <v>145</v>
      </c>
      <c r="H46" s="269"/>
    </row>
    <row r="47" spans="1:9" s="59" customFormat="1" ht="13.5" thickBot="1" x14ac:dyDescent="0.25">
      <c r="A47" s="156"/>
      <c r="B47" s="157" t="s">
        <v>68</v>
      </c>
      <c r="C47" s="158"/>
      <c r="D47" s="158"/>
      <c r="E47" s="158"/>
      <c r="F47" s="159">
        <f>SUM(F33:F46)</f>
        <v>823914813</v>
      </c>
      <c r="H47" s="232"/>
    </row>
    <row r="48" spans="1:9" s="59" customFormat="1" ht="13.5" thickBot="1" x14ac:dyDescent="0.25">
      <c r="A48" s="160"/>
      <c r="B48" s="161"/>
      <c r="C48" s="162"/>
      <c r="D48" s="162"/>
      <c r="E48" s="162"/>
      <c r="F48" s="163"/>
      <c r="H48" s="232"/>
    </row>
    <row r="49" spans="1:9" s="59" customFormat="1" x14ac:dyDescent="0.2">
      <c r="A49" s="31"/>
      <c r="B49" s="32"/>
      <c r="C49" s="33"/>
      <c r="D49" s="34" t="s">
        <v>40</v>
      </c>
      <c r="E49" s="35" t="s">
        <v>41</v>
      </c>
      <c r="F49" s="36" t="s">
        <v>19</v>
      </c>
      <c r="H49" s="232"/>
    </row>
    <row r="50" spans="1:9" s="59" customFormat="1" x14ac:dyDescent="0.2">
      <c r="A50" s="37" t="s">
        <v>21</v>
      </c>
      <c r="B50" s="38" t="s">
        <v>42</v>
      </c>
      <c r="C50" s="39" t="s">
        <v>43</v>
      </c>
      <c r="D50" s="39" t="s">
        <v>44</v>
      </c>
      <c r="E50" s="40" t="s">
        <v>45</v>
      </c>
      <c r="F50" s="41" t="s">
        <v>26</v>
      </c>
      <c r="H50" s="232"/>
    </row>
    <row r="51" spans="1:9" s="59" customFormat="1" ht="13.5" thickBot="1" x14ac:dyDescent="0.25">
      <c r="A51" s="42" t="s">
        <v>69</v>
      </c>
      <c r="B51" s="43"/>
      <c r="C51" s="44"/>
      <c r="D51" s="45" t="s">
        <v>70</v>
      </c>
      <c r="E51" s="46" t="s">
        <v>71</v>
      </c>
      <c r="F51" s="47" t="s">
        <v>72</v>
      </c>
      <c r="H51" s="232"/>
    </row>
    <row r="52" spans="1:9" s="59" customFormat="1" x14ac:dyDescent="0.2">
      <c r="A52" s="164"/>
      <c r="B52" s="49" t="s">
        <v>73</v>
      </c>
      <c r="C52" s="50"/>
      <c r="D52" s="15"/>
      <c r="E52" s="16"/>
      <c r="F52" s="17"/>
      <c r="H52" s="232"/>
    </row>
    <row r="53" spans="1:9" s="59" customFormat="1" ht="60" x14ac:dyDescent="0.2">
      <c r="A53" s="202">
        <v>1</v>
      </c>
      <c r="B53" s="51" t="s">
        <v>139</v>
      </c>
      <c r="C53" s="166" t="s">
        <v>75</v>
      </c>
      <c r="D53" s="52">
        <f>ROUNDUP((5000000*G13)*G13*G13*G13*G13*12/12,0)+8575320+8575313+8575322+5002264</f>
        <v>37419347</v>
      </c>
      <c r="E53" s="169">
        <v>1</v>
      </c>
      <c r="F53" s="167">
        <f>+A53*D53*E53</f>
        <v>37419347</v>
      </c>
      <c r="G53" s="27" t="s">
        <v>59</v>
      </c>
      <c r="H53" s="232"/>
    </row>
    <row r="54" spans="1:9" s="59" customFormat="1" ht="24" x14ac:dyDescent="0.2">
      <c r="A54" s="203">
        <v>1</v>
      </c>
      <c r="B54" s="168" t="s">
        <v>76</v>
      </c>
      <c r="C54" s="138" t="s">
        <v>77</v>
      </c>
      <c r="D54" s="148">
        <f>ROUNDUP((4600000*G13)*G13*G13*G13*G13*12/12,0)+6155838+6155838+3590906</f>
        <v>22058420</v>
      </c>
      <c r="E54" s="169">
        <v>1</v>
      </c>
      <c r="F54" s="29">
        <f>+A54*D54*E54</f>
        <v>22058420</v>
      </c>
      <c r="H54" s="232"/>
      <c r="I54" s="274"/>
    </row>
    <row r="55" spans="1:9" s="59" customFormat="1" x14ac:dyDescent="0.2">
      <c r="A55" s="204">
        <v>1000</v>
      </c>
      <c r="B55" s="171" t="s">
        <v>89</v>
      </c>
      <c r="C55" s="172" t="s">
        <v>78</v>
      </c>
      <c r="D55" s="143">
        <f>ROUNDUP((1300*G13)*G13*G13*G13*G13,0)</f>
        <v>1740</v>
      </c>
      <c r="E55" s="151">
        <f>2+2+2+1</f>
        <v>7</v>
      </c>
      <c r="F55" s="275">
        <f>+A55*D55*E55</f>
        <v>12180000</v>
      </c>
      <c r="H55" s="232"/>
    </row>
    <row r="56" spans="1:9" s="59" customFormat="1" x14ac:dyDescent="0.2">
      <c r="A56" s="170"/>
      <c r="B56" s="173"/>
      <c r="C56" s="174"/>
      <c r="D56" s="91"/>
      <c r="E56" s="155"/>
      <c r="F56" s="175"/>
      <c r="H56" s="232"/>
    </row>
    <row r="57" spans="1:9" s="59" customFormat="1" ht="13.5" thickBot="1" x14ac:dyDescent="0.25">
      <c r="A57" s="205"/>
      <c r="B57" s="53" t="s">
        <v>79</v>
      </c>
      <c r="C57" s="176"/>
      <c r="D57" s="177"/>
      <c r="E57" s="97"/>
      <c r="F57" s="178">
        <f>SUM(F53:F56)</f>
        <v>71657767</v>
      </c>
      <c r="H57" s="232"/>
    </row>
    <row r="58" spans="1:9" s="59" customFormat="1" x14ac:dyDescent="0.2">
      <c r="A58" s="179"/>
      <c r="B58" s="180" t="s">
        <v>80</v>
      </c>
      <c r="C58" s="181"/>
      <c r="D58" s="181"/>
      <c r="E58" s="181"/>
      <c r="F58" s="182">
        <f>+F26+F47+F57</f>
        <v>3228716013</v>
      </c>
      <c r="H58" s="232"/>
    </row>
    <row r="59" spans="1:9" s="268" customFormat="1" x14ac:dyDescent="0.2">
      <c r="A59" s="270"/>
      <c r="B59" s="271" t="s">
        <v>147</v>
      </c>
      <c r="C59" s="272"/>
      <c r="D59" s="272"/>
      <c r="E59" s="272"/>
      <c r="F59" s="273">
        <v>284927887.99999988</v>
      </c>
      <c r="H59" s="269"/>
    </row>
    <row r="60" spans="1:9" s="59" customFormat="1" x14ac:dyDescent="0.2">
      <c r="A60" s="183"/>
      <c r="B60" s="184" t="s">
        <v>149</v>
      </c>
      <c r="C60" s="128"/>
      <c r="D60" s="128"/>
      <c r="E60" s="128"/>
      <c r="F60" s="185">
        <f>+ROUND((F58+F59)*0.19,0)</f>
        <v>667592341</v>
      </c>
      <c r="H60" s="232"/>
    </row>
    <row r="61" spans="1:9" s="59" customFormat="1" ht="13.5" thickBot="1" x14ac:dyDescent="0.25">
      <c r="A61" s="186"/>
      <c r="B61" s="187" t="s">
        <v>148</v>
      </c>
      <c r="C61" s="188"/>
      <c r="D61" s="188"/>
      <c r="E61" s="188"/>
      <c r="F61" s="189">
        <f>+F58+F59+F60</f>
        <v>4181236242</v>
      </c>
      <c r="G61" s="278">
        <f>+F59/F61</f>
        <v>6.8144412683008568E-2</v>
      </c>
      <c r="H61" s="232"/>
      <c r="I61" s="232"/>
    </row>
    <row r="62" spans="1:9" s="59" customFormat="1" x14ac:dyDescent="0.2">
      <c r="A62" s="54" t="s">
        <v>83</v>
      </c>
      <c r="B62" s="55"/>
      <c r="C62" s="56"/>
      <c r="D62" s="56"/>
      <c r="E62" s="56"/>
      <c r="F62" s="57"/>
      <c r="H62" s="232"/>
    </row>
    <row r="63" spans="1:9" s="59" customFormat="1" ht="12.75" customHeight="1" x14ac:dyDescent="0.2">
      <c r="A63" s="340" t="s">
        <v>84</v>
      </c>
      <c r="B63" s="341"/>
      <c r="C63" s="341"/>
      <c r="D63" s="341"/>
      <c r="E63" s="341"/>
      <c r="F63" s="342"/>
      <c r="H63" s="232"/>
    </row>
    <row r="64" spans="1:9" s="59" customFormat="1" ht="22.5" customHeight="1" x14ac:dyDescent="0.2">
      <c r="A64" s="340" t="s">
        <v>85</v>
      </c>
      <c r="B64" s="341"/>
      <c r="C64" s="341"/>
      <c r="D64" s="341"/>
      <c r="E64" s="341"/>
      <c r="F64" s="342"/>
      <c r="H64" s="232"/>
    </row>
    <row r="65" spans="1:8" s="59" customFormat="1" ht="27.75" customHeight="1" x14ac:dyDescent="0.2">
      <c r="A65" s="334" t="s">
        <v>131</v>
      </c>
      <c r="B65" s="335"/>
      <c r="C65" s="335"/>
      <c r="D65" s="335"/>
      <c r="E65" s="335"/>
      <c r="F65" s="336"/>
      <c r="H65" s="232"/>
    </row>
    <row r="66" spans="1:8" s="59" customFormat="1" ht="24" customHeight="1" x14ac:dyDescent="0.2">
      <c r="A66" s="337" t="s">
        <v>132</v>
      </c>
      <c r="B66" s="338"/>
      <c r="C66" s="338"/>
      <c r="D66" s="338"/>
      <c r="E66" s="338"/>
      <c r="F66" s="339"/>
      <c r="H66" s="232"/>
    </row>
    <row r="67" spans="1:8" s="59" customFormat="1" ht="28.5" customHeight="1" x14ac:dyDescent="0.2">
      <c r="A67" s="337" t="s">
        <v>133</v>
      </c>
      <c r="B67" s="338"/>
      <c r="C67" s="338"/>
      <c r="D67" s="338"/>
      <c r="E67" s="338"/>
      <c r="F67" s="339"/>
      <c r="H67" s="232"/>
    </row>
    <row r="68" spans="1:8" s="59" customFormat="1" ht="20.25" customHeight="1" x14ac:dyDescent="0.2">
      <c r="A68" s="337" t="s">
        <v>134</v>
      </c>
      <c r="B68" s="338"/>
      <c r="C68" s="338"/>
      <c r="D68" s="338"/>
      <c r="E68" s="338"/>
      <c r="F68" s="339"/>
      <c r="H68" s="232"/>
    </row>
    <row r="69" spans="1:8" s="59" customFormat="1" ht="31.5" customHeight="1" x14ac:dyDescent="0.2">
      <c r="A69" s="337" t="s">
        <v>135</v>
      </c>
      <c r="B69" s="338"/>
      <c r="C69" s="338"/>
      <c r="D69" s="338"/>
      <c r="E69" s="338"/>
      <c r="F69" s="339"/>
      <c r="H69" s="232"/>
    </row>
    <row r="70" spans="1:8" s="59" customFormat="1" ht="28.5" customHeight="1" x14ac:dyDescent="0.2">
      <c r="A70" s="337" t="s">
        <v>136</v>
      </c>
      <c r="B70" s="338"/>
      <c r="C70" s="338"/>
      <c r="D70" s="338"/>
      <c r="E70" s="338"/>
      <c r="F70" s="339"/>
      <c r="H70" s="232"/>
    </row>
    <row r="71" spans="1:8" s="59" customFormat="1" ht="18.75" customHeight="1" x14ac:dyDescent="0.2">
      <c r="A71" s="337" t="s">
        <v>130</v>
      </c>
      <c r="B71" s="338"/>
      <c r="C71" s="338"/>
      <c r="D71" s="338"/>
      <c r="E71" s="338"/>
      <c r="F71" s="339"/>
      <c r="H71" s="232"/>
    </row>
    <row r="72" spans="1:8" s="59" customFormat="1" ht="39.75" customHeight="1" x14ac:dyDescent="0.2">
      <c r="A72" s="343" t="s">
        <v>138</v>
      </c>
      <c r="B72" s="344"/>
      <c r="C72" s="344"/>
      <c r="D72" s="344"/>
      <c r="E72" s="344"/>
      <c r="F72" s="345"/>
      <c r="H72" s="232"/>
    </row>
    <row r="73" spans="1:8" s="59" customFormat="1" ht="41.25" customHeight="1" thickBot="1" x14ac:dyDescent="0.25">
      <c r="A73" s="346" t="s">
        <v>137</v>
      </c>
      <c r="B73" s="347"/>
      <c r="C73" s="347"/>
      <c r="D73" s="347"/>
      <c r="E73" s="347"/>
      <c r="F73" s="348"/>
      <c r="H73" s="232"/>
    </row>
    <row r="74" spans="1:8" s="276" customFormat="1" ht="13.5" thickBot="1" x14ac:dyDescent="0.25">
      <c r="H74" s="277"/>
    </row>
    <row r="75" spans="1:8" s="59" customFormat="1" x14ac:dyDescent="0.2">
      <c r="A75" s="60" t="s">
        <v>12</v>
      </c>
      <c r="B75" s="61"/>
      <c r="C75" s="61"/>
      <c r="D75" s="61"/>
      <c r="E75" s="61"/>
      <c r="F75" s="62"/>
      <c r="H75" s="232"/>
    </row>
    <row r="76" spans="1:8" s="59" customFormat="1" ht="18" x14ac:dyDescent="0.2">
      <c r="A76" s="63" t="s">
        <v>13</v>
      </c>
      <c r="B76" s="64"/>
      <c r="C76" s="64"/>
      <c r="D76" s="64"/>
      <c r="E76" s="64"/>
      <c r="F76" s="65"/>
      <c r="H76" s="232"/>
    </row>
    <row r="77" spans="1:8" s="59" customFormat="1" ht="15" x14ac:dyDescent="0.2">
      <c r="A77" s="66" t="s">
        <v>90</v>
      </c>
      <c r="B77" s="64"/>
      <c r="C77" s="64"/>
      <c r="D77" s="64"/>
      <c r="E77" s="64"/>
      <c r="F77" s="65"/>
      <c r="H77" s="232"/>
    </row>
    <row r="78" spans="1:8" s="59" customFormat="1" x14ac:dyDescent="0.2">
      <c r="A78" s="67" t="s">
        <v>140</v>
      </c>
      <c r="B78" s="64"/>
      <c r="C78" s="64"/>
      <c r="D78" s="64"/>
      <c r="E78" s="64"/>
      <c r="F78" s="65"/>
      <c r="H78" s="232"/>
    </row>
    <row r="79" spans="1:8" s="59" customFormat="1" ht="15" x14ac:dyDescent="0.2">
      <c r="A79" s="66" t="s">
        <v>143</v>
      </c>
      <c r="B79" s="64"/>
      <c r="C79" s="64"/>
      <c r="D79" s="64"/>
      <c r="E79" s="64"/>
      <c r="F79" s="65"/>
      <c r="H79" s="232"/>
    </row>
    <row r="80" spans="1:8" s="59" customFormat="1" ht="55.5" customHeight="1" x14ac:dyDescent="0.2">
      <c r="A80" s="331" t="s">
        <v>144</v>
      </c>
      <c r="B80" s="332"/>
      <c r="C80" s="332"/>
      <c r="D80" s="332"/>
      <c r="E80" s="332"/>
      <c r="F80" s="333"/>
      <c r="H80" s="232"/>
    </row>
    <row r="81" spans="1:8" s="59" customFormat="1" ht="13.5" thickBot="1" x14ac:dyDescent="0.25">
      <c r="A81" s="192" t="s">
        <v>91</v>
      </c>
      <c r="B81" s="64"/>
      <c r="C81" s="64"/>
      <c r="D81" s="64"/>
      <c r="E81" s="64"/>
      <c r="F81" s="65"/>
      <c r="H81" s="232"/>
    </row>
    <row r="82" spans="1:8" s="59" customFormat="1" ht="13.5" thickBot="1" x14ac:dyDescent="0.25">
      <c r="A82" s="68"/>
      <c r="B82" s="69"/>
      <c r="C82" s="69"/>
      <c r="D82" s="69"/>
      <c r="E82" s="349" t="s">
        <v>86</v>
      </c>
      <c r="F82" s="350"/>
      <c r="H82" s="232"/>
    </row>
    <row r="83" spans="1:8" s="59" customFormat="1" x14ac:dyDescent="0.2">
      <c r="A83" s="70"/>
      <c r="B83" s="71"/>
      <c r="C83" s="71"/>
      <c r="D83" s="71"/>
      <c r="E83" s="71"/>
      <c r="F83" s="72"/>
      <c r="H83" s="232"/>
    </row>
    <row r="84" spans="1:8" s="59" customFormat="1" ht="15.75" x14ac:dyDescent="0.2">
      <c r="A84" s="73" t="s">
        <v>14</v>
      </c>
      <c r="B84" s="74"/>
      <c r="C84" s="74"/>
      <c r="D84" s="74"/>
      <c r="E84" s="74"/>
      <c r="F84" s="75"/>
      <c r="H84" s="232"/>
    </row>
    <row r="85" spans="1:8" s="59" customFormat="1" ht="15.75" thickBot="1" x14ac:dyDescent="0.3">
      <c r="A85" s="351" t="s">
        <v>15</v>
      </c>
      <c r="B85" s="352"/>
      <c r="C85" s="352"/>
      <c r="D85" s="352"/>
      <c r="E85" s="352"/>
      <c r="F85" s="353"/>
      <c r="H85" s="232"/>
    </row>
    <row r="86" spans="1:8" s="59" customFormat="1" x14ac:dyDescent="0.2">
      <c r="A86" s="76"/>
      <c r="B86" s="77"/>
      <c r="C86" s="34" t="s">
        <v>16</v>
      </c>
      <c r="D86" s="34" t="s">
        <v>17</v>
      </c>
      <c r="E86" s="34" t="s">
        <v>18</v>
      </c>
      <c r="F86" s="36" t="s">
        <v>19</v>
      </c>
      <c r="G86" s="78" t="s">
        <v>20</v>
      </c>
      <c r="H86" s="232"/>
    </row>
    <row r="87" spans="1:8" s="59" customFormat="1" x14ac:dyDescent="0.2">
      <c r="A87" s="37" t="s">
        <v>21</v>
      </c>
      <c r="B87" s="79" t="s">
        <v>22</v>
      </c>
      <c r="C87" s="39" t="s">
        <v>23</v>
      </c>
      <c r="D87" s="39" t="s">
        <v>24</v>
      </c>
      <c r="E87" s="39" t="s">
        <v>25</v>
      </c>
      <c r="F87" s="41" t="s">
        <v>26</v>
      </c>
      <c r="G87" s="78">
        <v>1.06</v>
      </c>
      <c r="H87" s="232"/>
    </row>
    <row r="88" spans="1:8" s="59" customFormat="1" ht="13.5" thickBot="1" x14ac:dyDescent="0.25">
      <c r="A88" s="42" t="s">
        <v>27</v>
      </c>
      <c r="B88" s="80"/>
      <c r="C88" s="45" t="s">
        <v>28</v>
      </c>
      <c r="D88" s="45" t="s">
        <v>29</v>
      </c>
      <c r="E88" s="45" t="s">
        <v>30</v>
      </c>
      <c r="F88" s="81" t="s">
        <v>31</v>
      </c>
      <c r="H88" s="232"/>
    </row>
    <row r="89" spans="1:8" s="59" customFormat="1" x14ac:dyDescent="0.2">
      <c r="A89" s="82"/>
      <c r="B89" s="49" t="s">
        <v>32</v>
      </c>
      <c r="C89" s="7"/>
      <c r="D89" s="7"/>
      <c r="E89" s="8"/>
      <c r="F89" s="9"/>
      <c r="H89" s="232"/>
    </row>
    <row r="90" spans="1:8" s="59" customFormat="1" x14ac:dyDescent="0.2">
      <c r="A90" s="83"/>
      <c r="B90" s="84" t="s">
        <v>33</v>
      </c>
      <c r="C90" s="10"/>
      <c r="D90" s="10"/>
      <c r="E90" s="11"/>
      <c r="F90" s="12"/>
      <c r="H90" s="232"/>
    </row>
    <row r="91" spans="1:8" s="59" customFormat="1" x14ac:dyDescent="0.2">
      <c r="A91" s="85">
        <v>1</v>
      </c>
      <c r="B91" s="86" t="s">
        <v>34</v>
      </c>
      <c r="C91" s="87">
        <f>ROUNDUP((4800000*G87)*G87*G87*G87*G87*G87,0)</f>
        <v>6808892</v>
      </c>
      <c r="D91" s="87">
        <f>ROUNDUP((490000*G87)*G87*G87*G87*G87*G87,0)</f>
        <v>695075</v>
      </c>
      <c r="E91" s="88">
        <v>12</v>
      </c>
      <c r="F91" s="14">
        <f>+A91*(C91+D91)*E91</f>
        <v>90047604</v>
      </c>
      <c r="H91" s="232"/>
    </row>
    <row r="92" spans="1:8" s="59" customFormat="1" x14ac:dyDescent="0.2">
      <c r="A92" s="248">
        <v>1</v>
      </c>
      <c r="B92" s="249" t="s">
        <v>128</v>
      </c>
      <c r="C92" s="250">
        <f>ROUNDUP((3400000*G87)*G87*G87*G87*G87*G87,0)</f>
        <v>4822965</v>
      </c>
      <c r="D92" s="250">
        <f>ROUNDUP((490000*G87)*G87*G87*G87*G87*G87,0)</f>
        <v>695075</v>
      </c>
      <c r="E92" s="251">
        <v>12</v>
      </c>
      <c r="F92" s="252">
        <f>+A92*(C92+D92)*E92</f>
        <v>66216480</v>
      </c>
      <c r="H92" s="232"/>
    </row>
    <row r="93" spans="1:8" s="59" customFormat="1" x14ac:dyDescent="0.2">
      <c r="A93" s="253">
        <v>1</v>
      </c>
      <c r="B93" s="254" t="s">
        <v>129</v>
      </c>
      <c r="C93" s="255">
        <f>ROUND(2810273*G87,0)+1</f>
        <v>2978890</v>
      </c>
      <c r="D93" s="255">
        <f>+D92</f>
        <v>695075</v>
      </c>
      <c r="E93" s="256">
        <v>12</v>
      </c>
      <c r="F93" s="257">
        <f>+A93*(C93+D93)*E93</f>
        <v>44087580</v>
      </c>
      <c r="H93" s="232"/>
    </row>
    <row r="94" spans="1:8" s="59" customFormat="1" x14ac:dyDescent="0.2">
      <c r="A94" s="94"/>
      <c r="B94" s="95" t="s">
        <v>35</v>
      </c>
      <c r="C94" s="96"/>
      <c r="D94" s="96"/>
      <c r="E94" s="97"/>
      <c r="F94" s="13"/>
      <c r="H94" s="232"/>
    </row>
    <row r="95" spans="1:8" s="59" customFormat="1" x14ac:dyDescent="0.2">
      <c r="A95" s="234">
        <v>1</v>
      </c>
      <c r="B95" s="235" t="s">
        <v>125</v>
      </c>
      <c r="C95" s="236">
        <f>ROUNDUP(1600000*G87*G87*G87*G87,0)</f>
        <v>2019964</v>
      </c>
      <c r="D95" s="236"/>
      <c r="E95" s="237">
        <v>12</v>
      </c>
      <c r="F95" s="238">
        <f>+A95*(C95+D95)*E95</f>
        <v>24239568</v>
      </c>
      <c r="H95" s="232"/>
    </row>
    <row r="96" spans="1:8" s="59" customFormat="1" x14ac:dyDescent="0.2">
      <c r="A96" s="98">
        <v>1</v>
      </c>
      <c r="B96" s="99" t="s">
        <v>88</v>
      </c>
      <c r="C96" s="87">
        <f>ROUNDUP((1100000*G87)*G87*G87*G87*G87*G87,0)</f>
        <v>1560372</v>
      </c>
      <c r="D96" s="100"/>
      <c r="E96" s="101">
        <v>12</v>
      </c>
      <c r="F96" s="14">
        <f>+A96*(C96+D96)*E96</f>
        <v>18724464</v>
      </c>
      <c r="H96" s="232"/>
    </row>
    <row r="97" spans="1:9" s="59" customFormat="1" x14ac:dyDescent="0.2">
      <c r="A97" s="253">
        <v>2</v>
      </c>
      <c r="B97" s="102" t="s">
        <v>36</v>
      </c>
      <c r="C97" s="91">
        <f>ROUNDUP((1300000*G87)*G87*G87*G87*G87*G87,0)</f>
        <v>1844075</v>
      </c>
      <c r="D97" s="103"/>
      <c r="E97" s="92">
        <v>12</v>
      </c>
      <c r="F97" s="93">
        <f>+A97*(C97+D97)*E97</f>
        <v>44257800</v>
      </c>
      <c r="H97" s="232"/>
    </row>
    <row r="98" spans="1:9" s="59" customFormat="1" x14ac:dyDescent="0.2">
      <c r="A98" s="104"/>
      <c r="B98" s="105" t="s">
        <v>37</v>
      </c>
      <c r="C98" s="106"/>
      <c r="D98" s="107"/>
      <c r="E98" s="108"/>
      <c r="F98" s="109">
        <f>SUM(F91:F97)</f>
        <v>287573496</v>
      </c>
      <c r="H98" s="232"/>
    </row>
    <row r="99" spans="1:9" s="59" customFormat="1" ht="13.5" thickBot="1" x14ac:dyDescent="0.25">
      <c r="A99" s="110"/>
      <c r="B99" s="111" t="s">
        <v>38</v>
      </c>
      <c r="C99" s="112"/>
      <c r="D99" s="112"/>
      <c r="E99" s="112"/>
      <c r="F99" s="113">
        <v>2.4</v>
      </c>
      <c r="H99" s="232"/>
    </row>
    <row r="100" spans="1:9" s="59" customFormat="1" ht="13.5" thickBot="1" x14ac:dyDescent="0.25">
      <c r="A100" s="114"/>
      <c r="B100" s="115" t="s">
        <v>39</v>
      </c>
      <c r="C100" s="116"/>
      <c r="D100" s="116"/>
      <c r="E100" s="116"/>
      <c r="F100" s="117">
        <f>ROUNDUP(F98*F99,0)</f>
        <v>690176391</v>
      </c>
      <c r="G100" s="259"/>
      <c r="H100" s="232"/>
    </row>
    <row r="101" spans="1:9" s="59" customFormat="1" ht="13.5" thickBot="1" x14ac:dyDescent="0.25">
      <c r="A101" s="118"/>
      <c r="H101" s="232"/>
    </row>
    <row r="102" spans="1:9" s="59" customFormat="1" x14ac:dyDescent="0.2">
      <c r="A102" s="31"/>
      <c r="B102" s="32"/>
      <c r="C102" s="33"/>
      <c r="D102" s="34" t="s">
        <v>40</v>
      </c>
      <c r="E102" s="35" t="s">
        <v>41</v>
      </c>
      <c r="F102" s="36" t="s">
        <v>19</v>
      </c>
      <c r="H102" s="232"/>
    </row>
    <row r="103" spans="1:9" s="59" customFormat="1" x14ac:dyDescent="0.2">
      <c r="A103" s="37" t="s">
        <v>21</v>
      </c>
      <c r="B103" s="38" t="s">
        <v>42</v>
      </c>
      <c r="C103" s="39" t="s">
        <v>43</v>
      </c>
      <c r="D103" s="39" t="s">
        <v>44</v>
      </c>
      <c r="E103" s="40" t="s">
        <v>45</v>
      </c>
      <c r="F103" s="41" t="s">
        <v>26</v>
      </c>
      <c r="H103" s="232"/>
    </row>
    <row r="104" spans="1:9" s="59" customFormat="1" ht="13.5" thickBot="1" x14ac:dyDescent="0.25">
      <c r="A104" s="42" t="s">
        <v>46</v>
      </c>
      <c r="B104" s="43"/>
      <c r="C104" s="44"/>
      <c r="D104" s="45" t="s">
        <v>47</v>
      </c>
      <c r="E104" s="46" t="s">
        <v>48</v>
      </c>
      <c r="F104" s="47" t="s">
        <v>49</v>
      </c>
      <c r="H104" s="232"/>
    </row>
    <row r="105" spans="1:9" s="59" customFormat="1" x14ac:dyDescent="0.2">
      <c r="A105" s="48"/>
      <c r="B105" s="49" t="s">
        <v>50</v>
      </c>
      <c r="C105" s="50"/>
      <c r="D105" s="15"/>
      <c r="E105" s="16"/>
      <c r="F105" s="17"/>
      <c r="H105" s="232"/>
    </row>
    <row r="106" spans="1:9" s="59" customFormat="1" x14ac:dyDescent="0.2">
      <c r="A106" s="83"/>
      <c r="B106" s="84" t="s">
        <v>51</v>
      </c>
      <c r="C106" s="119"/>
      <c r="D106" s="120"/>
      <c r="E106" s="121"/>
      <c r="F106" s="18"/>
      <c r="H106" s="232"/>
    </row>
    <row r="107" spans="1:9" s="59" customFormat="1" x14ac:dyDescent="0.2">
      <c r="A107" s="122">
        <v>1</v>
      </c>
      <c r="B107" s="123" t="s">
        <v>34</v>
      </c>
      <c r="C107" s="124" t="s">
        <v>52</v>
      </c>
      <c r="D107" s="19">
        <f>ROUNDUP((290000*G87)*G87*G87*G87*G87*G87,0)</f>
        <v>411371</v>
      </c>
      <c r="E107" s="125">
        <v>10</v>
      </c>
      <c r="F107" s="20">
        <f>+A107*D107*E107</f>
        <v>4113710</v>
      </c>
      <c r="H107" s="232"/>
    </row>
    <row r="108" spans="1:9" s="59" customFormat="1" x14ac:dyDescent="0.2">
      <c r="A108" s="126"/>
      <c r="B108" s="127" t="s">
        <v>53</v>
      </c>
      <c r="C108" s="128"/>
      <c r="D108" s="21"/>
      <c r="E108" s="22"/>
      <c r="F108" s="23"/>
      <c r="H108" s="232"/>
    </row>
    <row r="109" spans="1:9" s="59" customFormat="1" ht="24" x14ac:dyDescent="0.2">
      <c r="A109" s="194">
        <v>2</v>
      </c>
      <c r="B109" s="129" t="s">
        <v>54</v>
      </c>
      <c r="C109" s="130" t="s">
        <v>55</v>
      </c>
      <c r="D109" s="131">
        <f>ROUNDUP((4500000*G87)*G87*G87*G87*G87*G87,0)</f>
        <v>6383337</v>
      </c>
      <c r="E109" s="195">
        <v>12</v>
      </c>
      <c r="F109" s="132">
        <f>+A109*D109*E109</f>
        <v>153200088</v>
      </c>
      <c r="H109" s="232"/>
    </row>
    <row r="110" spans="1:9" s="59" customFormat="1" x14ac:dyDescent="0.2">
      <c r="A110" s="196"/>
      <c r="B110" s="197"/>
      <c r="C110" s="198"/>
      <c r="D110" s="199"/>
      <c r="E110" s="101"/>
      <c r="F110" s="200"/>
      <c r="H110" s="232"/>
    </row>
    <row r="111" spans="1:9" s="59" customFormat="1" x14ac:dyDescent="0.2">
      <c r="A111" s="126"/>
      <c r="B111" s="133" t="s">
        <v>56</v>
      </c>
      <c r="C111" s="128"/>
      <c r="D111" s="21"/>
      <c r="E111" s="22"/>
      <c r="F111" s="23"/>
      <c r="H111" s="232"/>
    </row>
    <row r="112" spans="1:9" s="59" customFormat="1" ht="72" x14ac:dyDescent="0.2">
      <c r="A112" s="134">
        <v>1</v>
      </c>
      <c r="B112" s="135" t="s">
        <v>57</v>
      </c>
      <c r="C112" s="24" t="s">
        <v>92</v>
      </c>
      <c r="D112" s="25">
        <f>ROUND(28000000*G87,0)</f>
        <v>29680000</v>
      </c>
      <c r="E112" s="139">
        <v>1</v>
      </c>
      <c r="F112" s="26">
        <f t="shared" ref="F112:F119" si="1">+A112*D112*E112</f>
        <v>29680000</v>
      </c>
      <c r="G112" s="27" t="s">
        <v>59</v>
      </c>
      <c r="H112" s="232">
        <f>+ROUND(F112/G87,0)</f>
        <v>28000000</v>
      </c>
      <c r="I112" s="59">
        <v>28000000</v>
      </c>
    </row>
    <row r="113" spans="1:9" s="59" customFormat="1" ht="24" x14ac:dyDescent="0.2">
      <c r="A113" s="136">
        <v>1</v>
      </c>
      <c r="B113" s="137" t="s">
        <v>60</v>
      </c>
      <c r="C113" s="138" t="s">
        <v>58</v>
      </c>
      <c r="D113" s="28">
        <f>ROUNDUP((1900000*2*G87*G87)*G87*G87*G87*G87*G87,0)</f>
        <v>5713795</v>
      </c>
      <c r="E113" s="139">
        <v>1</v>
      </c>
      <c r="F113" s="29">
        <f t="shared" si="1"/>
        <v>5713795</v>
      </c>
      <c r="H113" s="232">
        <f>+ROUND(F113/G87,0)</f>
        <v>5390373</v>
      </c>
      <c r="I113" s="59">
        <v>5390373</v>
      </c>
    </row>
    <row r="114" spans="1:9" s="59" customFormat="1" x14ac:dyDescent="0.2">
      <c r="A114" s="140">
        <v>1</v>
      </c>
      <c r="B114" s="141" t="s">
        <v>61</v>
      </c>
      <c r="C114" s="142" t="s">
        <v>62</v>
      </c>
      <c r="D114" s="143">
        <f>ROUNDUP((1200000*G87)*G87*G87*G87*G87*G87,0)</f>
        <v>1702223</v>
      </c>
      <c r="E114" s="151">
        <v>12</v>
      </c>
      <c r="F114" s="144">
        <f t="shared" si="1"/>
        <v>20426676</v>
      </c>
      <c r="H114" s="232"/>
    </row>
    <row r="115" spans="1:9" s="59" customFormat="1" x14ac:dyDescent="0.2">
      <c r="A115" s="140">
        <v>1</v>
      </c>
      <c r="B115" s="141" t="s">
        <v>63</v>
      </c>
      <c r="C115" s="142" t="s">
        <v>62</v>
      </c>
      <c r="D115" s="145">
        <f>ROUNDUP((420000*G87)*G87*G87*G87*G87*G87,0)</f>
        <v>595779</v>
      </c>
      <c r="E115" s="146">
        <v>12</v>
      </c>
      <c r="F115" s="144">
        <f t="shared" si="1"/>
        <v>7149348</v>
      </c>
      <c r="H115" s="232"/>
    </row>
    <row r="116" spans="1:9" s="59" customFormat="1" ht="24" x14ac:dyDescent="0.2">
      <c r="A116" s="136">
        <v>1</v>
      </c>
      <c r="B116" s="141" t="s">
        <v>64</v>
      </c>
      <c r="C116" s="147" t="s">
        <v>62</v>
      </c>
      <c r="D116" s="148">
        <f>ROUNDUP((160000*G87)*G87*G87*G87*G87*G87,0)</f>
        <v>226964</v>
      </c>
      <c r="E116" s="149">
        <v>12</v>
      </c>
      <c r="F116" s="150">
        <f t="shared" si="1"/>
        <v>2723568</v>
      </c>
      <c r="H116" s="232"/>
    </row>
    <row r="117" spans="1:9" s="59" customFormat="1" x14ac:dyDescent="0.2">
      <c r="A117" s="140">
        <v>1</v>
      </c>
      <c r="B117" s="141" t="s">
        <v>65</v>
      </c>
      <c r="C117" s="142" t="s">
        <v>62</v>
      </c>
      <c r="D117" s="143">
        <f>ROUNDUP((330000*G87)*G87*G87*G87*G87*G87,0)</f>
        <v>468112</v>
      </c>
      <c r="E117" s="151">
        <v>12</v>
      </c>
      <c r="F117" s="144">
        <f t="shared" si="1"/>
        <v>5617344</v>
      </c>
      <c r="H117" s="232"/>
    </row>
    <row r="118" spans="1:9" s="59" customFormat="1" x14ac:dyDescent="0.2">
      <c r="A118" s="140">
        <v>1</v>
      </c>
      <c r="B118" s="141" t="s">
        <v>66</v>
      </c>
      <c r="C118" s="142" t="s">
        <v>62</v>
      </c>
      <c r="D118" s="143">
        <f>ROUNDUP((400000*G87)*G87*G87*G87*G87*G87,0)</f>
        <v>567408</v>
      </c>
      <c r="E118" s="151">
        <v>12</v>
      </c>
      <c r="F118" s="144">
        <f t="shared" si="1"/>
        <v>6808896</v>
      </c>
      <c r="H118" s="232"/>
    </row>
    <row r="119" spans="1:9" s="59" customFormat="1" x14ac:dyDescent="0.2">
      <c r="A119" s="152">
        <v>1</v>
      </c>
      <c r="B119" s="153" t="s">
        <v>67</v>
      </c>
      <c r="C119" s="154" t="s">
        <v>62</v>
      </c>
      <c r="D119" s="201">
        <f>ROUNDUP((420000*G87)*G87*G87*G87*G87*G87,0)</f>
        <v>595779</v>
      </c>
      <c r="E119" s="155">
        <v>12</v>
      </c>
      <c r="F119" s="144">
        <f t="shared" si="1"/>
        <v>7149348</v>
      </c>
      <c r="H119" s="232"/>
    </row>
    <row r="120" spans="1:9" s="59" customFormat="1" ht="24" x14ac:dyDescent="0.2">
      <c r="A120" s="239">
        <v>1</v>
      </c>
      <c r="B120" s="240" t="s">
        <v>126</v>
      </c>
      <c r="C120" s="241" t="s">
        <v>62</v>
      </c>
      <c r="D120" s="242">
        <f>ROUND(600000*G87*G87*G87*G87,0)</f>
        <v>757486</v>
      </c>
      <c r="E120" s="243">
        <v>12</v>
      </c>
      <c r="F120" s="244">
        <f>+A120*D120*E120</f>
        <v>9089832</v>
      </c>
      <c r="G120" s="59">
        <f>+ROUND(F120/G87,0)</f>
        <v>8575313</v>
      </c>
      <c r="H120" s="232">
        <v>8575313</v>
      </c>
    </row>
    <row r="121" spans="1:9" s="59" customFormat="1" ht="13.5" thickBot="1" x14ac:dyDescent="0.25">
      <c r="A121" s="156"/>
      <c r="B121" s="157" t="s">
        <v>68</v>
      </c>
      <c r="C121" s="158"/>
      <c r="D121" s="158"/>
      <c r="E121" s="158"/>
      <c r="F121" s="159">
        <f>SUM(F107:F120)</f>
        <v>251672605</v>
      </c>
      <c r="G121" s="190"/>
      <c r="H121" s="232"/>
    </row>
    <row r="122" spans="1:9" s="59" customFormat="1" ht="13.5" thickBot="1" x14ac:dyDescent="0.25">
      <c r="A122" s="160"/>
      <c r="B122" s="161"/>
      <c r="C122" s="162"/>
      <c r="D122" s="162"/>
      <c r="E122" s="162"/>
      <c r="F122" s="163"/>
      <c r="H122" s="232"/>
    </row>
    <row r="123" spans="1:9" s="59" customFormat="1" x14ac:dyDescent="0.2">
      <c r="A123" s="31"/>
      <c r="B123" s="32"/>
      <c r="C123" s="33"/>
      <c r="D123" s="34" t="s">
        <v>40</v>
      </c>
      <c r="E123" s="35" t="s">
        <v>41</v>
      </c>
      <c r="F123" s="36" t="s">
        <v>19</v>
      </c>
      <c r="H123" s="232"/>
    </row>
    <row r="124" spans="1:9" s="59" customFormat="1" x14ac:dyDescent="0.2">
      <c r="A124" s="37" t="s">
        <v>21</v>
      </c>
      <c r="B124" s="38" t="s">
        <v>42</v>
      </c>
      <c r="C124" s="39" t="s">
        <v>43</v>
      </c>
      <c r="D124" s="39" t="s">
        <v>44</v>
      </c>
      <c r="E124" s="40" t="s">
        <v>45</v>
      </c>
      <c r="F124" s="41" t="s">
        <v>26</v>
      </c>
      <c r="H124" s="232"/>
    </row>
    <row r="125" spans="1:9" s="59" customFormat="1" ht="13.5" thickBot="1" x14ac:dyDescent="0.25">
      <c r="A125" s="42" t="s">
        <v>69</v>
      </c>
      <c r="B125" s="43"/>
      <c r="C125" s="44"/>
      <c r="D125" s="45" t="s">
        <v>70</v>
      </c>
      <c r="E125" s="46" t="s">
        <v>71</v>
      </c>
      <c r="F125" s="47" t="s">
        <v>72</v>
      </c>
      <c r="H125" s="232"/>
    </row>
    <row r="126" spans="1:9" s="59" customFormat="1" x14ac:dyDescent="0.2">
      <c r="A126" s="164"/>
      <c r="B126" s="49" t="s">
        <v>73</v>
      </c>
      <c r="C126" s="50"/>
      <c r="D126" s="15"/>
      <c r="E126" s="16"/>
      <c r="F126" s="17"/>
      <c r="H126" s="232"/>
    </row>
    <row r="127" spans="1:9" s="59" customFormat="1" ht="60" x14ac:dyDescent="0.2">
      <c r="A127" s="202">
        <v>1</v>
      </c>
      <c r="B127" s="51" t="s">
        <v>139</v>
      </c>
      <c r="C127" s="166" t="s">
        <v>75</v>
      </c>
      <c r="D127" s="52">
        <f>ROUNDUP((5000000*G87)*G87*G87*G87*G87*G87*12/12,0)</f>
        <v>7092596</v>
      </c>
      <c r="E127" s="169">
        <v>1</v>
      </c>
      <c r="F127" s="167">
        <f>+A127*D127*E127</f>
        <v>7092596</v>
      </c>
      <c r="G127" s="27" t="s">
        <v>59</v>
      </c>
      <c r="H127" s="232"/>
    </row>
    <row r="128" spans="1:9" s="59" customFormat="1" ht="24" x14ac:dyDescent="0.2">
      <c r="A128" s="203">
        <v>1</v>
      </c>
      <c r="B128" s="168" t="s">
        <v>76</v>
      </c>
      <c r="C128" s="138" t="s">
        <v>77</v>
      </c>
      <c r="D128" s="148">
        <f>ROUNDUP((4600000*G87)*G87*G87*G87*G87*G87*12/12,0)</f>
        <v>6525188</v>
      </c>
      <c r="E128" s="169">
        <v>1</v>
      </c>
      <c r="F128" s="29">
        <f>+A128*D128*E128</f>
        <v>6525188</v>
      </c>
      <c r="H128" s="232">
        <f>+ROUND(F128/G87,0)</f>
        <v>6155838</v>
      </c>
      <c r="I128" s="59">
        <v>6155838</v>
      </c>
    </row>
    <row r="129" spans="1:8" s="59" customFormat="1" x14ac:dyDescent="0.2">
      <c r="A129" s="204">
        <v>1000</v>
      </c>
      <c r="B129" s="171" t="s">
        <v>89</v>
      </c>
      <c r="C129" s="172" t="s">
        <v>78</v>
      </c>
      <c r="D129" s="143">
        <f>ROUNDUP((1300*G87)*G87*G87*G87*G87*G87,0)</f>
        <v>1845</v>
      </c>
      <c r="E129" s="151">
        <v>2</v>
      </c>
      <c r="F129" s="30">
        <f>+A129*D129*E129</f>
        <v>3690000</v>
      </c>
      <c r="H129" s="232"/>
    </row>
    <row r="130" spans="1:8" s="59" customFormat="1" x14ac:dyDescent="0.2">
      <c r="A130" s="170"/>
      <c r="B130" s="173"/>
      <c r="C130" s="174"/>
      <c r="D130" s="91"/>
      <c r="E130" s="155"/>
      <c r="F130" s="175"/>
      <c r="H130" s="232"/>
    </row>
    <row r="131" spans="1:8" s="59" customFormat="1" ht="13.5" thickBot="1" x14ac:dyDescent="0.25">
      <c r="A131" s="205"/>
      <c r="B131" s="53" t="s">
        <v>79</v>
      </c>
      <c r="C131" s="176"/>
      <c r="D131" s="177"/>
      <c r="E131" s="97"/>
      <c r="F131" s="178">
        <f>SUM(F127:F130)</f>
        <v>17307784</v>
      </c>
      <c r="G131" s="246"/>
      <c r="H131" s="232"/>
    </row>
    <row r="132" spans="1:8" s="59" customFormat="1" x14ac:dyDescent="0.2">
      <c r="A132" s="179"/>
      <c r="B132" s="180" t="s">
        <v>80</v>
      </c>
      <c r="C132" s="181"/>
      <c r="D132" s="181"/>
      <c r="E132" s="181"/>
      <c r="F132" s="182">
        <f>+F100+F121+F131</f>
        <v>959156780</v>
      </c>
      <c r="H132" s="232"/>
    </row>
    <row r="133" spans="1:8" s="59" customFormat="1" x14ac:dyDescent="0.2">
      <c r="A133" s="183"/>
      <c r="B133" s="184" t="s">
        <v>81</v>
      </c>
      <c r="C133" s="128"/>
      <c r="D133" s="128"/>
      <c r="E133" s="128"/>
      <c r="F133" s="185">
        <f>+ROUND(F132*0.19,0)</f>
        <v>182239788</v>
      </c>
      <c r="H133" s="232"/>
    </row>
    <row r="134" spans="1:8" s="59" customFormat="1" ht="13.5" thickBot="1" x14ac:dyDescent="0.25">
      <c r="A134" s="186"/>
      <c r="B134" s="187" t="s">
        <v>82</v>
      </c>
      <c r="C134" s="188"/>
      <c r="D134" s="188"/>
      <c r="E134" s="188"/>
      <c r="F134" s="189">
        <f>+F132+F133</f>
        <v>1141396568</v>
      </c>
      <c r="G134" s="260"/>
      <c r="H134" s="232"/>
    </row>
    <row r="135" spans="1:8" s="59" customFormat="1" x14ac:dyDescent="0.2">
      <c r="A135" s="54" t="s">
        <v>83</v>
      </c>
      <c r="B135" s="55"/>
      <c r="C135" s="56"/>
      <c r="D135" s="56"/>
      <c r="E135" s="56"/>
      <c r="F135" s="57"/>
      <c r="H135" s="232"/>
    </row>
    <row r="136" spans="1:8" s="59" customFormat="1" ht="12.75" customHeight="1" x14ac:dyDescent="0.2">
      <c r="A136" s="340" t="s">
        <v>84</v>
      </c>
      <c r="B136" s="341"/>
      <c r="C136" s="341"/>
      <c r="D136" s="341"/>
      <c r="E136" s="341"/>
      <c r="F136" s="342"/>
      <c r="H136" s="232"/>
    </row>
    <row r="137" spans="1:8" s="59" customFormat="1" ht="26.25" customHeight="1" x14ac:dyDescent="0.2">
      <c r="A137" s="340" t="s">
        <v>85</v>
      </c>
      <c r="B137" s="341"/>
      <c r="C137" s="341"/>
      <c r="D137" s="341"/>
      <c r="E137" s="341"/>
      <c r="F137" s="342"/>
      <c r="H137" s="232"/>
    </row>
    <row r="138" spans="1:8" s="59" customFormat="1" ht="27.75" customHeight="1" x14ac:dyDescent="0.2">
      <c r="A138" s="334" t="s">
        <v>131</v>
      </c>
      <c r="B138" s="335"/>
      <c r="C138" s="335"/>
      <c r="D138" s="335"/>
      <c r="E138" s="335"/>
      <c r="F138" s="336"/>
      <c r="H138" s="232"/>
    </row>
    <row r="139" spans="1:8" s="59" customFormat="1" ht="39.75" customHeight="1" x14ac:dyDescent="0.2">
      <c r="A139" s="337" t="s">
        <v>132</v>
      </c>
      <c r="B139" s="338"/>
      <c r="C139" s="338"/>
      <c r="D139" s="338"/>
      <c r="E139" s="338"/>
      <c r="F139" s="339"/>
      <c r="H139" s="232"/>
    </row>
    <row r="140" spans="1:8" s="59" customFormat="1" ht="24" customHeight="1" x14ac:dyDescent="0.2">
      <c r="A140" s="337" t="s">
        <v>133</v>
      </c>
      <c r="B140" s="338"/>
      <c r="C140" s="338"/>
      <c r="D140" s="338"/>
      <c r="E140" s="338"/>
      <c r="F140" s="339"/>
      <c r="H140" s="232"/>
    </row>
    <row r="141" spans="1:8" s="59" customFormat="1" ht="12.75" customHeight="1" x14ac:dyDescent="0.2">
      <c r="A141" s="337" t="s">
        <v>134</v>
      </c>
      <c r="B141" s="338"/>
      <c r="C141" s="338"/>
      <c r="D141" s="338"/>
      <c r="E141" s="338"/>
      <c r="F141" s="339"/>
      <c r="H141" s="232"/>
    </row>
    <row r="142" spans="1:8" s="59" customFormat="1" ht="26.25" customHeight="1" x14ac:dyDescent="0.2">
      <c r="A142" s="337" t="s">
        <v>135</v>
      </c>
      <c r="B142" s="338"/>
      <c r="C142" s="338"/>
      <c r="D142" s="338"/>
      <c r="E142" s="338"/>
      <c r="F142" s="339"/>
      <c r="H142" s="232"/>
    </row>
    <row r="143" spans="1:8" s="59" customFormat="1" ht="30.75" customHeight="1" x14ac:dyDescent="0.2">
      <c r="A143" s="337" t="s">
        <v>136</v>
      </c>
      <c r="B143" s="338"/>
      <c r="C143" s="338"/>
      <c r="D143" s="338"/>
      <c r="E143" s="338"/>
      <c r="F143" s="339"/>
      <c r="H143" s="232"/>
    </row>
    <row r="144" spans="1:8" s="59" customFormat="1" ht="18.75" customHeight="1" x14ac:dyDescent="0.2">
      <c r="A144" s="337" t="s">
        <v>130</v>
      </c>
      <c r="B144" s="338"/>
      <c r="C144" s="338"/>
      <c r="D144" s="338"/>
      <c r="E144" s="338"/>
      <c r="F144" s="339"/>
      <c r="H144" s="232"/>
    </row>
    <row r="145" spans="1:8" s="59" customFormat="1" ht="35.25" customHeight="1" x14ac:dyDescent="0.2">
      <c r="A145" s="343" t="s">
        <v>138</v>
      </c>
      <c r="B145" s="344"/>
      <c r="C145" s="344"/>
      <c r="D145" s="344"/>
      <c r="E145" s="344"/>
      <c r="F145" s="345"/>
      <c r="H145" s="232"/>
    </row>
    <row r="146" spans="1:8" s="59" customFormat="1" ht="37.5" customHeight="1" thickBot="1" x14ac:dyDescent="0.25">
      <c r="A146" s="346" t="s">
        <v>137</v>
      </c>
      <c r="B146" s="347"/>
      <c r="C146" s="347"/>
      <c r="D146" s="347"/>
      <c r="E146" s="347"/>
      <c r="F146" s="348"/>
      <c r="H146" s="232"/>
    </row>
    <row r="147" spans="1:8" s="59" customFormat="1" ht="13.5" thickBot="1" x14ac:dyDescent="0.25">
      <c r="H147" s="232"/>
    </row>
    <row r="148" spans="1:8" s="59" customFormat="1" x14ac:dyDescent="0.2">
      <c r="A148" s="60" t="s">
        <v>12</v>
      </c>
      <c r="B148" s="61"/>
      <c r="C148" s="61"/>
      <c r="D148" s="61"/>
      <c r="E148" s="61"/>
      <c r="F148" s="62"/>
      <c r="H148" s="232"/>
    </row>
    <row r="149" spans="1:8" s="59" customFormat="1" ht="18" x14ac:dyDescent="0.2">
      <c r="A149" s="63" t="s">
        <v>13</v>
      </c>
      <c r="B149" s="64"/>
      <c r="C149" s="64"/>
      <c r="D149" s="64"/>
      <c r="E149" s="64"/>
      <c r="F149" s="65"/>
      <c r="H149" s="232"/>
    </row>
    <row r="150" spans="1:8" s="59" customFormat="1" ht="15" x14ac:dyDescent="0.2">
      <c r="A150" s="66" t="s">
        <v>143</v>
      </c>
      <c r="B150" s="64"/>
      <c r="C150" s="64"/>
      <c r="D150" s="64"/>
      <c r="E150" s="64"/>
      <c r="F150" s="65"/>
      <c r="H150" s="232"/>
    </row>
    <row r="151" spans="1:8" s="59" customFormat="1" x14ac:dyDescent="0.2">
      <c r="A151" s="67" t="s">
        <v>141</v>
      </c>
      <c r="B151" s="64"/>
      <c r="C151" s="64"/>
      <c r="D151" s="64"/>
      <c r="E151" s="64"/>
      <c r="F151" s="65"/>
      <c r="H151" s="232"/>
    </row>
    <row r="152" spans="1:8" s="59" customFormat="1" ht="49.5" customHeight="1" x14ac:dyDescent="0.2">
      <c r="A152" s="331" t="s">
        <v>144</v>
      </c>
      <c r="B152" s="332"/>
      <c r="C152" s="332"/>
      <c r="D152" s="332"/>
      <c r="E152" s="332"/>
      <c r="F152" s="333"/>
      <c r="H152" s="232"/>
    </row>
    <row r="153" spans="1:8" s="59" customFormat="1" ht="13.5" thickBot="1" x14ac:dyDescent="0.25">
      <c r="A153" s="192" t="s">
        <v>91</v>
      </c>
      <c r="B153" s="64"/>
      <c r="C153" s="64"/>
      <c r="D153" s="64"/>
      <c r="E153" s="64"/>
      <c r="F153" s="65"/>
      <c r="H153" s="232"/>
    </row>
    <row r="154" spans="1:8" s="59" customFormat="1" ht="13.5" thickBot="1" x14ac:dyDescent="0.25">
      <c r="A154" s="68"/>
      <c r="B154" s="69"/>
      <c r="C154" s="69"/>
      <c r="D154" s="69"/>
      <c r="E154" s="349" t="s">
        <v>86</v>
      </c>
      <c r="F154" s="350"/>
      <c r="H154" s="232"/>
    </row>
    <row r="155" spans="1:8" s="59" customFormat="1" x14ac:dyDescent="0.2">
      <c r="A155" s="70"/>
      <c r="B155" s="71"/>
      <c r="C155" s="71"/>
      <c r="D155" s="71"/>
      <c r="E155" s="71"/>
      <c r="F155" s="72"/>
      <c r="H155" s="232"/>
    </row>
    <row r="156" spans="1:8" s="59" customFormat="1" ht="15.75" x14ac:dyDescent="0.2">
      <c r="A156" s="73" t="s">
        <v>14</v>
      </c>
      <c r="B156" s="74"/>
      <c r="C156" s="74"/>
      <c r="D156" s="74"/>
      <c r="E156" s="74"/>
      <c r="F156" s="75"/>
      <c r="H156" s="232"/>
    </row>
    <row r="157" spans="1:8" s="59" customFormat="1" ht="15.75" thickBot="1" x14ac:dyDescent="0.3">
      <c r="A157" s="351" t="s">
        <v>15</v>
      </c>
      <c r="B157" s="352"/>
      <c r="C157" s="352"/>
      <c r="D157" s="352"/>
      <c r="E157" s="352"/>
      <c r="F157" s="353"/>
      <c r="H157" s="232"/>
    </row>
    <row r="158" spans="1:8" s="59" customFormat="1" x14ac:dyDescent="0.2">
      <c r="A158" s="76"/>
      <c r="B158" s="77"/>
      <c r="C158" s="34" t="s">
        <v>16</v>
      </c>
      <c r="D158" s="34" t="s">
        <v>17</v>
      </c>
      <c r="E158" s="34" t="s">
        <v>18</v>
      </c>
      <c r="F158" s="36" t="s">
        <v>19</v>
      </c>
      <c r="G158" s="78" t="s">
        <v>20</v>
      </c>
      <c r="H158" s="232"/>
    </row>
    <row r="159" spans="1:8" s="59" customFormat="1" x14ac:dyDescent="0.2">
      <c r="A159" s="37" t="s">
        <v>21</v>
      </c>
      <c r="B159" s="79" t="s">
        <v>22</v>
      </c>
      <c r="C159" s="39" t="s">
        <v>23</v>
      </c>
      <c r="D159" s="39" t="s">
        <v>24</v>
      </c>
      <c r="E159" s="39" t="s">
        <v>25</v>
      </c>
      <c r="F159" s="41" t="s">
        <v>26</v>
      </c>
      <c r="G159" s="78">
        <v>1.06</v>
      </c>
      <c r="H159" s="232"/>
    </row>
    <row r="160" spans="1:8" s="59" customFormat="1" ht="13.5" thickBot="1" x14ac:dyDescent="0.25">
      <c r="A160" s="42" t="s">
        <v>27</v>
      </c>
      <c r="B160" s="80"/>
      <c r="C160" s="45" t="s">
        <v>28</v>
      </c>
      <c r="D160" s="45" t="s">
        <v>29</v>
      </c>
      <c r="E160" s="45" t="s">
        <v>30</v>
      </c>
      <c r="F160" s="81" t="s">
        <v>31</v>
      </c>
      <c r="H160" s="232"/>
    </row>
    <row r="161" spans="1:9" s="59" customFormat="1" x14ac:dyDescent="0.2">
      <c r="A161" s="82"/>
      <c r="B161" s="49" t="s">
        <v>32</v>
      </c>
      <c r="C161" s="7"/>
      <c r="D161" s="7"/>
      <c r="E161" s="8"/>
      <c r="F161" s="9"/>
      <c r="H161" s="232"/>
    </row>
    <row r="162" spans="1:9" s="59" customFormat="1" x14ac:dyDescent="0.2">
      <c r="A162" s="83"/>
      <c r="B162" s="84" t="s">
        <v>33</v>
      </c>
      <c r="C162" s="10"/>
      <c r="D162" s="10"/>
      <c r="E162" s="11"/>
      <c r="F162" s="12"/>
      <c r="H162" s="232"/>
    </row>
    <row r="163" spans="1:9" s="59" customFormat="1" x14ac:dyDescent="0.2">
      <c r="A163" s="85">
        <v>1</v>
      </c>
      <c r="B163" s="86" t="s">
        <v>34</v>
      </c>
      <c r="C163" s="87">
        <f>ROUNDUP((4800000*G159)*G159*G159*G159*G159*G159*G159,0)</f>
        <v>7217426</v>
      </c>
      <c r="D163" s="87">
        <f>ROUNDUP((490000*G159)*G159*G159*G159*G159*G159*G159,0)</f>
        <v>736779</v>
      </c>
      <c r="E163" s="88">
        <v>12</v>
      </c>
      <c r="F163" s="14">
        <f>+A163*(C163+D163)*E163</f>
        <v>95450460</v>
      </c>
      <c r="H163" s="232"/>
      <c r="I163" s="232"/>
    </row>
    <row r="164" spans="1:9" s="59" customFormat="1" x14ac:dyDescent="0.2">
      <c r="A164" s="248">
        <v>1</v>
      </c>
      <c r="B164" s="249" t="s">
        <v>128</v>
      </c>
      <c r="C164" s="250">
        <f>ROUNDUP((3400000*G159)*G159*G159*G159*G159*G159*G159,0)</f>
        <v>5112343</v>
      </c>
      <c r="D164" s="250">
        <f>ROUNDUP((490000*G159)*G159*G159*G159*G159*G159*G159,0)</f>
        <v>736779</v>
      </c>
      <c r="E164" s="251">
        <v>12</v>
      </c>
      <c r="F164" s="252">
        <f>+A164*(C164+D164)*E164</f>
        <v>70189464</v>
      </c>
      <c r="H164" s="232"/>
      <c r="I164" s="232"/>
    </row>
    <row r="165" spans="1:9" s="59" customFormat="1" x14ac:dyDescent="0.2">
      <c r="A165" s="253">
        <v>1</v>
      </c>
      <c r="B165" s="254" t="s">
        <v>129</v>
      </c>
      <c r="C165" s="255">
        <f>ROUND(2810273*G159*G159,0)</f>
        <v>3157623</v>
      </c>
      <c r="D165" s="255">
        <f>+D164</f>
        <v>736779</v>
      </c>
      <c r="E165" s="256">
        <v>12</v>
      </c>
      <c r="F165" s="257">
        <f>+A165*(C165+D165)*E165</f>
        <v>46732824</v>
      </c>
      <c r="H165" s="232"/>
      <c r="I165" s="232"/>
    </row>
    <row r="166" spans="1:9" s="59" customFormat="1" x14ac:dyDescent="0.2">
      <c r="A166" s="94"/>
      <c r="B166" s="95" t="s">
        <v>35</v>
      </c>
      <c r="C166" s="96"/>
      <c r="D166" s="96"/>
      <c r="E166" s="97"/>
      <c r="F166" s="13"/>
      <c r="H166" s="232"/>
    </row>
    <row r="167" spans="1:9" s="59" customFormat="1" x14ac:dyDescent="0.2">
      <c r="A167" s="234">
        <v>1</v>
      </c>
      <c r="B167" s="235" t="s">
        <v>125</v>
      </c>
      <c r="C167" s="236">
        <f>ROUNDUP(1600000*G159*G159*G159*G159*G159,0)</f>
        <v>2141161</v>
      </c>
      <c r="D167" s="236"/>
      <c r="E167" s="237">
        <v>12</v>
      </c>
      <c r="F167" s="238">
        <f>+A167*(C167+D167)*E167</f>
        <v>25693932</v>
      </c>
      <c r="H167" s="232"/>
    </row>
    <row r="168" spans="1:9" s="59" customFormat="1" x14ac:dyDescent="0.2">
      <c r="A168" s="98">
        <v>1</v>
      </c>
      <c r="B168" s="99" t="s">
        <v>88</v>
      </c>
      <c r="C168" s="87">
        <f>ROUNDUP((1100000*G159)*G159*G159*G159*G159*G159*G159,0)</f>
        <v>1653994</v>
      </c>
      <c r="D168" s="100"/>
      <c r="E168" s="101">
        <v>12</v>
      </c>
      <c r="F168" s="14">
        <f>+A168*(C168+D168)*E168</f>
        <v>19847928</v>
      </c>
      <c r="H168" s="232"/>
    </row>
    <row r="169" spans="1:9" s="59" customFormat="1" x14ac:dyDescent="0.2">
      <c r="A169" s="253">
        <v>2</v>
      </c>
      <c r="B169" s="254" t="s">
        <v>36</v>
      </c>
      <c r="C169" s="255">
        <f>ROUNDUP((1300000*G159)*G159*G159*G159*G159*G159*G159,0)</f>
        <v>1954720</v>
      </c>
      <c r="D169" s="255"/>
      <c r="E169" s="256">
        <v>12</v>
      </c>
      <c r="F169" s="257">
        <f>+A169*(C169+D169)*E169</f>
        <v>46913280</v>
      </c>
      <c r="H169" s="232"/>
    </row>
    <row r="170" spans="1:9" s="59" customFormat="1" x14ac:dyDescent="0.2">
      <c r="A170" s="104"/>
      <c r="B170" s="105" t="s">
        <v>37</v>
      </c>
      <c r="C170" s="106"/>
      <c r="D170" s="107"/>
      <c r="E170" s="108"/>
      <c r="F170" s="109">
        <f>SUM(F163:F169)</f>
        <v>304827888</v>
      </c>
      <c r="H170" s="232"/>
    </row>
    <row r="171" spans="1:9" s="59" customFormat="1" ht="13.5" thickBot="1" x14ac:dyDescent="0.25">
      <c r="A171" s="110"/>
      <c r="B171" s="111" t="s">
        <v>38</v>
      </c>
      <c r="C171" s="112"/>
      <c r="D171" s="112"/>
      <c r="E171" s="112"/>
      <c r="F171" s="113">
        <v>2.4</v>
      </c>
      <c r="H171" s="232"/>
    </row>
    <row r="172" spans="1:9" s="59" customFormat="1" ht="13.5" thickBot="1" x14ac:dyDescent="0.25">
      <c r="A172" s="114"/>
      <c r="B172" s="115" t="s">
        <v>39</v>
      </c>
      <c r="C172" s="116"/>
      <c r="D172" s="116"/>
      <c r="E172" s="116"/>
      <c r="F172" s="117">
        <f>ROUNDUP(F170*F171,0)</f>
        <v>731586932</v>
      </c>
      <c r="G172" s="259"/>
      <c r="H172" s="232"/>
    </row>
    <row r="173" spans="1:9" s="59" customFormat="1" ht="13.5" thickBot="1" x14ac:dyDescent="0.25">
      <c r="A173" s="118"/>
      <c r="H173" s="232"/>
    </row>
    <row r="174" spans="1:9" s="59" customFormat="1" x14ac:dyDescent="0.2">
      <c r="A174" s="31"/>
      <c r="B174" s="32"/>
      <c r="C174" s="33"/>
      <c r="D174" s="34" t="s">
        <v>40</v>
      </c>
      <c r="E174" s="35" t="s">
        <v>41</v>
      </c>
      <c r="F174" s="36" t="s">
        <v>19</v>
      </c>
      <c r="H174" s="232"/>
    </row>
    <row r="175" spans="1:9" s="59" customFormat="1" x14ac:dyDescent="0.2">
      <c r="A175" s="37" t="s">
        <v>21</v>
      </c>
      <c r="B175" s="38" t="s">
        <v>42</v>
      </c>
      <c r="C175" s="39" t="s">
        <v>43</v>
      </c>
      <c r="D175" s="39" t="s">
        <v>44</v>
      </c>
      <c r="E175" s="40" t="s">
        <v>45</v>
      </c>
      <c r="F175" s="41" t="s">
        <v>26</v>
      </c>
      <c r="H175" s="232"/>
    </row>
    <row r="176" spans="1:9" s="59" customFormat="1" ht="13.5" thickBot="1" x14ac:dyDescent="0.25">
      <c r="A176" s="42" t="s">
        <v>46</v>
      </c>
      <c r="B176" s="43"/>
      <c r="C176" s="44"/>
      <c r="D176" s="45" t="s">
        <v>47</v>
      </c>
      <c r="E176" s="46" t="s">
        <v>48</v>
      </c>
      <c r="F176" s="47" t="s">
        <v>49</v>
      </c>
      <c r="H176" s="232"/>
    </row>
    <row r="177" spans="1:9" s="59" customFormat="1" x14ac:dyDescent="0.2">
      <c r="A177" s="48"/>
      <c r="B177" s="49" t="s">
        <v>50</v>
      </c>
      <c r="C177" s="50"/>
      <c r="D177" s="15"/>
      <c r="E177" s="16"/>
      <c r="F177" s="17"/>
      <c r="H177" s="232"/>
    </row>
    <row r="178" spans="1:9" s="59" customFormat="1" x14ac:dyDescent="0.2">
      <c r="A178" s="83"/>
      <c r="B178" s="84" t="s">
        <v>51</v>
      </c>
      <c r="C178" s="119"/>
      <c r="D178" s="120"/>
      <c r="E178" s="121"/>
      <c r="F178" s="18"/>
      <c r="H178" s="232"/>
    </row>
    <row r="179" spans="1:9" s="59" customFormat="1" x14ac:dyDescent="0.2">
      <c r="A179" s="122">
        <v>1</v>
      </c>
      <c r="B179" s="123" t="s">
        <v>34</v>
      </c>
      <c r="C179" s="124" t="s">
        <v>52</v>
      </c>
      <c r="D179" s="19">
        <f>ROUNDUP((290000*G159)*G159*G159*G159*G159*G159*G159,0)</f>
        <v>436053</v>
      </c>
      <c r="E179" s="125">
        <v>10</v>
      </c>
      <c r="F179" s="20">
        <f>+A179*D179*E179</f>
        <v>4360530</v>
      </c>
      <c r="H179" s="232"/>
    </row>
    <row r="180" spans="1:9" s="59" customFormat="1" x14ac:dyDescent="0.2">
      <c r="A180" s="126"/>
      <c r="B180" s="127" t="s">
        <v>53</v>
      </c>
      <c r="C180" s="128"/>
      <c r="D180" s="21"/>
      <c r="E180" s="22"/>
      <c r="F180" s="23"/>
      <c r="H180" s="232"/>
    </row>
    <row r="181" spans="1:9" s="59" customFormat="1" ht="24" x14ac:dyDescent="0.2">
      <c r="A181" s="194">
        <v>2</v>
      </c>
      <c r="B181" s="129" t="s">
        <v>54</v>
      </c>
      <c r="C181" s="130" t="s">
        <v>55</v>
      </c>
      <c r="D181" s="131">
        <f>ROUNDUP((4500000*G159)*G159*G159*G159*G159*G159*G159,0)</f>
        <v>6766337</v>
      </c>
      <c r="E181" s="195">
        <v>12</v>
      </c>
      <c r="F181" s="132">
        <f>+A181*D181*E181</f>
        <v>162392088</v>
      </c>
      <c r="H181" s="232"/>
    </row>
    <row r="182" spans="1:9" s="59" customFormat="1" x14ac:dyDescent="0.2">
      <c r="A182" s="196"/>
      <c r="B182" s="197"/>
      <c r="C182" s="198"/>
      <c r="D182" s="199"/>
      <c r="E182" s="101"/>
      <c r="F182" s="200"/>
      <c r="H182" s="232"/>
    </row>
    <row r="183" spans="1:9" s="59" customFormat="1" x14ac:dyDescent="0.2">
      <c r="A183" s="126"/>
      <c r="B183" s="133" t="s">
        <v>56</v>
      </c>
      <c r="C183" s="128"/>
      <c r="D183" s="21"/>
      <c r="E183" s="22"/>
      <c r="F183" s="23"/>
      <c r="H183" s="232"/>
    </row>
    <row r="184" spans="1:9" s="59" customFormat="1" ht="72" x14ac:dyDescent="0.2">
      <c r="A184" s="134">
        <v>1</v>
      </c>
      <c r="B184" s="135" t="s">
        <v>57</v>
      </c>
      <c r="C184" s="24" t="s">
        <v>92</v>
      </c>
      <c r="D184" s="25">
        <f>ROUND(28000000*G159*G159,0)</f>
        <v>31460800</v>
      </c>
      <c r="E184" s="139">
        <v>1</v>
      </c>
      <c r="F184" s="26">
        <f t="shared" ref="F184:F191" si="2">+A184*D184*E184</f>
        <v>31460800</v>
      </c>
      <c r="G184" s="27" t="s">
        <v>59</v>
      </c>
      <c r="H184" s="232">
        <f>+ROUND((F184/G159)/G159,0)</f>
        <v>28000000</v>
      </c>
      <c r="I184" s="59">
        <v>28000000</v>
      </c>
    </row>
    <row r="185" spans="1:9" s="59" customFormat="1" ht="24" x14ac:dyDescent="0.2">
      <c r="A185" s="136">
        <v>1</v>
      </c>
      <c r="B185" s="137" t="s">
        <v>60</v>
      </c>
      <c r="C185" s="138" t="s">
        <v>58</v>
      </c>
      <c r="D185" s="28">
        <f>ROUNDUP((1900000*2*G159*G159)*G159*G159*G159*G159*G159*G159,0)</f>
        <v>6056623</v>
      </c>
      <c r="E185" s="139">
        <v>1</v>
      </c>
      <c r="F185" s="29">
        <f t="shared" si="2"/>
        <v>6056623</v>
      </c>
      <c r="H185" s="232">
        <f>+ROUND((F185/G159)/G159,0)</f>
        <v>5390373</v>
      </c>
      <c r="I185" s="59">
        <v>5390373</v>
      </c>
    </row>
    <row r="186" spans="1:9" s="59" customFormat="1" x14ac:dyDescent="0.2">
      <c r="A186" s="140">
        <v>1</v>
      </c>
      <c r="B186" s="141" t="s">
        <v>61</v>
      </c>
      <c r="C186" s="142" t="s">
        <v>62</v>
      </c>
      <c r="D186" s="143">
        <f>ROUNDUP((1200000*G159)*G159*G159*G159*G159*G159*G159,0)</f>
        <v>1804357</v>
      </c>
      <c r="E186" s="151">
        <v>12</v>
      </c>
      <c r="F186" s="144">
        <f t="shared" si="2"/>
        <v>21652284</v>
      </c>
      <c r="H186" s="232"/>
    </row>
    <row r="187" spans="1:9" s="59" customFormat="1" x14ac:dyDescent="0.2">
      <c r="A187" s="140">
        <v>1</v>
      </c>
      <c r="B187" s="141" t="s">
        <v>63</v>
      </c>
      <c r="C187" s="142" t="s">
        <v>62</v>
      </c>
      <c r="D187" s="145">
        <f>ROUNDUP((420000*G159)*G159*G159*G159*G159*G159*G159,0)</f>
        <v>631525</v>
      </c>
      <c r="E187" s="146">
        <v>12</v>
      </c>
      <c r="F187" s="144">
        <f t="shared" si="2"/>
        <v>7578300</v>
      </c>
      <c r="H187" s="232"/>
    </row>
    <row r="188" spans="1:9" s="59" customFormat="1" ht="24" x14ac:dyDescent="0.2">
      <c r="A188" s="136">
        <v>1</v>
      </c>
      <c r="B188" s="141" t="s">
        <v>64</v>
      </c>
      <c r="C188" s="147" t="s">
        <v>62</v>
      </c>
      <c r="D188" s="148">
        <f>ROUNDUP((160000*G159)*G159*G159*G159*G159*G159*G159,0)</f>
        <v>240581</v>
      </c>
      <c r="E188" s="149">
        <v>12</v>
      </c>
      <c r="F188" s="150">
        <f t="shared" si="2"/>
        <v>2886972</v>
      </c>
      <c r="H188" s="232"/>
    </row>
    <row r="189" spans="1:9" s="59" customFormat="1" x14ac:dyDescent="0.2">
      <c r="A189" s="140">
        <v>1</v>
      </c>
      <c r="B189" s="141" t="s">
        <v>65</v>
      </c>
      <c r="C189" s="142" t="s">
        <v>62</v>
      </c>
      <c r="D189" s="143">
        <f>ROUNDUP((330000*G159)*G159*G159*G159*G159*G159*G159,0)</f>
        <v>496198</v>
      </c>
      <c r="E189" s="151">
        <v>12</v>
      </c>
      <c r="F189" s="144">
        <f t="shared" si="2"/>
        <v>5954376</v>
      </c>
      <c r="H189" s="232"/>
    </row>
    <row r="190" spans="1:9" s="59" customFormat="1" x14ac:dyDescent="0.2">
      <c r="A190" s="140">
        <v>1</v>
      </c>
      <c r="B190" s="141" t="s">
        <v>66</v>
      </c>
      <c r="C190" s="142" t="s">
        <v>62</v>
      </c>
      <c r="D190" s="143">
        <f>ROUNDUP((400000*G159)*G159*G159*G159*G159*G159*G159,0)</f>
        <v>601453</v>
      </c>
      <c r="E190" s="151">
        <v>12</v>
      </c>
      <c r="F190" s="144">
        <f t="shared" si="2"/>
        <v>7217436</v>
      </c>
      <c r="H190" s="232"/>
    </row>
    <row r="191" spans="1:9" s="59" customFormat="1" x14ac:dyDescent="0.2">
      <c r="A191" s="152">
        <v>1</v>
      </c>
      <c r="B191" s="153" t="s">
        <v>67</v>
      </c>
      <c r="C191" s="154" t="s">
        <v>62</v>
      </c>
      <c r="D191" s="201">
        <f>ROUNDUP((420000*G159)*G159*G159*G159*G159*G159*G159,0)</f>
        <v>631525</v>
      </c>
      <c r="E191" s="155">
        <v>12</v>
      </c>
      <c r="F191" s="144">
        <f t="shared" si="2"/>
        <v>7578300</v>
      </c>
      <c r="H191" s="232"/>
    </row>
    <row r="192" spans="1:9" s="59" customFormat="1" ht="24" x14ac:dyDescent="0.2">
      <c r="A192" s="239">
        <v>1</v>
      </c>
      <c r="B192" s="240" t="s">
        <v>126</v>
      </c>
      <c r="C192" s="241" t="s">
        <v>62</v>
      </c>
      <c r="D192" s="242">
        <f>ROUNDUP(600000*G159*G159*G159*G159*G159,0)</f>
        <v>802936</v>
      </c>
      <c r="E192" s="243">
        <v>12</v>
      </c>
      <c r="F192" s="244">
        <f>+A192*D192*E192</f>
        <v>9635232</v>
      </c>
      <c r="G192" s="59">
        <f>+ROUND((F192/G159)/G159,0)</f>
        <v>8575322</v>
      </c>
      <c r="H192" s="232">
        <v>8575322</v>
      </c>
    </row>
    <row r="193" spans="1:9" s="59" customFormat="1" ht="13.5" thickBot="1" x14ac:dyDescent="0.25">
      <c r="A193" s="156"/>
      <c r="B193" s="157" t="s">
        <v>68</v>
      </c>
      <c r="C193" s="158"/>
      <c r="D193" s="158"/>
      <c r="E193" s="158"/>
      <c r="F193" s="159">
        <f>SUM(F179:F192)</f>
        <v>266772941</v>
      </c>
      <c r="G193" s="190"/>
      <c r="H193" s="232"/>
    </row>
    <row r="194" spans="1:9" s="59" customFormat="1" ht="13.5" thickBot="1" x14ac:dyDescent="0.25">
      <c r="A194" s="160"/>
      <c r="B194" s="161"/>
      <c r="C194" s="162"/>
      <c r="D194" s="162"/>
      <c r="E194" s="162"/>
      <c r="F194" s="163"/>
      <c r="H194" s="232"/>
    </row>
    <row r="195" spans="1:9" s="59" customFormat="1" x14ac:dyDescent="0.2">
      <c r="A195" s="31"/>
      <c r="B195" s="32"/>
      <c r="C195" s="33"/>
      <c r="D195" s="34" t="s">
        <v>40</v>
      </c>
      <c r="E195" s="35" t="s">
        <v>41</v>
      </c>
      <c r="F195" s="36" t="s">
        <v>19</v>
      </c>
      <c r="H195" s="232"/>
    </row>
    <row r="196" spans="1:9" s="59" customFormat="1" x14ac:dyDescent="0.2">
      <c r="A196" s="37" t="s">
        <v>21</v>
      </c>
      <c r="B196" s="38" t="s">
        <v>42</v>
      </c>
      <c r="C196" s="39" t="s">
        <v>43</v>
      </c>
      <c r="D196" s="39" t="s">
        <v>44</v>
      </c>
      <c r="E196" s="40" t="s">
        <v>45</v>
      </c>
      <c r="F196" s="41" t="s">
        <v>26</v>
      </c>
      <c r="H196" s="232"/>
    </row>
    <row r="197" spans="1:9" s="59" customFormat="1" ht="13.5" thickBot="1" x14ac:dyDescent="0.25">
      <c r="A197" s="42" t="s">
        <v>69</v>
      </c>
      <c r="B197" s="43"/>
      <c r="C197" s="44"/>
      <c r="D197" s="45" t="s">
        <v>70</v>
      </c>
      <c r="E197" s="46" t="s">
        <v>71</v>
      </c>
      <c r="F197" s="47" t="s">
        <v>72</v>
      </c>
      <c r="H197" s="232"/>
    </row>
    <row r="198" spans="1:9" s="59" customFormat="1" x14ac:dyDescent="0.2">
      <c r="A198" s="164"/>
      <c r="B198" s="49" t="s">
        <v>73</v>
      </c>
      <c r="C198" s="50"/>
      <c r="D198" s="15"/>
      <c r="E198" s="16"/>
      <c r="F198" s="17"/>
      <c r="H198" s="232"/>
    </row>
    <row r="199" spans="1:9" s="59" customFormat="1" ht="60" x14ac:dyDescent="0.2">
      <c r="A199" s="202">
        <v>1</v>
      </c>
      <c r="B199" s="51" t="s">
        <v>139</v>
      </c>
      <c r="C199" s="166" t="s">
        <v>75</v>
      </c>
      <c r="D199" s="52">
        <f>ROUNDUP((5000000*G159)*G159*G159*G159*G159*G159*G159*12/12,0)</f>
        <v>7518152</v>
      </c>
      <c r="E199" s="169">
        <v>1</v>
      </c>
      <c r="F199" s="167">
        <f>+A199*D199*E199</f>
        <v>7518152</v>
      </c>
      <c r="G199" s="27" t="s">
        <v>59</v>
      </c>
      <c r="H199" s="232"/>
    </row>
    <row r="200" spans="1:9" s="59" customFormat="1" ht="24" x14ac:dyDescent="0.2">
      <c r="A200" s="203">
        <v>1</v>
      </c>
      <c r="B200" s="168" t="s">
        <v>76</v>
      </c>
      <c r="C200" s="138" t="s">
        <v>77</v>
      </c>
      <c r="D200" s="148">
        <f>ROUNDUP((4600000*G159)*G159*G159*G159*G159*G159*G159*12/12,0)</f>
        <v>6916700</v>
      </c>
      <c r="E200" s="169">
        <v>1</v>
      </c>
      <c r="F200" s="29">
        <f>+A200*D200*E200</f>
        <v>6916700</v>
      </c>
      <c r="H200" s="232">
        <f>+ROUND((F200/G159)/G159,0)</f>
        <v>6155838</v>
      </c>
      <c r="I200" s="59">
        <v>6155838</v>
      </c>
    </row>
    <row r="201" spans="1:9" s="59" customFormat="1" x14ac:dyDescent="0.2">
      <c r="A201" s="204">
        <v>1000</v>
      </c>
      <c r="B201" s="171" t="s">
        <v>89</v>
      </c>
      <c r="C201" s="172" t="s">
        <v>78</v>
      </c>
      <c r="D201" s="143">
        <f>ROUNDUP((1300*G159)*G159*G159*G159*G159*G159*G159,0)</f>
        <v>1955</v>
      </c>
      <c r="E201" s="151">
        <v>2</v>
      </c>
      <c r="F201" s="30">
        <f>+A201*D201*E201</f>
        <v>3910000</v>
      </c>
      <c r="H201" s="232"/>
    </row>
    <row r="202" spans="1:9" s="59" customFormat="1" x14ac:dyDescent="0.2">
      <c r="A202" s="170"/>
      <c r="B202" s="173"/>
      <c r="C202" s="174"/>
      <c r="D202" s="91"/>
      <c r="E202" s="155"/>
      <c r="F202" s="175"/>
      <c r="H202" s="232"/>
    </row>
    <row r="203" spans="1:9" s="59" customFormat="1" ht="13.5" thickBot="1" x14ac:dyDescent="0.25">
      <c r="A203" s="205"/>
      <c r="B203" s="53" t="s">
        <v>79</v>
      </c>
      <c r="C203" s="176"/>
      <c r="D203" s="177"/>
      <c r="E203" s="97"/>
      <c r="F203" s="178">
        <f>SUM(F199:F202)</f>
        <v>18344852</v>
      </c>
      <c r="G203" s="246"/>
      <c r="H203" s="232"/>
    </row>
    <row r="204" spans="1:9" s="59" customFormat="1" x14ac:dyDescent="0.2">
      <c r="A204" s="179"/>
      <c r="B204" s="180" t="s">
        <v>80</v>
      </c>
      <c r="C204" s="181"/>
      <c r="D204" s="181"/>
      <c r="E204" s="181"/>
      <c r="F204" s="182">
        <f>+F172+F193+F203</f>
        <v>1016704725</v>
      </c>
      <c r="H204" s="232"/>
    </row>
    <row r="205" spans="1:9" s="59" customFormat="1" x14ac:dyDescent="0.2">
      <c r="A205" s="183"/>
      <c r="B205" s="184" t="s">
        <v>81</v>
      </c>
      <c r="C205" s="128"/>
      <c r="D205" s="128"/>
      <c r="E205" s="128"/>
      <c r="F205" s="185">
        <f>+ROUND(F204*0.19,0)</f>
        <v>193173898</v>
      </c>
      <c r="H205" s="232"/>
    </row>
    <row r="206" spans="1:9" s="59" customFormat="1" ht="13.5" thickBot="1" x14ac:dyDescent="0.25">
      <c r="A206" s="186"/>
      <c r="B206" s="187" t="s">
        <v>82</v>
      </c>
      <c r="C206" s="188"/>
      <c r="D206" s="188"/>
      <c r="E206" s="188"/>
      <c r="F206" s="189">
        <f>+F204+F205</f>
        <v>1209878623</v>
      </c>
      <c r="G206" s="260"/>
      <c r="H206" s="232"/>
    </row>
    <row r="207" spans="1:9" s="59" customFormat="1" x14ac:dyDescent="0.2">
      <c r="A207" s="54" t="s">
        <v>83</v>
      </c>
      <c r="B207" s="55"/>
      <c r="C207" s="56"/>
      <c r="D207" s="56"/>
      <c r="E207" s="56"/>
      <c r="F207" s="57"/>
      <c r="H207" s="232"/>
    </row>
    <row r="208" spans="1:9" s="59" customFormat="1" ht="12.75" customHeight="1" x14ac:dyDescent="0.2">
      <c r="A208" s="340" t="s">
        <v>84</v>
      </c>
      <c r="B208" s="341"/>
      <c r="C208" s="341"/>
      <c r="D208" s="341"/>
      <c r="E208" s="341"/>
      <c r="F208" s="342"/>
      <c r="H208" s="232"/>
    </row>
    <row r="209" spans="1:17" s="59" customFormat="1" ht="25.5" customHeight="1" x14ac:dyDescent="0.2">
      <c r="A209" s="340" t="s">
        <v>85</v>
      </c>
      <c r="B209" s="341"/>
      <c r="C209" s="341"/>
      <c r="D209" s="341"/>
      <c r="E209" s="341"/>
      <c r="F209" s="342"/>
      <c r="H209" s="232"/>
    </row>
    <row r="210" spans="1:17" s="59" customFormat="1" ht="28.5" customHeight="1" x14ac:dyDescent="0.2">
      <c r="A210" s="334" t="s">
        <v>131</v>
      </c>
      <c r="B210" s="335"/>
      <c r="C210" s="335"/>
      <c r="D210" s="335"/>
      <c r="E210" s="335"/>
      <c r="F210" s="336"/>
      <c r="H210" s="232"/>
    </row>
    <row r="211" spans="1:17" s="59" customFormat="1" ht="34.5" customHeight="1" x14ac:dyDescent="0.2">
      <c r="A211" s="337" t="s">
        <v>132</v>
      </c>
      <c r="B211" s="338"/>
      <c r="C211" s="338"/>
      <c r="D211" s="338"/>
      <c r="E211" s="338"/>
      <c r="F211" s="339"/>
      <c r="H211" s="232"/>
    </row>
    <row r="212" spans="1:17" s="59" customFormat="1" ht="26.25" customHeight="1" x14ac:dyDescent="0.2">
      <c r="A212" s="337" t="s">
        <v>133</v>
      </c>
      <c r="B212" s="338"/>
      <c r="C212" s="338"/>
      <c r="D212" s="338"/>
      <c r="E212" s="338"/>
      <c r="F212" s="339"/>
      <c r="H212" s="232"/>
    </row>
    <row r="213" spans="1:17" s="59" customFormat="1" ht="12.75" customHeight="1" x14ac:dyDescent="0.2">
      <c r="A213" s="337" t="s">
        <v>134</v>
      </c>
      <c r="B213" s="338"/>
      <c r="C213" s="338"/>
      <c r="D213" s="338"/>
      <c r="E213" s="338"/>
      <c r="F213" s="339"/>
      <c r="H213" s="232"/>
    </row>
    <row r="214" spans="1:17" s="59" customFormat="1" ht="27.75" customHeight="1" x14ac:dyDescent="0.2">
      <c r="A214" s="337" t="s">
        <v>135</v>
      </c>
      <c r="B214" s="338"/>
      <c r="C214" s="338"/>
      <c r="D214" s="338"/>
      <c r="E214" s="338"/>
      <c r="F214" s="339"/>
      <c r="H214" s="232"/>
    </row>
    <row r="215" spans="1:17" s="59" customFormat="1" ht="30" customHeight="1" x14ac:dyDescent="0.2">
      <c r="A215" s="337" t="s">
        <v>136</v>
      </c>
      <c r="B215" s="338"/>
      <c r="C215" s="338"/>
      <c r="D215" s="338"/>
      <c r="E215" s="338"/>
      <c r="F215" s="339"/>
      <c r="H215" s="232"/>
    </row>
    <row r="216" spans="1:17" s="59" customFormat="1" ht="17.25" customHeight="1" x14ac:dyDescent="0.2">
      <c r="A216" s="337" t="s">
        <v>130</v>
      </c>
      <c r="B216" s="338"/>
      <c r="C216" s="338"/>
      <c r="D216" s="338"/>
      <c r="E216" s="338"/>
      <c r="F216" s="339"/>
      <c r="H216" s="232"/>
    </row>
    <row r="217" spans="1:17" s="59" customFormat="1" ht="36.75" customHeight="1" x14ac:dyDescent="0.2">
      <c r="A217" s="343" t="s">
        <v>138</v>
      </c>
      <c r="B217" s="344"/>
      <c r="C217" s="344"/>
      <c r="D217" s="344"/>
      <c r="E217" s="344"/>
      <c r="F217" s="345"/>
      <c r="H217" s="232"/>
    </row>
    <row r="218" spans="1:17" s="59" customFormat="1" ht="39" customHeight="1" thickBot="1" x14ac:dyDescent="0.25">
      <c r="A218" s="346" t="s">
        <v>137</v>
      </c>
      <c r="B218" s="347"/>
      <c r="C218" s="347"/>
      <c r="D218" s="347"/>
      <c r="E218" s="347"/>
      <c r="F218" s="348"/>
      <c r="H218" s="232"/>
    </row>
    <row r="219" spans="1:17" s="59" customFormat="1" ht="13.5" thickBot="1" x14ac:dyDescent="0.25">
      <c r="H219" s="232"/>
    </row>
    <row r="220" spans="1:17" s="59" customFormat="1" x14ac:dyDescent="0.2">
      <c r="A220" s="60" t="s">
        <v>12</v>
      </c>
      <c r="B220" s="61"/>
      <c r="C220" s="61"/>
      <c r="D220" s="61"/>
      <c r="E220" s="61"/>
      <c r="F220" s="62"/>
      <c r="H220" s="232"/>
      <c r="J220" s="60" t="s">
        <v>12</v>
      </c>
      <c r="K220" s="61"/>
      <c r="L220" s="61"/>
      <c r="M220" s="61"/>
      <c r="N220" s="61"/>
      <c r="O220" s="62"/>
      <c r="Q220" s="232"/>
    </row>
    <row r="221" spans="1:17" s="59" customFormat="1" ht="18" x14ac:dyDescent="0.2">
      <c r="A221" s="63" t="s">
        <v>13</v>
      </c>
      <c r="B221" s="64"/>
      <c r="C221" s="64"/>
      <c r="D221" s="64"/>
      <c r="E221" s="64"/>
      <c r="F221" s="65"/>
      <c r="H221" s="232"/>
      <c r="J221" s="63" t="s">
        <v>13</v>
      </c>
      <c r="K221" s="64"/>
      <c r="L221" s="64"/>
      <c r="M221" s="64"/>
      <c r="N221" s="64"/>
      <c r="O221" s="65"/>
      <c r="Q221" s="232"/>
    </row>
    <row r="222" spans="1:17" s="59" customFormat="1" ht="15" x14ac:dyDescent="0.2">
      <c r="A222" s="66" t="s">
        <v>143</v>
      </c>
      <c r="B222" s="64"/>
      <c r="C222" s="64"/>
      <c r="D222" s="64"/>
      <c r="E222" s="64"/>
      <c r="F222" s="65"/>
      <c r="H222" s="232"/>
      <c r="J222" s="66" t="s">
        <v>143</v>
      </c>
      <c r="K222" s="64"/>
      <c r="L222" s="64"/>
      <c r="M222" s="64"/>
      <c r="N222" s="64"/>
      <c r="O222" s="65"/>
      <c r="Q222" s="232"/>
    </row>
    <row r="223" spans="1:17" s="59" customFormat="1" ht="12.75" customHeight="1" x14ac:dyDescent="0.2">
      <c r="A223" s="67" t="s">
        <v>142</v>
      </c>
      <c r="B223" s="64"/>
      <c r="C223" s="64"/>
      <c r="D223" s="64"/>
      <c r="E223" s="64"/>
      <c r="F223" s="65"/>
      <c r="H223" s="232"/>
      <c r="J223" s="67" t="s">
        <v>142</v>
      </c>
      <c r="K223" s="64"/>
      <c r="L223" s="64"/>
      <c r="M223" s="64"/>
      <c r="N223" s="64"/>
      <c r="O223" s="65"/>
      <c r="Q223" s="232"/>
    </row>
    <row r="224" spans="1:17" s="59" customFormat="1" ht="60" customHeight="1" x14ac:dyDescent="0.2">
      <c r="A224" s="331" t="s">
        <v>144</v>
      </c>
      <c r="B224" s="332"/>
      <c r="C224" s="332"/>
      <c r="D224" s="332"/>
      <c r="E224" s="332"/>
      <c r="F224" s="333"/>
      <c r="H224" s="232"/>
      <c r="J224" s="331" t="s">
        <v>144</v>
      </c>
      <c r="K224" s="332"/>
      <c r="L224" s="332"/>
      <c r="M224" s="332"/>
      <c r="N224" s="332"/>
      <c r="O224" s="333"/>
      <c r="Q224" s="232"/>
    </row>
    <row r="225" spans="1:17" s="59" customFormat="1" ht="13.5" thickBot="1" x14ac:dyDescent="0.25">
      <c r="A225" s="192" t="s">
        <v>91</v>
      </c>
      <c r="B225" s="64"/>
      <c r="C225" s="64"/>
      <c r="D225" s="64"/>
      <c r="E225" s="64"/>
      <c r="F225" s="65"/>
      <c r="H225" s="232"/>
      <c r="J225" s="192" t="s">
        <v>91</v>
      </c>
      <c r="K225" s="64"/>
      <c r="L225" s="64"/>
      <c r="M225" s="64"/>
      <c r="N225" s="64"/>
      <c r="O225" s="65"/>
      <c r="Q225" s="232"/>
    </row>
    <row r="226" spans="1:17" s="59" customFormat="1" ht="13.5" thickBot="1" x14ac:dyDescent="0.25">
      <c r="A226" s="68"/>
      <c r="B226" s="69"/>
      <c r="C226" s="69"/>
      <c r="D226" s="69"/>
      <c r="E226" s="349" t="s">
        <v>86</v>
      </c>
      <c r="F226" s="350"/>
      <c r="H226" s="232"/>
      <c r="J226" s="68"/>
      <c r="K226" s="69"/>
      <c r="L226" s="69"/>
      <c r="M226" s="69"/>
      <c r="N226" s="349" t="s">
        <v>127</v>
      </c>
      <c r="O226" s="350"/>
      <c r="Q226" s="232"/>
    </row>
    <row r="227" spans="1:17" s="59" customFormat="1" x14ac:dyDescent="0.2">
      <c r="A227" s="70"/>
      <c r="B227" s="71"/>
      <c r="C227" s="71"/>
      <c r="D227" s="71"/>
      <c r="E227" s="71"/>
      <c r="F227" s="72"/>
      <c r="H227" s="232"/>
      <c r="J227" s="70"/>
      <c r="K227" s="71"/>
      <c r="L227" s="71"/>
      <c r="M227" s="71"/>
      <c r="N227" s="71"/>
      <c r="O227" s="72"/>
      <c r="Q227" s="232"/>
    </row>
    <row r="228" spans="1:17" s="59" customFormat="1" ht="15.75" x14ac:dyDescent="0.2">
      <c r="A228" s="73" t="s">
        <v>14</v>
      </c>
      <c r="B228" s="74"/>
      <c r="C228" s="74"/>
      <c r="D228" s="74"/>
      <c r="E228" s="74"/>
      <c r="F228" s="75"/>
      <c r="H228" s="232"/>
      <c r="J228" s="73" t="s">
        <v>14</v>
      </c>
      <c r="K228" s="74"/>
      <c r="L228" s="74"/>
      <c r="M228" s="74"/>
      <c r="N228" s="74"/>
      <c r="O228" s="75"/>
      <c r="Q228" s="232"/>
    </row>
    <row r="229" spans="1:17" s="59" customFormat="1" ht="15.75" thickBot="1" x14ac:dyDescent="0.3">
      <c r="A229" s="351" t="s">
        <v>15</v>
      </c>
      <c r="B229" s="352"/>
      <c r="C229" s="352"/>
      <c r="D229" s="352"/>
      <c r="E229" s="352"/>
      <c r="F229" s="353"/>
      <c r="H229" s="232"/>
      <c r="J229" s="351" t="s">
        <v>15</v>
      </c>
      <c r="K229" s="352"/>
      <c r="L229" s="352"/>
      <c r="M229" s="352"/>
      <c r="N229" s="352"/>
      <c r="O229" s="353"/>
      <c r="Q229" s="232"/>
    </row>
    <row r="230" spans="1:17" s="59" customFormat="1" x14ac:dyDescent="0.2">
      <c r="A230" s="76"/>
      <c r="B230" s="77"/>
      <c r="C230" s="34" t="s">
        <v>16</v>
      </c>
      <c r="D230" s="34" t="s">
        <v>17</v>
      </c>
      <c r="E230" s="34" t="s">
        <v>18</v>
      </c>
      <c r="F230" s="36" t="s">
        <v>19</v>
      </c>
      <c r="G230" s="78" t="s">
        <v>20</v>
      </c>
      <c r="H230" s="232"/>
      <c r="J230" s="76"/>
      <c r="K230" s="77"/>
      <c r="L230" s="34" t="s">
        <v>16</v>
      </c>
      <c r="M230" s="34" t="s">
        <v>17</v>
      </c>
      <c r="N230" s="34" t="s">
        <v>18</v>
      </c>
      <c r="O230" s="36" t="s">
        <v>19</v>
      </c>
      <c r="P230" s="78" t="s">
        <v>20</v>
      </c>
      <c r="Q230" s="232"/>
    </row>
    <row r="231" spans="1:17" s="59" customFormat="1" x14ac:dyDescent="0.2">
      <c r="A231" s="37" t="s">
        <v>21</v>
      </c>
      <c r="B231" s="79" t="s">
        <v>22</v>
      </c>
      <c r="C231" s="39" t="s">
        <v>23</v>
      </c>
      <c r="D231" s="39" t="s">
        <v>24</v>
      </c>
      <c r="E231" s="39" t="s">
        <v>25</v>
      </c>
      <c r="F231" s="41" t="s">
        <v>26</v>
      </c>
      <c r="G231" s="78">
        <v>1.06</v>
      </c>
      <c r="H231" s="232"/>
      <c r="J231" s="37" t="s">
        <v>21</v>
      </c>
      <c r="K231" s="79" t="s">
        <v>22</v>
      </c>
      <c r="L231" s="39" t="s">
        <v>23</v>
      </c>
      <c r="M231" s="39" t="s">
        <v>24</v>
      </c>
      <c r="N231" s="39" t="s">
        <v>25</v>
      </c>
      <c r="O231" s="41" t="s">
        <v>26</v>
      </c>
      <c r="P231" s="78">
        <v>1.06</v>
      </c>
      <c r="Q231" s="232"/>
    </row>
    <row r="232" spans="1:17" s="59" customFormat="1" ht="13.5" thickBot="1" x14ac:dyDescent="0.25">
      <c r="A232" s="42" t="s">
        <v>27</v>
      </c>
      <c r="B232" s="80"/>
      <c r="C232" s="45" t="s">
        <v>28</v>
      </c>
      <c r="D232" s="45" t="s">
        <v>29</v>
      </c>
      <c r="E232" s="45" t="s">
        <v>30</v>
      </c>
      <c r="F232" s="81" t="s">
        <v>31</v>
      </c>
      <c r="H232" s="232"/>
      <c r="J232" s="42" t="s">
        <v>27</v>
      </c>
      <c r="K232" s="80"/>
      <c r="L232" s="45" t="s">
        <v>28</v>
      </c>
      <c r="M232" s="45" t="s">
        <v>29</v>
      </c>
      <c r="N232" s="45" t="s">
        <v>30</v>
      </c>
      <c r="O232" s="81" t="s">
        <v>31</v>
      </c>
      <c r="Q232" s="232"/>
    </row>
    <row r="233" spans="1:17" s="59" customFormat="1" x14ac:dyDescent="0.2">
      <c r="A233" s="82"/>
      <c r="B233" s="49" t="s">
        <v>32</v>
      </c>
      <c r="C233" s="7"/>
      <c r="D233" s="7"/>
      <c r="E233" s="8"/>
      <c r="F233" s="9"/>
      <c r="H233" s="232"/>
      <c r="J233" s="82"/>
      <c r="K233" s="49" t="s">
        <v>32</v>
      </c>
      <c r="L233" s="7"/>
      <c r="M233" s="7"/>
      <c r="N233" s="8"/>
      <c r="O233" s="9"/>
      <c r="Q233" s="232"/>
    </row>
    <row r="234" spans="1:17" s="59" customFormat="1" x14ac:dyDescent="0.2">
      <c r="A234" s="83"/>
      <c r="B234" s="84" t="s">
        <v>33</v>
      </c>
      <c r="C234" s="10"/>
      <c r="D234" s="10"/>
      <c r="E234" s="11"/>
      <c r="F234" s="12"/>
      <c r="H234" s="232"/>
      <c r="J234" s="83"/>
      <c r="K234" s="84" t="s">
        <v>33</v>
      </c>
      <c r="L234" s="10"/>
      <c r="M234" s="10"/>
      <c r="N234" s="11"/>
      <c r="O234" s="12"/>
      <c r="Q234" s="232"/>
    </row>
    <row r="235" spans="1:17" s="59" customFormat="1" x14ac:dyDescent="0.2">
      <c r="A235" s="85">
        <v>1</v>
      </c>
      <c r="B235" s="86" t="s">
        <v>34</v>
      </c>
      <c r="C235" s="87">
        <f>ROUNDUP((4800000*G231)*G231*G231*G231*G231*G231*G231*G231,0)</f>
        <v>7650471</v>
      </c>
      <c r="D235" s="87">
        <f>ROUNDUP((490000*G231)*G231*G231*G231*G231*G231*G231*G231,0)</f>
        <v>780986</v>
      </c>
      <c r="E235" s="88">
        <v>12</v>
      </c>
      <c r="F235" s="14">
        <f>+A235*(C235+D235)*E235</f>
        <v>101177484</v>
      </c>
      <c r="H235" s="232"/>
      <c r="I235" s="232"/>
      <c r="J235" s="85">
        <v>1</v>
      </c>
      <c r="K235" s="86" t="s">
        <v>34</v>
      </c>
      <c r="L235" s="87">
        <f>ROUNDUP((4800000*P231)*P231*P231*P231*P231*P231*P231*P231,0)</f>
        <v>7650471</v>
      </c>
      <c r="M235" s="87">
        <f>ROUNDUP((490000*P231)*P231*P231*P231*P231*P231*P231*P231,0)</f>
        <v>780986</v>
      </c>
      <c r="N235" s="88">
        <v>7</v>
      </c>
      <c r="O235" s="14">
        <f>+J235*(L235+M235)*N235</f>
        <v>59020199</v>
      </c>
      <c r="Q235" s="232"/>
    </row>
    <row r="236" spans="1:17" s="59" customFormat="1" x14ac:dyDescent="0.2">
      <c r="A236" s="248">
        <v>1</v>
      </c>
      <c r="B236" s="249" t="s">
        <v>128</v>
      </c>
      <c r="C236" s="250">
        <f>ROUNDUP((3400000*G231)*G231*G231*G231*G231*G231*G231*G231,0)</f>
        <v>5419084</v>
      </c>
      <c r="D236" s="250">
        <f>ROUNDUP((490000*G231)*G231*G231*G231*G231*G231*G231*G231,0)</f>
        <v>780986</v>
      </c>
      <c r="E236" s="251">
        <v>12</v>
      </c>
      <c r="F236" s="252">
        <f>+A236*(C236+D236)*E236</f>
        <v>74400840</v>
      </c>
      <c r="H236" s="232"/>
      <c r="I236" s="232"/>
      <c r="J236" s="245">
        <v>1</v>
      </c>
      <c r="K236" s="90" t="s">
        <v>87</v>
      </c>
      <c r="L236" s="91">
        <f>ROUNDUP((3400000*P231)*P231*P231*P231*P231*P231*P231*P231,0)</f>
        <v>5419084</v>
      </c>
      <c r="M236" s="91">
        <f>ROUNDUP((490000*P231)*P231*P231*P231*P231*P231*P231*P231,0)</f>
        <v>780986</v>
      </c>
      <c r="N236" s="92">
        <v>7</v>
      </c>
      <c r="O236" s="93">
        <f>+J236*(L236+M236)*N236</f>
        <v>43400490</v>
      </c>
      <c r="P236" s="191"/>
      <c r="Q236" s="232"/>
    </row>
    <row r="237" spans="1:17" s="59" customFormat="1" x14ac:dyDescent="0.2">
      <c r="A237" s="253">
        <v>1</v>
      </c>
      <c r="B237" s="254" t="s">
        <v>129</v>
      </c>
      <c r="C237" s="255">
        <f>ROUND(2810273*G231*G231*G231,0)+1</f>
        <v>3347081</v>
      </c>
      <c r="D237" s="255">
        <f>+D236</f>
        <v>780986</v>
      </c>
      <c r="E237" s="256">
        <v>12</v>
      </c>
      <c r="F237" s="257">
        <f>+A237*(C237+D237)*E237</f>
        <v>49536804</v>
      </c>
      <c r="H237" s="232"/>
      <c r="I237" s="232"/>
      <c r="J237" s="253">
        <v>1</v>
      </c>
      <c r="K237" s="254" t="s">
        <v>129</v>
      </c>
      <c r="L237" s="255">
        <f>ROUND(2810273*P231*P231*P231,0)+1</f>
        <v>3347081</v>
      </c>
      <c r="M237" s="255">
        <f>+M236</f>
        <v>780986</v>
      </c>
      <c r="N237" s="256">
        <v>7</v>
      </c>
      <c r="O237" s="257">
        <f>+J237*(L237+M237)*N237</f>
        <v>28896469</v>
      </c>
      <c r="Q237" s="232"/>
    </row>
    <row r="238" spans="1:17" s="59" customFormat="1" x14ac:dyDescent="0.2">
      <c r="A238" s="94"/>
      <c r="B238" s="95" t="s">
        <v>35</v>
      </c>
      <c r="C238" s="96"/>
      <c r="D238" s="96"/>
      <c r="E238" s="97"/>
      <c r="F238" s="13"/>
      <c r="H238" s="232"/>
      <c r="J238" s="94"/>
      <c r="K238" s="95" t="s">
        <v>35</v>
      </c>
      <c r="L238" s="96"/>
      <c r="M238" s="96"/>
      <c r="N238" s="97"/>
      <c r="O238" s="13"/>
      <c r="Q238" s="232"/>
    </row>
    <row r="239" spans="1:17" s="59" customFormat="1" x14ac:dyDescent="0.2">
      <c r="A239" s="234">
        <v>1</v>
      </c>
      <c r="B239" s="235" t="s">
        <v>125</v>
      </c>
      <c r="C239" s="236">
        <f>ROUND(1600000*G231*G231*G231*G231*G231*G231,0)</f>
        <v>2269631</v>
      </c>
      <c r="D239" s="236"/>
      <c r="E239" s="237">
        <v>12</v>
      </c>
      <c r="F239" s="238">
        <f>+A239*(C239+D239)*E239</f>
        <v>27235572</v>
      </c>
      <c r="H239" s="232"/>
      <c r="J239" s="234">
        <v>1</v>
      </c>
      <c r="K239" s="235" t="s">
        <v>125</v>
      </c>
      <c r="L239" s="236">
        <f>ROUND(1600000*P231*P231*P231*P231*P231*P231,0)</f>
        <v>2269631</v>
      </c>
      <c r="M239" s="236"/>
      <c r="N239" s="237">
        <v>7</v>
      </c>
      <c r="O239" s="238">
        <f>+J239*(L239+M239)*N239</f>
        <v>15887417</v>
      </c>
      <c r="Q239" s="232"/>
    </row>
    <row r="240" spans="1:17" s="59" customFormat="1" x14ac:dyDescent="0.2">
      <c r="A240" s="98">
        <v>1</v>
      </c>
      <c r="B240" s="99" t="s">
        <v>88</v>
      </c>
      <c r="C240" s="87">
        <f>ROUNDUP((1100000*G231)*G231*G231*G231*G231*G231*G231*G231,0)</f>
        <v>1753233</v>
      </c>
      <c r="D240" s="100"/>
      <c r="E240" s="101">
        <v>12</v>
      </c>
      <c r="F240" s="14">
        <f>+A240*(C240+D240)*E240</f>
        <v>21038796</v>
      </c>
      <c r="H240" s="232"/>
      <c r="J240" s="98">
        <v>1</v>
      </c>
      <c r="K240" s="99" t="s">
        <v>88</v>
      </c>
      <c r="L240" s="87">
        <f>ROUNDUP((1100000*P231)*P231*P231*P231*P231*P231*P231*P231,0)</f>
        <v>1753233</v>
      </c>
      <c r="M240" s="100"/>
      <c r="N240" s="101">
        <v>7</v>
      </c>
      <c r="O240" s="14">
        <f>+J240*(L240+M240)*N240</f>
        <v>12272631</v>
      </c>
      <c r="Q240" s="232"/>
    </row>
    <row r="241" spans="1:18" s="59" customFormat="1" x14ac:dyDescent="0.2">
      <c r="A241" s="253">
        <v>2</v>
      </c>
      <c r="B241" s="102" t="s">
        <v>36</v>
      </c>
      <c r="C241" s="91">
        <f>ROUNDUP((1300000*G231)*G231*G231*G231*G231*G231*G231*G231,0)</f>
        <v>2072003</v>
      </c>
      <c r="D241" s="103"/>
      <c r="E241" s="92">
        <v>12</v>
      </c>
      <c r="F241" s="93">
        <f>+A241*(C241+D241)*E241</f>
        <v>49728072</v>
      </c>
      <c r="H241" s="232"/>
      <c r="J241" s="89">
        <v>2</v>
      </c>
      <c r="K241" s="102" t="s">
        <v>36</v>
      </c>
      <c r="L241" s="91">
        <f>ROUNDUP((1300000*P231)*P231*P231*P231*P231*P231*P231*P231,0)</f>
        <v>2072003</v>
      </c>
      <c r="M241" s="103"/>
      <c r="N241" s="92">
        <v>7</v>
      </c>
      <c r="O241" s="93">
        <f>+J241*(L241+M241)*N241</f>
        <v>29008042</v>
      </c>
      <c r="Q241" s="232"/>
    </row>
    <row r="242" spans="1:18" s="59" customFormat="1" x14ac:dyDescent="0.2">
      <c r="A242" s="104"/>
      <c r="B242" s="105" t="s">
        <v>37</v>
      </c>
      <c r="C242" s="106"/>
      <c r="D242" s="107"/>
      <c r="E242" s="108"/>
      <c r="F242" s="109">
        <f>SUM(F235:F241)</f>
        <v>323117568</v>
      </c>
      <c r="H242" s="232"/>
      <c r="J242" s="104"/>
      <c r="K242" s="105" t="s">
        <v>37</v>
      </c>
      <c r="L242" s="106"/>
      <c r="M242" s="107"/>
      <c r="N242" s="108"/>
      <c r="O242" s="109">
        <f>SUM(O235:O241)</f>
        <v>188485248</v>
      </c>
      <c r="Q242" s="232"/>
    </row>
    <row r="243" spans="1:18" s="59" customFormat="1" ht="13.5" thickBot="1" x14ac:dyDescent="0.25">
      <c r="A243" s="110"/>
      <c r="B243" s="111" t="s">
        <v>38</v>
      </c>
      <c r="C243" s="112"/>
      <c r="D243" s="112"/>
      <c r="E243" s="112"/>
      <c r="F243" s="113">
        <v>2.4</v>
      </c>
      <c r="H243" s="232"/>
      <c r="J243" s="110"/>
      <c r="K243" s="111" t="s">
        <v>38</v>
      </c>
      <c r="L243" s="112"/>
      <c r="M243" s="112"/>
      <c r="N243" s="112"/>
      <c r="O243" s="113">
        <v>2.4</v>
      </c>
      <c r="Q243" s="232"/>
    </row>
    <row r="244" spans="1:18" s="59" customFormat="1" ht="13.5" thickBot="1" x14ac:dyDescent="0.25">
      <c r="A244" s="114"/>
      <c r="B244" s="115" t="s">
        <v>39</v>
      </c>
      <c r="C244" s="116"/>
      <c r="D244" s="116"/>
      <c r="E244" s="116"/>
      <c r="F244" s="117">
        <f>ROUNDUP(F242*F243,0)</f>
        <v>775482164</v>
      </c>
      <c r="G244" s="259"/>
      <c r="H244" s="258"/>
      <c r="J244" s="114"/>
      <c r="K244" s="115" t="s">
        <v>39</v>
      </c>
      <c r="L244" s="116"/>
      <c r="M244" s="116"/>
      <c r="N244" s="116"/>
      <c r="O244" s="117">
        <f>ROUNDUP(O242*O243,0)</f>
        <v>452364596</v>
      </c>
      <c r="P244" s="259"/>
      <c r="Q244" s="232"/>
    </row>
    <row r="245" spans="1:18" s="59" customFormat="1" ht="13.5" thickBot="1" x14ac:dyDescent="0.25">
      <c r="A245" s="118"/>
      <c r="H245" s="232"/>
      <c r="J245" s="118"/>
      <c r="Q245" s="232"/>
    </row>
    <row r="246" spans="1:18" s="59" customFormat="1" x14ac:dyDescent="0.2">
      <c r="A246" s="31"/>
      <c r="B246" s="32"/>
      <c r="C246" s="33"/>
      <c r="D246" s="34" t="s">
        <v>40</v>
      </c>
      <c r="E246" s="35" t="s">
        <v>41</v>
      </c>
      <c r="F246" s="36" t="s">
        <v>19</v>
      </c>
      <c r="H246" s="232"/>
      <c r="J246" s="31"/>
      <c r="K246" s="32"/>
      <c r="L246" s="33"/>
      <c r="M246" s="34" t="s">
        <v>40</v>
      </c>
      <c r="N246" s="35" t="s">
        <v>41</v>
      </c>
      <c r="O246" s="36" t="s">
        <v>19</v>
      </c>
      <c r="Q246" s="232"/>
    </row>
    <row r="247" spans="1:18" s="59" customFormat="1" x14ac:dyDescent="0.2">
      <c r="A247" s="37" t="s">
        <v>21</v>
      </c>
      <c r="B247" s="38" t="s">
        <v>42</v>
      </c>
      <c r="C247" s="39" t="s">
        <v>43</v>
      </c>
      <c r="D247" s="39" t="s">
        <v>44</v>
      </c>
      <c r="E247" s="40" t="s">
        <v>45</v>
      </c>
      <c r="F247" s="41" t="s">
        <v>26</v>
      </c>
      <c r="H247" s="232"/>
      <c r="J247" s="37" t="s">
        <v>21</v>
      </c>
      <c r="K247" s="38" t="s">
        <v>42</v>
      </c>
      <c r="L247" s="39" t="s">
        <v>43</v>
      </c>
      <c r="M247" s="39" t="s">
        <v>44</v>
      </c>
      <c r="N247" s="40" t="s">
        <v>45</v>
      </c>
      <c r="O247" s="41" t="s">
        <v>26</v>
      </c>
      <c r="Q247" s="232"/>
    </row>
    <row r="248" spans="1:18" s="59" customFormat="1" ht="13.5" thickBot="1" x14ac:dyDescent="0.25">
      <c r="A248" s="42" t="s">
        <v>46</v>
      </c>
      <c r="B248" s="43"/>
      <c r="C248" s="44"/>
      <c r="D248" s="45" t="s">
        <v>47</v>
      </c>
      <c r="E248" s="46" t="s">
        <v>48</v>
      </c>
      <c r="F248" s="47" t="s">
        <v>49</v>
      </c>
      <c r="H248" s="232"/>
      <c r="J248" s="42" t="s">
        <v>46</v>
      </c>
      <c r="K248" s="43"/>
      <c r="L248" s="44"/>
      <c r="M248" s="45" t="s">
        <v>47</v>
      </c>
      <c r="N248" s="46" t="s">
        <v>48</v>
      </c>
      <c r="O248" s="47" t="s">
        <v>49</v>
      </c>
      <c r="Q248" s="232"/>
    </row>
    <row r="249" spans="1:18" s="59" customFormat="1" x14ac:dyDescent="0.2">
      <c r="A249" s="48"/>
      <c r="B249" s="49" t="s">
        <v>50</v>
      </c>
      <c r="C249" s="50"/>
      <c r="D249" s="15"/>
      <c r="E249" s="16"/>
      <c r="F249" s="17"/>
      <c r="H249" s="232"/>
      <c r="J249" s="48"/>
      <c r="K249" s="49" t="s">
        <v>50</v>
      </c>
      <c r="L249" s="50"/>
      <c r="M249" s="15"/>
      <c r="N249" s="16"/>
      <c r="O249" s="17"/>
      <c r="Q249" s="232"/>
    </row>
    <row r="250" spans="1:18" s="59" customFormat="1" x14ac:dyDescent="0.2">
      <c r="A250" s="83"/>
      <c r="B250" s="84" t="s">
        <v>51</v>
      </c>
      <c r="C250" s="119"/>
      <c r="D250" s="120"/>
      <c r="E250" s="121"/>
      <c r="F250" s="18"/>
      <c r="H250" s="232"/>
      <c r="J250" s="83"/>
      <c r="K250" s="84" t="s">
        <v>51</v>
      </c>
      <c r="L250" s="119"/>
      <c r="M250" s="120"/>
      <c r="N250" s="121"/>
      <c r="O250" s="18"/>
      <c r="Q250" s="232"/>
    </row>
    <row r="251" spans="1:18" s="59" customFormat="1" x14ac:dyDescent="0.2">
      <c r="A251" s="122">
        <v>1</v>
      </c>
      <c r="B251" s="123" t="s">
        <v>34</v>
      </c>
      <c r="C251" s="124" t="s">
        <v>52</v>
      </c>
      <c r="D251" s="19">
        <f>ROUNDUP((290000*G231)*G231*G231*G231*G231*G231*G231*G231,0)</f>
        <v>462216</v>
      </c>
      <c r="E251" s="125">
        <v>10</v>
      </c>
      <c r="F251" s="20">
        <f>+A251*D251*E251</f>
        <v>4622160</v>
      </c>
      <c r="H251" s="232"/>
      <c r="J251" s="122">
        <v>1</v>
      </c>
      <c r="K251" s="123" t="s">
        <v>34</v>
      </c>
      <c r="L251" s="124" t="s">
        <v>52</v>
      </c>
      <c r="M251" s="19">
        <f>ROUNDUP((290000*P231)*P231*P231*P231*P231*P231*P231*P231,0)</f>
        <v>462216</v>
      </c>
      <c r="N251" s="125">
        <v>10</v>
      </c>
      <c r="O251" s="20">
        <f>+J251*M251*N251</f>
        <v>4622160</v>
      </c>
      <c r="Q251" s="232"/>
    </row>
    <row r="252" spans="1:18" s="59" customFormat="1" x14ac:dyDescent="0.2">
      <c r="A252" s="126"/>
      <c r="B252" s="127" t="s">
        <v>53</v>
      </c>
      <c r="C252" s="128"/>
      <c r="D252" s="21"/>
      <c r="E252" s="22"/>
      <c r="F252" s="23"/>
      <c r="H252" s="232"/>
      <c r="J252" s="126"/>
      <c r="K252" s="127" t="s">
        <v>53</v>
      </c>
      <c r="L252" s="128"/>
      <c r="M252" s="21"/>
      <c r="N252" s="22"/>
      <c r="O252" s="23"/>
      <c r="Q252" s="232"/>
    </row>
    <row r="253" spans="1:18" s="59" customFormat="1" ht="36" x14ac:dyDescent="0.2">
      <c r="A253" s="194">
        <v>2</v>
      </c>
      <c r="B253" s="129" t="s">
        <v>54</v>
      </c>
      <c r="C253" s="130" t="s">
        <v>55</v>
      </c>
      <c r="D253" s="131">
        <f>ROUNDUP((4500000*G231)*G231*G231*G231*G231*G231*G231*G231,0)</f>
        <v>7172317</v>
      </c>
      <c r="E253" s="195">
        <v>12</v>
      </c>
      <c r="F253" s="132">
        <f>+A253*D253*E253</f>
        <v>172135608</v>
      </c>
      <c r="H253" s="232"/>
      <c r="J253" s="194">
        <v>2</v>
      </c>
      <c r="K253" s="129" t="s">
        <v>54</v>
      </c>
      <c r="L253" s="130" t="s">
        <v>55</v>
      </c>
      <c r="M253" s="131">
        <f>ROUNDUP((4500000*P231)*P231*P231*P231*P231*P231*P231*P231,0)</f>
        <v>7172317</v>
      </c>
      <c r="N253" s="195">
        <v>7</v>
      </c>
      <c r="O253" s="132">
        <f>+J253*M253*N253</f>
        <v>100412438</v>
      </c>
      <c r="Q253" s="232"/>
    </row>
    <row r="254" spans="1:18" s="59" customFormat="1" x14ac:dyDescent="0.2">
      <c r="A254" s="196"/>
      <c r="B254" s="197"/>
      <c r="C254" s="198"/>
      <c r="D254" s="199"/>
      <c r="E254" s="101"/>
      <c r="F254" s="200"/>
      <c r="H254" s="232"/>
      <c r="J254" s="196"/>
      <c r="K254" s="197"/>
      <c r="L254" s="198"/>
      <c r="M254" s="199"/>
      <c r="N254" s="101"/>
      <c r="O254" s="200"/>
      <c r="Q254" s="232"/>
    </row>
    <row r="255" spans="1:18" s="59" customFormat="1" x14ac:dyDescent="0.2">
      <c r="A255" s="126"/>
      <c r="B255" s="133" t="s">
        <v>56</v>
      </c>
      <c r="C255" s="128"/>
      <c r="D255" s="21"/>
      <c r="E255" s="22"/>
      <c r="F255" s="23"/>
      <c r="H255" s="232"/>
      <c r="J255" s="126"/>
      <c r="K255" s="133" t="s">
        <v>56</v>
      </c>
      <c r="L255" s="128"/>
      <c r="M255" s="21"/>
      <c r="N255" s="22"/>
      <c r="O255" s="23"/>
      <c r="Q255" s="232"/>
    </row>
    <row r="256" spans="1:18" s="59" customFormat="1" ht="84" x14ac:dyDescent="0.2">
      <c r="A256" s="134">
        <v>1</v>
      </c>
      <c r="B256" s="135" t="s">
        <v>57</v>
      </c>
      <c r="C256" s="24" t="s">
        <v>92</v>
      </c>
      <c r="D256" s="25">
        <f>ROUND(28000000*G231*G231*G231,0)</f>
        <v>33348448</v>
      </c>
      <c r="E256" s="139">
        <v>1</v>
      </c>
      <c r="F256" s="26">
        <f t="shared" ref="F256:F263" si="3">+A256*D256*E256</f>
        <v>33348448</v>
      </c>
      <c r="G256" s="27" t="s">
        <v>59</v>
      </c>
      <c r="H256" s="232"/>
      <c r="J256" s="134">
        <v>1</v>
      </c>
      <c r="K256" s="135" t="s">
        <v>57</v>
      </c>
      <c r="L256" s="24" t="s">
        <v>92</v>
      </c>
      <c r="M256" s="25">
        <f>ROUND(28000000*P231*P231*P231*7/12,0)</f>
        <v>19453261</v>
      </c>
      <c r="N256" s="139">
        <v>1</v>
      </c>
      <c r="O256" s="26">
        <f t="shared" ref="O256:O263" si="4">+J256*M256*N256</f>
        <v>19453261</v>
      </c>
      <c r="P256" s="27" t="s">
        <v>59</v>
      </c>
      <c r="Q256" s="232">
        <f>+ROUND(((O256/P231)/P231)/P231,0)</f>
        <v>16333333</v>
      </c>
      <c r="R256" s="59">
        <v>16333333</v>
      </c>
    </row>
    <row r="257" spans="1:18" s="59" customFormat="1" ht="24" x14ac:dyDescent="0.2">
      <c r="A257" s="136">
        <v>1</v>
      </c>
      <c r="B257" s="137" t="s">
        <v>60</v>
      </c>
      <c r="C257" s="138" t="s">
        <v>58</v>
      </c>
      <c r="D257" s="28">
        <f>ROUNDUP((1900000*2*G231*G231)*G231*G231*G231*G231*G231*G231*G231,0)</f>
        <v>6420021</v>
      </c>
      <c r="E257" s="139">
        <v>1</v>
      </c>
      <c r="F257" s="29">
        <f t="shared" si="3"/>
        <v>6420021</v>
      </c>
      <c r="H257" s="232"/>
      <c r="J257" s="136">
        <v>1</v>
      </c>
      <c r="K257" s="137" t="s">
        <v>60</v>
      </c>
      <c r="L257" s="138" t="s">
        <v>58</v>
      </c>
      <c r="M257" s="28">
        <f>ROUNDUP((1900000*2*P231*P231)*P231*P231*P231*P231*P231*P231*P231,0)</f>
        <v>6420021</v>
      </c>
      <c r="N257" s="139">
        <v>1</v>
      </c>
      <c r="O257" s="29">
        <f t="shared" si="4"/>
        <v>6420021</v>
      </c>
      <c r="Q257" s="232">
        <f>+ROUND(((O257/P231)/P231)/P231,0)</f>
        <v>5390373</v>
      </c>
      <c r="R257" s="59">
        <v>5390373</v>
      </c>
    </row>
    <row r="258" spans="1:18" s="59" customFormat="1" x14ac:dyDescent="0.2">
      <c r="A258" s="140">
        <v>1</v>
      </c>
      <c r="B258" s="141" t="s">
        <v>61</v>
      </c>
      <c r="C258" s="142" t="s">
        <v>62</v>
      </c>
      <c r="D258" s="143">
        <f>ROUNDUP((1200000*G231)*G231*G231*G231*G231*G231*G231*G231,0)</f>
        <v>1912618</v>
      </c>
      <c r="E258" s="151">
        <v>12</v>
      </c>
      <c r="F258" s="144">
        <f t="shared" si="3"/>
        <v>22951416</v>
      </c>
      <c r="H258" s="232"/>
      <c r="J258" s="140">
        <v>1</v>
      </c>
      <c r="K258" s="141" t="s">
        <v>61</v>
      </c>
      <c r="L258" s="142" t="s">
        <v>62</v>
      </c>
      <c r="M258" s="143">
        <f>ROUNDUP((1200000*P231)*P231*P231*P231*P231*P231*P231*P231,0)</f>
        <v>1912618</v>
      </c>
      <c r="N258" s="151">
        <v>7</v>
      </c>
      <c r="O258" s="144">
        <f t="shared" si="4"/>
        <v>13388326</v>
      </c>
      <c r="Q258" s="232"/>
    </row>
    <row r="259" spans="1:18" s="59" customFormat="1" x14ac:dyDescent="0.2">
      <c r="A259" s="140">
        <v>1</v>
      </c>
      <c r="B259" s="141" t="s">
        <v>63</v>
      </c>
      <c r="C259" s="142" t="s">
        <v>62</v>
      </c>
      <c r="D259" s="145">
        <f>ROUNDUP((420000*G231)*G231*G231*G231*G231*G231*G231*G231,0)</f>
        <v>669417</v>
      </c>
      <c r="E259" s="146">
        <v>12</v>
      </c>
      <c r="F259" s="144">
        <f t="shared" si="3"/>
        <v>8033004</v>
      </c>
      <c r="H259" s="232"/>
      <c r="J259" s="140">
        <v>1</v>
      </c>
      <c r="K259" s="141" t="s">
        <v>63</v>
      </c>
      <c r="L259" s="142" t="s">
        <v>62</v>
      </c>
      <c r="M259" s="145">
        <f>ROUNDUP((420000*P231)*P231*P231*P231*P231*P231*P231*P231,0)</f>
        <v>669417</v>
      </c>
      <c r="N259" s="146">
        <v>7</v>
      </c>
      <c r="O259" s="144">
        <f t="shared" si="4"/>
        <v>4685919</v>
      </c>
      <c r="Q259" s="232"/>
    </row>
    <row r="260" spans="1:18" s="59" customFormat="1" ht="24" x14ac:dyDescent="0.2">
      <c r="A260" s="136">
        <v>1</v>
      </c>
      <c r="B260" s="141" t="s">
        <v>64</v>
      </c>
      <c r="C260" s="147" t="s">
        <v>62</v>
      </c>
      <c r="D260" s="148">
        <f>ROUNDUP((160000*G231)*G231*G231*G231*G231*G231*G231*G231,0)</f>
        <v>255016</v>
      </c>
      <c r="E260" s="149">
        <v>12</v>
      </c>
      <c r="F260" s="150">
        <f t="shared" si="3"/>
        <v>3060192</v>
      </c>
      <c r="H260" s="232"/>
      <c r="J260" s="136">
        <v>1</v>
      </c>
      <c r="K260" s="141" t="s">
        <v>64</v>
      </c>
      <c r="L260" s="147" t="s">
        <v>62</v>
      </c>
      <c r="M260" s="148">
        <f>ROUNDUP((160000*P231)*P231*P231*P231*P231*P231*P231*P231,0)</f>
        <v>255016</v>
      </c>
      <c r="N260" s="149">
        <v>7</v>
      </c>
      <c r="O260" s="150">
        <f t="shared" si="4"/>
        <v>1785112</v>
      </c>
      <c r="Q260" s="232"/>
    </row>
    <row r="261" spans="1:18" s="59" customFormat="1" x14ac:dyDescent="0.2">
      <c r="A261" s="140">
        <v>1</v>
      </c>
      <c r="B261" s="141" t="s">
        <v>65</v>
      </c>
      <c r="C261" s="142" t="s">
        <v>62</v>
      </c>
      <c r="D261" s="143">
        <f>ROUNDUP((330000*G231)*G231*G231*G231*G231*G231*G231*G231,0)</f>
        <v>525970</v>
      </c>
      <c r="E261" s="151">
        <v>12</v>
      </c>
      <c r="F261" s="144">
        <f t="shared" si="3"/>
        <v>6311640</v>
      </c>
      <c r="H261" s="232"/>
      <c r="J261" s="140">
        <v>1</v>
      </c>
      <c r="K261" s="141" t="s">
        <v>65</v>
      </c>
      <c r="L261" s="142" t="s">
        <v>62</v>
      </c>
      <c r="M261" s="143">
        <f>ROUNDUP((330000*P231)*P231*P231*P231*P231*P231*P231*P231,0)</f>
        <v>525970</v>
      </c>
      <c r="N261" s="151">
        <v>7</v>
      </c>
      <c r="O261" s="144">
        <f t="shared" si="4"/>
        <v>3681790</v>
      </c>
      <c r="Q261" s="232"/>
    </row>
    <row r="262" spans="1:18" s="59" customFormat="1" x14ac:dyDescent="0.2">
      <c r="A262" s="140">
        <v>1</v>
      </c>
      <c r="B262" s="141" t="s">
        <v>66</v>
      </c>
      <c r="C262" s="142" t="s">
        <v>62</v>
      </c>
      <c r="D262" s="143">
        <f>ROUNDUP((400000*G231)*G231*G231*G231*G231*G231*G231*G231,0)</f>
        <v>637540</v>
      </c>
      <c r="E262" s="151">
        <v>12</v>
      </c>
      <c r="F262" s="144">
        <f t="shared" si="3"/>
        <v>7650480</v>
      </c>
      <c r="H262" s="232"/>
      <c r="J262" s="140">
        <v>1</v>
      </c>
      <c r="K262" s="141" t="s">
        <v>66</v>
      </c>
      <c r="L262" s="142" t="s">
        <v>62</v>
      </c>
      <c r="M262" s="143">
        <f>ROUNDUP((400000*P231)*P231*P231*P231*P231*P231*P231*P231,0)</f>
        <v>637540</v>
      </c>
      <c r="N262" s="151">
        <v>7</v>
      </c>
      <c r="O262" s="144">
        <f t="shared" si="4"/>
        <v>4462780</v>
      </c>
      <c r="Q262" s="232"/>
    </row>
    <row r="263" spans="1:18" s="59" customFormat="1" x14ac:dyDescent="0.2">
      <c r="A263" s="152">
        <v>1</v>
      </c>
      <c r="B263" s="153" t="s">
        <v>67</v>
      </c>
      <c r="C263" s="154" t="s">
        <v>62</v>
      </c>
      <c r="D263" s="201">
        <f>ROUNDUP((420000*G231)*G231*G231*G231*G231*G231*G231*G231,0)</f>
        <v>669417</v>
      </c>
      <c r="E263" s="155">
        <v>12</v>
      </c>
      <c r="F263" s="144">
        <f t="shared" si="3"/>
        <v>8033004</v>
      </c>
      <c r="H263" s="232"/>
      <c r="J263" s="152">
        <v>1</v>
      </c>
      <c r="K263" s="153" t="s">
        <v>67</v>
      </c>
      <c r="L263" s="154" t="s">
        <v>62</v>
      </c>
      <c r="M263" s="201">
        <f>ROUNDUP((420000*P231)*P231*P231*P231*P231*P231*P231*P231,0)</f>
        <v>669417</v>
      </c>
      <c r="N263" s="155">
        <v>7</v>
      </c>
      <c r="O263" s="144">
        <f t="shared" si="4"/>
        <v>4685919</v>
      </c>
      <c r="Q263" s="232"/>
    </row>
    <row r="264" spans="1:18" s="59" customFormat="1" ht="24" x14ac:dyDescent="0.2">
      <c r="A264" s="239">
        <v>1</v>
      </c>
      <c r="B264" s="240" t="s">
        <v>126</v>
      </c>
      <c r="C264" s="241" t="s">
        <v>62</v>
      </c>
      <c r="D264" s="242">
        <f>ROUND(600000*G231*G231*G231*G231*G231*G231,0)</f>
        <v>851111</v>
      </c>
      <c r="E264" s="243">
        <v>12</v>
      </c>
      <c r="F264" s="244">
        <f>+A264*D264*E264</f>
        <v>10213332</v>
      </c>
      <c r="H264" s="232"/>
      <c r="J264" s="239">
        <v>1</v>
      </c>
      <c r="K264" s="240" t="s">
        <v>126</v>
      </c>
      <c r="L264" s="241" t="s">
        <v>62</v>
      </c>
      <c r="M264" s="242">
        <f>ROUND(600000*P231*P231*P231*P231*P231*P231,0)</f>
        <v>851111</v>
      </c>
      <c r="N264" s="243">
        <v>7</v>
      </c>
      <c r="O264" s="244">
        <f>+J264*M264*N264</f>
        <v>5957777</v>
      </c>
      <c r="P264" s="59">
        <f>+ROUND(((O264/P231)/P231)/P231,0)</f>
        <v>5002264</v>
      </c>
      <c r="Q264" s="232">
        <v>5002264</v>
      </c>
    </row>
    <row r="265" spans="1:18" s="59" customFormat="1" ht="13.5" thickBot="1" x14ac:dyDescent="0.25">
      <c r="A265" s="156"/>
      <c r="B265" s="157" t="s">
        <v>68</v>
      </c>
      <c r="C265" s="158"/>
      <c r="D265" s="158"/>
      <c r="E265" s="158"/>
      <c r="F265" s="159">
        <f>SUM(F251:F264)</f>
        <v>282779305</v>
      </c>
      <c r="G265" s="190"/>
      <c r="H265" s="232"/>
      <c r="J265" s="156"/>
      <c r="K265" s="157" t="s">
        <v>68</v>
      </c>
      <c r="L265" s="158"/>
      <c r="M265" s="158"/>
      <c r="N265" s="158"/>
      <c r="O265" s="159">
        <f>SUM(O251:O264)</f>
        <v>169555503</v>
      </c>
      <c r="P265" s="190">
        <f>+O193</f>
        <v>0</v>
      </c>
      <c r="Q265" s="232">
        <f>+P265*$G$231</f>
        <v>0</v>
      </c>
    </row>
    <row r="266" spans="1:18" s="59" customFormat="1" ht="13.5" thickBot="1" x14ac:dyDescent="0.25">
      <c r="A266" s="160"/>
      <c r="B266" s="161"/>
      <c r="C266" s="162"/>
      <c r="D266" s="162"/>
      <c r="E266" s="162"/>
      <c r="F266" s="163"/>
      <c r="H266" s="232"/>
      <c r="J266" s="160"/>
      <c r="K266" s="161"/>
      <c r="L266" s="162"/>
      <c r="M266" s="162"/>
      <c r="N266" s="162"/>
      <c r="O266" s="163"/>
      <c r="Q266" s="232"/>
    </row>
    <row r="267" spans="1:18" s="59" customFormat="1" x14ac:dyDescent="0.2">
      <c r="A267" s="31"/>
      <c r="B267" s="32"/>
      <c r="C267" s="33"/>
      <c r="D267" s="34" t="s">
        <v>40</v>
      </c>
      <c r="E267" s="35" t="s">
        <v>41</v>
      </c>
      <c r="F267" s="36" t="s">
        <v>19</v>
      </c>
      <c r="H267" s="232"/>
      <c r="J267" s="31"/>
      <c r="K267" s="32"/>
      <c r="L267" s="33"/>
      <c r="M267" s="34" t="s">
        <v>40</v>
      </c>
      <c r="N267" s="35" t="s">
        <v>41</v>
      </c>
      <c r="O267" s="36" t="s">
        <v>19</v>
      </c>
      <c r="Q267" s="232"/>
    </row>
    <row r="268" spans="1:18" s="59" customFormat="1" x14ac:dyDescent="0.2">
      <c r="A268" s="37" t="s">
        <v>21</v>
      </c>
      <c r="B268" s="38" t="s">
        <v>42</v>
      </c>
      <c r="C268" s="39" t="s">
        <v>43</v>
      </c>
      <c r="D268" s="39" t="s">
        <v>44</v>
      </c>
      <c r="E268" s="40" t="s">
        <v>45</v>
      </c>
      <c r="F268" s="41" t="s">
        <v>26</v>
      </c>
      <c r="H268" s="232"/>
      <c r="J268" s="37" t="s">
        <v>21</v>
      </c>
      <c r="K268" s="38" t="s">
        <v>42</v>
      </c>
      <c r="L268" s="39" t="s">
        <v>43</v>
      </c>
      <c r="M268" s="39" t="s">
        <v>44</v>
      </c>
      <c r="N268" s="40" t="s">
        <v>45</v>
      </c>
      <c r="O268" s="41" t="s">
        <v>26</v>
      </c>
      <c r="Q268" s="232"/>
    </row>
    <row r="269" spans="1:18" s="59" customFormat="1" ht="13.5" thickBot="1" x14ac:dyDescent="0.25">
      <c r="A269" s="42" t="s">
        <v>69</v>
      </c>
      <c r="B269" s="43"/>
      <c r="C269" s="44"/>
      <c r="D269" s="45" t="s">
        <v>70</v>
      </c>
      <c r="E269" s="46" t="s">
        <v>71</v>
      </c>
      <c r="F269" s="47" t="s">
        <v>72</v>
      </c>
      <c r="H269" s="232"/>
      <c r="J269" s="42" t="s">
        <v>69</v>
      </c>
      <c r="K269" s="43"/>
      <c r="L269" s="44"/>
      <c r="M269" s="45" t="s">
        <v>70</v>
      </c>
      <c r="N269" s="46" t="s">
        <v>71</v>
      </c>
      <c r="O269" s="47" t="s">
        <v>72</v>
      </c>
      <c r="Q269" s="232"/>
    </row>
    <row r="270" spans="1:18" s="59" customFormat="1" x14ac:dyDescent="0.2">
      <c r="A270" s="164"/>
      <c r="B270" s="49" t="s">
        <v>73</v>
      </c>
      <c r="C270" s="50"/>
      <c r="D270" s="15"/>
      <c r="E270" s="16"/>
      <c r="F270" s="17"/>
      <c r="H270" s="232"/>
      <c r="J270" s="164"/>
      <c r="K270" s="49" t="s">
        <v>73</v>
      </c>
      <c r="L270" s="50"/>
      <c r="M270" s="15"/>
      <c r="N270" s="16"/>
      <c r="O270" s="17"/>
      <c r="Q270" s="232"/>
    </row>
    <row r="271" spans="1:18" s="59" customFormat="1" ht="72" x14ac:dyDescent="0.2">
      <c r="A271" s="202">
        <v>1</v>
      </c>
      <c r="B271" s="51" t="s">
        <v>139</v>
      </c>
      <c r="C271" s="166" t="s">
        <v>75</v>
      </c>
      <c r="D271" s="52">
        <f>ROUNDUP((5000000*G231)*G231*G231*G231*G231*G231*G231*G231*12/12,0)</f>
        <v>7969241</v>
      </c>
      <c r="E271" s="169">
        <v>1</v>
      </c>
      <c r="F271" s="167">
        <f>+A271*D271*E271</f>
        <v>7969241</v>
      </c>
      <c r="G271" s="27" t="s">
        <v>59</v>
      </c>
      <c r="H271" s="232"/>
      <c r="J271" s="202">
        <v>1</v>
      </c>
      <c r="K271" s="165" t="s">
        <v>74</v>
      </c>
      <c r="L271" s="166" t="s">
        <v>75</v>
      </c>
      <c r="M271" s="52">
        <f>ROUNDUP((5000000*P231)*P231*P231*P231*P231*P231*P231*P231*7/12,0)</f>
        <v>4648724</v>
      </c>
      <c r="N271" s="169">
        <v>1</v>
      </c>
      <c r="O271" s="167">
        <f>+J271*M271*N271</f>
        <v>4648724</v>
      </c>
      <c r="P271" s="27" t="s">
        <v>59</v>
      </c>
      <c r="Q271" s="232"/>
    </row>
    <row r="272" spans="1:18" s="59" customFormat="1" ht="24" x14ac:dyDescent="0.2">
      <c r="A272" s="203">
        <v>1</v>
      </c>
      <c r="B272" s="168" t="s">
        <v>76</v>
      </c>
      <c r="C272" s="138" t="s">
        <v>77</v>
      </c>
      <c r="D272" s="148">
        <f>ROUNDUP((4600000*G231)*G231*G231*G231*G231*G231*G231*G231*12/12,0)</f>
        <v>7331702</v>
      </c>
      <c r="E272" s="169">
        <v>1</v>
      </c>
      <c r="F272" s="29">
        <f>+A272*D272*E272</f>
        <v>7331702</v>
      </c>
      <c r="H272" s="232"/>
      <c r="J272" s="203">
        <v>1</v>
      </c>
      <c r="K272" s="168" t="s">
        <v>76</v>
      </c>
      <c r="L272" s="138" t="s">
        <v>77</v>
      </c>
      <c r="M272" s="148">
        <f>ROUNDUP((4600000*P231)*P231*P231*P231*P231*P231*P231*P231*7/12,0)</f>
        <v>4276826</v>
      </c>
      <c r="N272" s="169">
        <v>1</v>
      </c>
      <c r="O272" s="29">
        <f>+J272*M272*N272</f>
        <v>4276826</v>
      </c>
      <c r="Q272" s="232">
        <f>+ROUND(((O272/P231)/P231)/P231,0)</f>
        <v>3590906</v>
      </c>
      <c r="R272" s="59">
        <v>3590906</v>
      </c>
    </row>
    <row r="273" spans="1:17" s="59" customFormat="1" x14ac:dyDescent="0.2">
      <c r="A273" s="204">
        <v>1000</v>
      </c>
      <c r="B273" s="171" t="s">
        <v>89</v>
      </c>
      <c r="C273" s="172" t="s">
        <v>78</v>
      </c>
      <c r="D273" s="143">
        <f>ROUNDUP((1300*G231)*G231*G231*G231*G231*G231*G231*G231,0)</f>
        <v>2073</v>
      </c>
      <c r="E273" s="151">
        <v>2</v>
      </c>
      <c r="F273" s="30">
        <f>+A273*D273*E273</f>
        <v>4146000</v>
      </c>
      <c r="H273" s="232"/>
      <c r="J273" s="204">
        <v>1000</v>
      </c>
      <c r="K273" s="171" t="s">
        <v>89</v>
      </c>
      <c r="L273" s="172" t="s">
        <v>78</v>
      </c>
      <c r="M273" s="143">
        <f>ROUNDUP((1300*P231)*P231*P231*P231*P231*P231*P231*P231,0)</f>
        <v>2073</v>
      </c>
      <c r="N273" s="151">
        <v>1</v>
      </c>
      <c r="O273" s="30">
        <f>+J273*M273*N273</f>
        <v>2073000</v>
      </c>
      <c r="Q273" s="232"/>
    </row>
    <row r="274" spans="1:17" s="59" customFormat="1" x14ac:dyDescent="0.2">
      <c r="A274" s="170"/>
      <c r="B274" s="173"/>
      <c r="C274" s="174"/>
      <c r="D274" s="91"/>
      <c r="E274" s="155"/>
      <c r="F274" s="175"/>
      <c r="H274" s="232"/>
      <c r="J274" s="170"/>
      <c r="K274" s="173"/>
      <c r="L274" s="174"/>
      <c r="M274" s="91"/>
      <c r="N274" s="155"/>
      <c r="O274" s="175"/>
      <c r="Q274" s="232"/>
    </row>
    <row r="275" spans="1:17" s="59" customFormat="1" ht="13.5" thickBot="1" x14ac:dyDescent="0.25">
      <c r="A275" s="205"/>
      <c r="B275" s="53" t="s">
        <v>79</v>
      </c>
      <c r="C275" s="176"/>
      <c r="D275" s="177"/>
      <c r="E275" s="97"/>
      <c r="F275" s="178">
        <f>SUM(F271:F274)</f>
        <v>19446943</v>
      </c>
      <c r="G275" s="246"/>
      <c r="H275" s="232"/>
      <c r="J275" s="205"/>
      <c r="K275" s="53" t="s">
        <v>79</v>
      </c>
      <c r="L275" s="176"/>
      <c r="M275" s="177"/>
      <c r="N275" s="97"/>
      <c r="O275" s="178">
        <f>SUM(O271:O274)</f>
        <v>10998550</v>
      </c>
      <c r="P275" s="246"/>
      <c r="Q275" s="232"/>
    </row>
    <row r="276" spans="1:17" s="59" customFormat="1" x14ac:dyDescent="0.2">
      <c r="A276" s="179"/>
      <c r="B276" s="180" t="s">
        <v>80</v>
      </c>
      <c r="C276" s="181"/>
      <c r="D276" s="181"/>
      <c r="E276" s="181"/>
      <c r="F276" s="182">
        <f>+F244+F265+F275</f>
        <v>1077708412</v>
      </c>
      <c r="H276" s="232"/>
      <c r="J276" s="179"/>
      <c r="K276" s="180" t="s">
        <v>80</v>
      </c>
      <c r="L276" s="181"/>
      <c r="M276" s="181"/>
      <c r="N276" s="181"/>
      <c r="O276" s="182">
        <f>+O244+O265+O275</f>
        <v>632918649</v>
      </c>
      <c r="Q276" s="232"/>
    </row>
    <row r="277" spans="1:17" s="59" customFormat="1" x14ac:dyDescent="0.2">
      <c r="A277" s="183"/>
      <c r="B277" s="184" t="s">
        <v>81</v>
      </c>
      <c r="C277" s="128"/>
      <c r="D277" s="128"/>
      <c r="E277" s="128"/>
      <c r="F277" s="185">
        <f>+ROUND(F276*0.19,0)</f>
        <v>204764598</v>
      </c>
      <c r="H277" s="232"/>
      <c r="J277" s="183"/>
      <c r="K277" s="184" t="s">
        <v>81</v>
      </c>
      <c r="L277" s="128"/>
      <c r="M277" s="128"/>
      <c r="N277" s="128"/>
      <c r="O277" s="185">
        <f>+ROUND(O276*0.19,0)</f>
        <v>120254543</v>
      </c>
      <c r="Q277" s="232"/>
    </row>
    <row r="278" spans="1:17" s="59" customFormat="1" ht="13.5" thickBot="1" x14ac:dyDescent="0.25">
      <c r="A278" s="186"/>
      <c r="B278" s="187" t="s">
        <v>82</v>
      </c>
      <c r="C278" s="188"/>
      <c r="D278" s="188"/>
      <c r="E278" s="188"/>
      <c r="F278" s="189">
        <f>+F276+F277</f>
        <v>1282473010</v>
      </c>
      <c r="G278" s="260"/>
      <c r="H278" s="232"/>
      <c r="J278" s="186"/>
      <c r="K278" s="187" t="s">
        <v>82</v>
      </c>
      <c r="L278" s="188"/>
      <c r="M278" s="188"/>
      <c r="N278" s="188"/>
      <c r="O278" s="189">
        <f>+O276+O277</f>
        <v>753173192</v>
      </c>
      <c r="P278" s="260"/>
      <c r="Q278" s="232"/>
    </row>
    <row r="279" spans="1:17" s="59" customFormat="1" x14ac:dyDescent="0.2">
      <c r="A279" s="54" t="s">
        <v>83</v>
      </c>
      <c r="B279" s="55"/>
      <c r="C279" s="56"/>
      <c r="D279" s="56"/>
      <c r="E279" s="56"/>
      <c r="F279" s="57"/>
      <c r="H279" s="232"/>
      <c r="J279" s="54" t="s">
        <v>83</v>
      </c>
      <c r="K279" s="55"/>
      <c r="L279" s="56"/>
      <c r="M279" s="56"/>
      <c r="N279" s="56"/>
      <c r="O279" s="57"/>
      <c r="P279" s="193"/>
      <c r="Q279" s="232"/>
    </row>
    <row r="280" spans="1:17" s="59" customFormat="1" ht="12.75" customHeight="1" x14ac:dyDescent="0.2">
      <c r="A280" s="340" t="s">
        <v>84</v>
      </c>
      <c r="B280" s="341"/>
      <c r="C280" s="341"/>
      <c r="D280" s="341"/>
      <c r="E280" s="341"/>
      <c r="F280" s="342"/>
      <c r="H280" s="232"/>
      <c r="J280" s="340" t="s">
        <v>84</v>
      </c>
      <c r="K280" s="341"/>
      <c r="L280" s="341"/>
      <c r="M280" s="341"/>
      <c r="N280" s="341"/>
      <c r="O280" s="342"/>
      <c r="Q280" s="232"/>
    </row>
    <row r="281" spans="1:17" s="59" customFormat="1" ht="24.75" customHeight="1" x14ac:dyDescent="0.2">
      <c r="A281" s="340" t="s">
        <v>85</v>
      </c>
      <c r="B281" s="341"/>
      <c r="C281" s="341"/>
      <c r="D281" s="341"/>
      <c r="E281" s="341"/>
      <c r="F281" s="342"/>
      <c r="H281" s="232"/>
      <c r="J281" s="340" t="s">
        <v>85</v>
      </c>
      <c r="K281" s="341"/>
      <c r="L281" s="341"/>
      <c r="M281" s="341"/>
      <c r="N281" s="341"/>
      <c r="O281" s="342"/>
      <c r="Q281" s="232"/>
    </row>
    <row r="282" spans="1:17" s="59" customFormat="1" ht="27.75" customHeight="1" x14ac:dyDescent="0.2">
      <c r="A282" s="334" t="s">
        <v>131</v>
      </c>
      <c r="B282" s="335"/>
      <c r="C282" s="335"/>
      <c r="D282" s="335"/>
      <c r="E282" s="335"/>
      <c r="F282" s="336"/>
      <c r="H282" s="232"/>
      <c r="J282" s="334" t="s">
        <v>131</v>
      </c>
      <c r="K282" s="335"/>
      <c r="L282" s="335"/>
      <c r="M282" s="335"/>
      <c r="N282" s="335"/>
      <c r="O282" s="336"/>
      <c r="Q282" s="232"/>
    </row>
    <row r="283" spans="1:17" s="59" customFormat="1" ht="35.25" customHeight="1" x14ac:dyDescent="0.2">
      <c r="A283" s="337" t="s">
        <v>132</v>
      </c>
      <c r="B283" s="338"/>
      <c r="C283" s="338"/>
      <c r="D283" s="338"/>
      <c r="E283" s="338"/>
      <c r="F283" s="339"/>
      <c r="H283" s="232"/>
      <c r="J283" s="337" t="s">
        <v>132</v>
      </c>
      <c r="K283" s="338"/>
      <c r="L283" s="338"/>
      <c r="M283" s="338"/>
      <c r="N283" s="338"/>
      <c r="O283" s="339"/>
      <c r="Q283" s="232"/>
    </row>
    <row r="284" spans="1:17" s="59" customFormat="1" ht="27" customHeight="1" x14ac:dyDescent="0.2">
      <c r="A284" s="337" t="s">
        <v>133</v>
      </c>
      <c r="B284" s="338"/>
      <c r="C284" s="338"/>
      <c r="D284" s="338"/>
      <c r="E284" s="338"/>
      <c r="F284" s="339"/>
      <c r="H284" s="232"/>
      <c r="J284" s="337" t="s">
        <v>133</v>
      </c>
      <c r="K284" s="338"/>
      <c r="L284" s="338"/>
      <c r="M284" s="338"/>
      <c r="N284" s="338"/>
      <c r="O284" s="339"/>
      <c r="Q284" s="232"/>
    </row>
    <row r="285" spans="1:17" s="59" customFormat="1" ht="18" customHeight="1" x14ac:dyDescent="0.2">
      <c r="A285" s="337" t="s">
        <v>134</v>
      </c>
      <c r="B285" s="338"/>
      <c r="C285" s="338"/>
      <c r="D285" s="338"/>
      <c r="E285" s="338"/>
      <c r="F285" s="339"/>
      <c r="H285" s="232"/>
      <c r="J285" s="337" t="s">
        <v>134</v>
      </c>
      <c r="K285" s="338"/>
      <c r="L285" s="338"/>
      <c r="M285" s="338"/>
      <c r="N285" s="338"/>
      <c r="O285" s="339"/>
      <c r="Q285" s="232"/>
    </row>
    <row r="286" spans="1:17" s="59" customFormat="1" ht="29.25" customHeight="1" x14ac:dyDescent="0.2">
      <c r="A286" s="337" t="s">
        <v>135</v>
      </c>
      <c r="B286" s="338"/>
      <c r="C286" s="338"/>
      <c r="D286" s="338"/>
      <c r="E286" s="338"/>
      <c r="F286" s="339"/>
      <c r="H286" s="232"/>
      <c r="J286" s="337" t="s">
        <v>135</v>
      </c>
      <c r="K286" s="338"/>
      <c r="L286" s="338"/>
      <c r="M286" s="338"/>
      <c r="N286" s="338"/>
      <c r="O286" s="339"/>
      <c r="Q286" s="232"/>
    </row>
    <row r="287" spans="1:17" s="59" customFormat="1" ht="31.5" customHeight="1" x14ac:dyDescent="0.2">
      <c r="A287" s="337" t="s">
        <v>136</v>
      </c>
      <c r="B287" s="338"/>
      <c r="C287" s="338"/>
      <c r="D287" s="338"/>
      <c r="E287" s="338"/>
      <c r="F287" s="339"/>
      <c r="H287" s="232"/>
      <c r="J287" s="337" t="s">
        <v>136</v>
      </c>
      <c r="K287" s="338"/>
      <c r="L287" s="338"/>
      <c r="M287" s="338"/>
      <c r="N287" s="338"/>
      <c r="O287" s="339"/>
      <c r="Q287" s="232"/>
    </row>
    <row r="288" spans="1:17" s="59" customFormat="1" ht="12.75" customHeight="1" x14ac:dyDescent="0.2">
      <c r="A288" s="337" t="s">
        <v>130</v>
      </c>
      <c r="B288" s="338"/>
      <c r="C288" s="338"/>
      <c r="D288" s="338"/>
      <c r="E288" s="338"/>
      <c r="F288" s="339"/>
      <c r="H288" s="232"/>
      <c r="J288" s="337" t="s">
        <v>130</v>
      </c>
      <c r="K288" s="338"/>
      <c r="L288" s="338"/>
      <c r="M288" s="338"/>
      <c r="N288" s="338"/>
      <c r="O288" s="339"/>
      <c r="Q288" s="232"/>
    </row>
    <row r="289" spans="1:17" s="59" customFormat="1" ht="38.25" customHeight="1" x14ac:dyDescent="0.2">
      <c r="A289" s="343" t="s">
        <v>138</v>
      </c>
      <c r="B289" s="344"/>
      <c r="C289" s="344"/>
      <c r="D289" s="344"/>
      <c r="E289" s="344"/>
      <c r="F289" s="345"/>
      <c r="H289" s="232"/>
      <c r="J289" s="343" t="s">
        <v>138</v>
      </c>
      <c r="K289" s="344"/>
      <c r="L289" s="344"/>
      <c r="M289" s="344"/>
      <c r="N289" s="344"/>
      <c r="O289" s="345"/>
      <c r="Q289" s="232"/>
    </row>
    <row r="290" spans="1:17" s="59" customFormat="1" ht="36.75" customHeight="1" thickBot="1" x14ac:dyDescent="0.25">
      <c r="A290" s="346" t="s">
        <v>137</v>
      </c>
      <c r="B290" s="347"/>
      <c r="C290" s="347"/>
      <c r="D290" s="347"/>
      <c r="E290" s="347"/>
      <c r="F290" s="348"/>
      <c r="H290" s="232"/>
      <c r="J290" s="346" t="s">
        <v>137</v>
      </c>
      <c r="K290" s="347"/>
      <c r="L290" s="347"/>
      <c r="M290" s="347"/>
      <c r="N290" s="347"/>
      <c r="O290" s="348"/>
      <c r="Q290" s="232"/>
    </row>
    <row r="291" spans="1:17" s="59" customFormat="1" x14ac:dyDescent="0.2">
      <c r="H291" s="232"/>
    </row>
  </sheetData>
  <mergeCells count="70">
    <mergeCell ref="A72:F72"/>
    <mergeCell ref="A64:F64"/>
    <mergeCell ref="A65:F65"/>
    <mergeCell ref="A146:F146"/>
    <mergeCell ref="A140:F140"/>
    <mergeCell ref="A141:F141"/>
    <mergeCell ref="A142:F142"/>
    <mergeCell ref="A143:F143"/>
    <mergeCell ref="A144:F144"/>
    <mergeCell ref="A145:F145"/>
    <mergeCell ref="A80:F80"/>
    <mergeCell ref="E82:F82"/>
    <mergeCell ref="A85:F85"/>
    <mergeCell ref="A136:F136"/>
    <mergeCell ref="A137:F137"/>
    <mergeCell ref="A67:F67"/>
    <mergeCell ref="A68:F68"/>
    <mergeCell ref="A69:F69"/>
    <mergeCell ref="A70:F70"/>
    <mergeCell ref="A71:F71"/>
    <mergeCell ref="E8:F8"/>
    <mergeCell ref="A11:F11"/>
    <mergeCell ref="A63:F63"/>
    <mergeCell ref="A66:F66"/>
    <mergeCell ref="A208:F208"/>
    <mergeCell ref="A209:F209"/>
    <mergeCell ref="A73:F73"/>
    <mergeCell ref="A138:F138"/>
    <mergeCell ref="A139:F139"/>
    <mergeCell ref="A152:F152"/>
    <mergeCell ref="A287:F287"/>
    <mergeCell ref="A288:F288"/>
    <mergeCell ref="A289:F289"/>
    <mergeCell ref="A290:F290"/>
    <mergeCell ref="A280:F280"/>
    <mergeCell ref="A283:F283"/>
    <mergeCell ref="A284:F284"/>
    <mergeCell ref="A285:F285"/>
    <mergeCell ref="A286:F286"/>
    <mergeCell ref="A282:F282"/>
    <mergeCell ref="J288:O288"/>
    <mergeCell ref="J289:O289"/>
    <mergeCell ref="J290:O290"/>
    <mergeCell ref="J224:O224"/>
    <mergeCell ref="N226:O226"/>
    <mergeCell ref="J229:O229"/>
    <mergeCell ref="J280:O280"/>
    <mergeCell ref="J283:O283"/>
    <mergeCell ref="J284:O284"/>
    <mergeCell ref="J285:O285"/>
    <mergeCell ref="J286:O286"/>
    <mergeCell ref="J287:O287"/>
    <mergeCell ref="J281:O281"/>
    <mergeCell ref="J282:O282"/>
    <mergeCell ref="A6:F6"/>
    <mergeCell ref="A210:F210"/>
    <mergeCell ref="A211:F211"/>
    <mergeCell ref="A281:F281"/>
    <mergeCell ref="A217:F217"/>
    <mergeCell ref="A218:F218"/>
    <mergeCell ref="A224:F224"/>
    <mergeCell ref="E226:F226"/>
    <mergeCell ref="A229:F229"/>
    <mergeCell ref="A212:F212"/>
    <mergeCell ref="A213:F213"/>
    <mergeCell ref="A214:F214"/>
    <mergeCell ref="A215:F215"/>
    <mergeCell ref="A216:F216"/>
    <mergeCell ref="E154:F154"/>
    <mergeCell ref="A157:F157"/>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AFEFC-C25F-41B9-B7E5-4E27D68A3FD8}">
  <sheetPr>
    <tabColor rgb="FF92D050"/>
    <pageSetUpPr fitToPage="1"/>
  </sheetPr>
  <dimension ref="A1:J82"/>
  <sheetViews>
    <sheetView tabSelected="1" zoomScale="80" zoomScaleNormal="80" zoomScaleSheetLayoutView="115" workbookViewId="0">
      <selection activeCell="K19" sqref="K19"/>
    </sheetView>
  </sheetViews>
  <sheetFormatPr baseColWidth="10" defaultRowHeight="12.75" x14ac:dyDescent="0.2"/>
  <cols>
    <col min="1" max="1" width="9.140625" style="193" customWidth="1"/>
    <col min="2" max="2" width="35.7109375" style="59" customWidth="1"/>
    <col min="3" max="3" width="16.42578125" style="59" customWidth="1"/>
    <col min="4" max="4" width="19.42578125" style="59" customWidth="1"/>
    <col min="5" max="5" width="14.7109375" style="59" customWidth="1"/>
    <col min="6" max="6" width="20.140625" style="59" customWidth="1"/>
    <col min="7" max="7" width="18.140625" style="193" bestFit="1" customWidth="1"/>
    <col min="8" max="8" width="16.42578125" style="233" bestFit="1" customWidth="1"/>
    <col min="9" max="9" width="14.85546875" style="193" bestFit="1" customWidth="1"/>
    <col min="10" max="10" width="18.28515625" style="193" customWidth="1"/>
    <col min="11" max="11" width="33.140625" style="193" customWidth="1"/>
    <col min="12" max="12" width="14.140625" style="193" bestFit="1" customWidth="1"/>
    <col min="13" max="13" width="20.7109375" style="193" customWidth="1"/>
    <col min="14" max="14" width="18.140625" style="193" bestFit="1" customWidth="1"/>
    <col min="15" max="15" width="16" style="193" customWidth="1"/>
    <col min="16" max="16" width="14.7109375" style="193" bestFit="1" customWidth="1"/>
    <col min="17" max="17" width="14.85546875" style="193" bestFit="1" customWidth="1"/>
    <col min="18" max="245" width="11.42578125" style="193"/>
    <col min="246" max="246" width="7" style="193" customWidth="1"/>
    <col min="247" max="247" width="35.7109375" style="193" customWidth="1"/>
    <col min="248" max="248" width="16.42578125" style="193" customWidth="1"/>
    <col min="249" max="249" width="12.85546875" style="193" customWidth="1"/>
    <col min="250" max="250" width="14.7109375" style="193" customWidth="1"/>
    <col min="251" max="251" width="16.85546875" style="193" customWidth="1"/>
    <col min="252" max="252" width="15.140625" style="193" bestFit="1" customWidth="1"/>
    <col min="253" max="254" width="11.42578125" style="193"/>
    <col min="255" max="255" width="6.7109375" style="193" bestFit="1" customWidth="1"/>
    <col min="256" max="256" width="36.42578125" style="193" customWidth="1"/>
    <col min="257" max="257" width="16.42578125" style="193" bestFit="1" customWidth="1"/>
    <col min="258" max="258" width="12.42578125" style="193" bestFit="1" customWidth="1"/>
    <col min="259" max="259" width="13" style="193" bestFit="1" customWidth="1"/>
    <col min="260" max="260" width="15.85546875" style="193" bestFit="1" customWidth="1"/>
    <col min="261" max="261" width="15.140625" style="193" bestFit="1" customWidth="1"/>
    <col min="262" max="501" width="11.42578125" style="193"/>
    <col min="502" max="502" width="7" style="193" customWidth="1"/>
    <col min="503" max="503" width="35.7109375" style="193" customWidth="1"/>
    <col min="504" max="504" width="16.42578125" style="193" customWidth="1"/>
    <col min="505" max="505" width="12.85546875" style="193" customWidth="1"/>
    <col min="506" max="506" width="14.7109375" style="193" customWidth="1"/>
    <col min="507" max="507" width="16.85546875" style="193" customWidth="1"/>
    <col min="508" max="508" width="15.140625" style="193" bestFit="1" customWidth="1"/>
    <col min="509" max="510" width="11.42578125" style="193"/>
    <col min="511" max="511" width="6.7109375" style="193" bestFit="1" customWidth="1"/>
    <col min="512" max="512" width="36.42578125" style="193" customWidth="1"/>
    <col min="513" max="513" width="16.42578125" style="193" bestFit="1" customWidth="1"/>
    <col min="514" max="514" width="12.42578125" style="193" bestFit="1" customWidth="1"/>
    <col min="515" max="515" width="13" style="193" bestFit="1" customWidth="1"/>
    <col min="516" max="516" width="15.85546875" style="193" bestFit="1" customWidth="1"/>
    <col min="517" max="517" width="15.140625" style="193" bestFit="1" customWidth="1"/>
    <col min="518" max="757" width="11.42578125" style="193"/>
    <col min="758" max="758" width="7" style="193" customWidth="1"/>
    <col min="759" max="759" width="35.7109375" style="193" customWidth="1"/>
    <col min="760" max="760" width="16.42578125" style="193" customWidth="1"/>
    <col min="761" max="761" width="12.85546875" style="193" customWidth="1"/>
    <col min="762" max="762" width="14.7109375" style="193" customWidth="1"/>
    <col min="763" max="763" width="16.85546875" style="193" customWidth="1"/>
    <col min="764" max="764" width="15.140625" style="193" bestFit="1" customWidth="1"/>
    <col min="765" max="766" width="11.42578125" style="193"/>
    <col min="767" max="767" width="6.7109375" style="193" bestFit="1" customWidth="1"/>
    <col min="768" max="768" width="36.42578125" style="193" customWidth="1"/>
    <col min="769" max="769" width="16.42578125" style="193" bestFit="1" customWidth="1"/>
    <col min="770" max="770" width="12.42578125" style="193" bestFit="1" customWidth="1"/>
    <col min="771" max="771" width="13" style="193" bestFit="1" customWidth="1"/>
    <col min="772" max="772" width="15.85546875" style="193" bestFit="1" customWidth="1"/>
    <col min="773" max="773" width="15.140625" style="193" bestFit="1" customWidth="1"/>
    <col min="774" max="1013" width="11.42578125" style="193"/>
    <col min="1014" max="1014" width="7" style="193" customWidth="1"/>
    <col min="1015" max="1015" width="35.7109375" style="193" customWidth="1"/>
    <col min="1016" max="1016" width="16.42578125" style="193" customWidth="1"/>
    <col min="1017" max="1017" width="12.85546875" style="193" customWidth="1"/>
    <col min="1018" max="1018" width="14.7109375" style="193" customWidth="1"/>
    <col min="1019" max="1019" width="16.85546875" style="193" customWidth="1"/>
    <col min="1020" max="1020" width="15.140625" style="193" bestFit="1" customWidth="1"/>
    <col min="1021" max="1022" width="11.42578125" style="193"/>
    <col min="1023" max="1023" width="6.7109375" style="193" bestFit="1" customWidth="1"/>
    <col min="1024" max="1024" width="36.42578125" style="193" customWidth="1"/>
    <col min="1025" max="1025" width="16.42578125" style="193" bestFit="1" customWidth="1"/>
    <col min="1026" max="1026" width="12.42578125" style="193" bestFit="1" customWidth="1"/>
    <col min="1027" max="1027" width="13" style="193" bestFit="1" customWidth="1"/>
    <col min="1028" max="1028" width="15.85546875" style="193" bestFit="1" customWidth="1"/>
    <col min="1029" max="1029" width="15.140625" style="193" bestFit="1" customWidth="1"/>
    <col min="1030" max="1269" width="11.42578125" style="193"/>
    <col min="1270" max="1270" width="7" style="193" customWidth="1"/>
    <col min="1271" max="1271" width="35.7109375" style="193" customWidth="1"/>
    <col min="1272" max="1272" width="16.42578125" style="193" customWidth="1"/>
    <col min="1273" max="1273" width="12.85546875" style="193" customWidth="1"/>
    <col min="1274" max="1274" width="14.7109375" style="193" customWidth="1"/>
    <col min="1275" max="1275" width="16.85546875" style="193" customWidth="1"/>
    <col min="1276" max="1276" width="15.140625" style="193" bestFit="1" customWidth="1"/>
    <col min="1277" max="1278" width="11.42578125" style="193"/>
    <col min="1279" max="1279" width="6.7109375" style="193" bestFit="1" customWidth="1"/>
    <col min="1280" max="1280" width="36.42578125" style="193" customWidth="1"/>
    <col min="1281" max="1281" width="16.42578125" style="193" bestFit="1" customWidth="1"/>
    <col min="1282" max="1282" width="12.42578125" style="193" bestFit="1" customWidth="1"/>
    <col min="1283" max="1283" width="13" style="193" bestFit="1" customWidth="1"/>
    <col min="1284" max="1284" width="15.85546875" style="193" bestFit="1" customWidth="1"/>
    <col min="1285" max="1285" width="15.140625" style="193" bestFit="1" customWidth="1"/>
    <col min="1286" max="1525" width="11.42578125" style="193"/>
    <col min="1526" max="1526" width="7" style="193" customWidth="1"/>
    <col min="1527" max="1527" width="35.7109375" style="193" customWidth="1"/>
    <col min="1528" max="1528" width="16.42578125" style="193" customWidth="1"/>
    <col min="1529" max="1529" width="12.85546875" style="193" customWidth="1"/>
    <col min="1530" max="1530" width="14.7109375" style="193" customWidth="1"/>
    <col min="1531" max="1531" width="16.85546875" style="193" customWidth="1"/>
    <col min="1532" max="1532" width="15.140625" style="193" bestFit="1" customWidth="1"/>
    <col min="1533" max="1534" width="11.42578125" style="193"/>
    <col min="1535" max="1535" width="6.7109375" style="193" bestFit="1" customWidth="1"/>
    <col min="1536" max="1536" width="36.42578125" style="193" customWidth="1"/>
    <col min="1537" max="1537" width="16.42578125" style="193" bestFit="1" customWidth="1"/>
    <col min="1538" max="1538" width="12.42578125" style="193" bestFit="1" customWidth="1"/>
    <col min="1539" max="1539" width="13" style="193" bestFit="1" customWidth="1"/>
    <col min="1540" max="1540" width="15.85546875" style="193" bestFit="1" customWidth="1"/>
    <col min="1541" max="1541" width="15.140625" style="193" bestFit="1" customWidth="1"/>
    <col min="1542" max="1781" width="11.42578125" style="193"/>
    <col min="1782" max="1782" width="7" style="193" customWidth="1"/>
    <col min="1783" max="1783" width="35.7109375" style="193" customWidth="1"/>
    <col min="1784" max="1784" width="16.42578125" style="193" customWidth="1"/>
    <col min="1785" max="1785" width="12.85546875" style="193" customWidth="1"/>
    <col min="1786" max="1786" width="14.7109375" style="193" customWidth="1"/>
    <col min="1787" max="1787" width="16.85546875" style="193" customWidth="1"/>
    <col min="1788" max="1788" width="15.140625" style="193" bestFit="1" customWidth="1"/>
    <col min="1789" max="1790" width="11.42578125" style="193"/>
    <col min="1791" max="1791" width="6.7109375" style="193" bestFit="1" customWidth="1"/>
    <col min="1792" max="1792" width="36.42578125" style="193" customWidth="1"/>
    <col min="1793" max="1793" width="16.42578125" style="193" bestFit="1" customWidth="1"/>
    <col min="1794" max="1794" width="12.42578125" style="193" bestFit="1" customWidth="1"/>
    <col min="1795" max="1795" width="13" style="193" bestFit="1" customWidth="1"/>
    <col min="1796" max="1796" width="15.85546875" style="193" bestFit="1" customWidth="1"/>
    <col min="1797" max="1797" width="15.140625" style="193" bestFit="1" customWidth="1"/>
    <col min="1798" max="2037" width="11.42578125" style="193"/>
    <col min="2038" max="2038" width="7" style="193" customWidth="1"/>
    <col min="2039" max="2039" width="35.7109375" style="193" customWidth="1"/>
    <col min="2040" max="2040" width="16.42578125" style="193" customWidth="1"/>
    <col min="2041" max="2041" width="12.85546875" style="193" customWidth="1"/>
    <col min="2042" max="2042" width="14.7109375" style="193" customWidth="1"/>
    <col min="2043" max="2043" width="16.85546875" style="193" customWidth="1"/>
    <col min="2044" max="2044" width="15.140625" style="193" bestFit="1" customWidth="1"/>
    <col min="2045" max="2046" width="11.42578125" style="193"/>
    <col min="2047" max="2047" width="6.7109375" style="193" bestFit="1" customWidth="1"/>
    <col min="2048" max="2048" width="36.42578125" style="193" customWidth="1"/>
    <col min="2049" max="2049" width="16.42578125" style="193" bestFit="1" customWidth="1"/>
    <col min="2050" max="2050" width="12.42578125" style="193" bestFit="1" customWidth="1"/>
    <col min="2051" max="2051" width="13" style="193" bestFit="1" customWidth="1"/>
    <col min="2052" max="2052" width="15.85546875" style="193" bestFit="1" customWidth="1"/>
    <col min="2053" max="2053" width="15.140625" style="193" bestFit="1" customWidth="1"/>
    <col min="2054" max="2293" width="11.42578125" style="193"/>
    <col min="2294" max="2294" width="7" style="193" customWidth="1"/>
    <col min="2295" max="2295" width="35.7109375" style="193" customWidth="1"/>
    <col min="2296" max="2296" width="16.42578125" style="193" customWidth="1"/>
    <col min="2297" max="2297" width="12.85546875" style="193" customWidth="1"/>
    <col min="2298" max="2298" width="14.7109375" style="193" customWidth="1"/>
    <col min="2299" max="2299" width="16.85546875" style="193" customWidth="1"/>
    <col min="2300" max="2300" width="15.140625" style="193" bestFit="1" customWidth="1"/>
    <col min="2301" max="2302" width="11.42578125" style="193"/>
    <col min="2303" max="2303" width="6.7109375" style="193" bestFit="1" customWidth="1"/>
    <col min="2304" max="2304" width="36.42578125" style="193" customWidth="1"/>
    <col min="2305" max="2305" width="16.42578125" style="193" bestFit="1" customWidth="1"/>
    <col min="2306" max="2306" width="12.42578125" style="193" bestFit="1" customWidth="1"/>
    <col min="2307" max="2307" width="13" style="193" bestFit="1" customWidth="1"/>
    <col min="2308" max="2308" width="15.85546875" style="193" bestFit="1" customWidth="1"/>
    <col min="2309" max="2309" width="15.140625" style="193" bestFit="1" customWidth="1"/>
    <col min="2310" max="2549" width="11.42578125" style="193"/>
    <col min="2550" max="2550" width="7" style="193" customWidth="1"/>
    <col min="2551" max="2551" width="35.7109375" style="193" customWidth="1"/>
    <col min="2552" max="2552" width="16.42578125" style="193" customWidth="1"/>
    <col min="2553" max="2553" width="12.85546875" style="193" customWidth="1"/>
    <col min="2554" max="2554" width="14.7109375" style="193" customWidth="1"/>
    <col min="2555" max="2555" width="16.85546875" style="193" customWidth="1"/>
    <col min="2556" max="2556" width="15.140625" style="193" bestFit="1" customWidth="1"/>
    <col min="2557" max="2558" width="11.42578125" style="193"/>
    <col min="2559" max="2559" width="6.7109375" style="193" bestFit="1" customWidth="1"/>
    <col min="2560" max="2560" width="36.42578125" style="193" customWidth="1"/>
    <col min="2561" max="2561" width="16.42578125" style="193" bestFit="1" customWidth="1"/>
    <col min="2562" max="2562" width="12.42578125" style="193" bestFit="1" customWidth="1"/>
    <col min="2563" max="2563" width="13" style="193" bestFit="1" customWidth="1"/>
    <col min="2564" max="2564" width="15.85546875" style="193" bestFit="1" customWidth="1"/>
    <col min="2565" max="2565" width="15.140625" style="193" bestFit="1" customWidth="1"/>
    <col min="2566" max="2805" width="11.42578125" style="193"/>
    <col min="2806" max="2806" width="7" style="193" customWidth="1"/>
    <col min="2807" max="2807" width="35.7109375" style="193" customWidth="1"/>
    <col min="2808" max="2808" width="16.42578125" style="193" customWidth="1"/>
    <col min="2809" max="2809" width="12.85546875" style="193" customWidth="1"/>
    <col min="2810" max="2810" width="14.7109375" style="193" customWidth="1"/>
    <col min="2811" max="2811" width="16.85546875" style="193" customWidth="1"/>
    <col min="2812" max="2812" width="15.140625" style="193" bestFit="1" customWidth="1"/>
    <col min="2813" max="2814" width="11.42578125" style="193"/>
    <col min="2815" max="2815" width="6.7109375" style="193" bestFit="1" customWidth="1"/>
    <col min="2816" max="2816" width="36.42578125" style="193" customWidth="1"/>
    <col min="2817" max="2817" width="16.42578125" style="193" bestFit="1" customWidth="1"/>
    <col min="2818" max="2818" width="12.42578125" style="193" bestFit="1" customWidth="1"/>
    <col min="2819" max="2819" width="13" style="193" bestFit="1" customWidth="1"/>
    <col min="2820" max="2820" width="15.85546875" style="193" bestFit="1" customWidth="1"/>
    <col min="2821" max="2821" width="15.140625" style="193" bestFit="1" customWidth="1"/>
    <col min="2822" max="3061" width="11.42578125" style="193"/>
    <col min="3062" max="3062" width="7" style="193" customWidth="1"/>
    <col min="3063" max="3063" width="35.7109375" style="193" customWidth="1"/>
    <col min="3064" max="3064" width="16.42578125" style="193" customWidth="1"/>
    <col min="3065" max="3065" width="12.85546875" style="193" customWidth="1"/>
    <col min="3066" max="3066" width="14.7109375" style="193" customWidth="1"/>
    <col min="3067" max="3067" width="16.85546875" style="193" customWidth="1"/>
    <col min="3068" max="3068" width="15.140625" style="193" bestFit="1" customWidth="1"/>
    <col min="3069" max="3070" width="11.42578125" style="193"/>
    <col min="3071" max="3071" width="6.7109375" style="193" bestFit="1" customWidth="1"/>
    <col min="3072" max="3072" width="36.42578125" style="193" customWidth="1"/>
    <col min="3073" max="3073" width="16.42578125" style="193" bestFit="1" customWidth="1"/>
    <col min="3074" max="3074" width="12.42578125" style="193" bestFit="1" customWidth="1"/>
    <col min="3075" max="3075" width="13" style="193" bestFit="1" customWidth="1"/>
    <col min="3076" max="3076" width="15.85546875" style="193" bestFit="1" customWidth="1"/>
    <col min="3077" max="3077" width="15.140625" style="193" bestFit="1" customWidth="1"/>
    <col min="3078" max="3317" width="11.42578125" style="193"/>
    <col min="3318" max="3318" width="7" style="193" customWidth="1"/>
    <col min="3319" max="3319" width="35.7109375" style="193" customWidth="1"/>
    <col min="3320" max="3320" width="16.42578125" style="193" customWidth="1"/>
    <col min="3321" max="3321" width="12.85546875" style="193" customWidth="1"/>
    <col min="3322" max="3322" width="14.7109375" style="193" customWidth="1"/>
    <col min="3323" max="3323" width="16.85546875" style="193" customWidth="1"/>
    <col min="3324" max="3324" width="15.140625" style="193" bestFit="1" customWidth="1"/>
    <col min="3325" max="3326" width="11.42578125" style="193"/>
    <col min="3327" max="3327" width="6.7109375" style="193" bestFit="1" customWidth="1"/>
    <col min="3328" max="3328" width="36.42578125" style="193" customWidth="1"/>
    <col min="3329" max="3329" width="16.42578125" style="193" bestFit="1" customWidth="1"/>
    <col min="3330" max="3330" width="12.42578125" style="193" bestFit="1" customWidth="1"/>
    <col min="3331" max="3331" width="13" style="193" bestFit="1" customWidth="1"/>
    <col min="3332" max="3332" width="15.85546875" style="193" bestFit="1" customWidth="1"/>
    <col min="3333" max="3333" width="15.140625" style="193" bestFit="1" customWidth="1"/>
    <col min="3334" max="3573" width="11.42578125" style="193"/>
    <col min="3574" max="3574" width="7" style="193" customWidth="1"/>
    <col min="3575" max="3575" width="35.7109375" style="193" customWidth="1"/>
    <col min="3576" max="3576" width="16.42578125" style="193" customWidth="1"/>
    <col min="3577" max="3577" width="12.85546875" style="193" customWidth="1"/>
    <col min="3578" max="3578" width="14.7109375" style="193" customWidth="1"/>
    <col min="3579" max="3579" width="16.85546875" style="193" customWidth="1"/>
    <col min="3580" max="3580" width="15.140625" style="193" bestFit="1" customWidth="1"/>
    <col min="3581" max="3582" width="11.42578125" style="193"/>
    <col min="3583" max="3583" width="6.7109375" style="193" bestFit="1" customWidth="1"/>
    <col min="3584" max="3584" width="36.42578125" style="193" customWidth="1"/>
    <col min="3585" max="3585" width="16.42578125" style="193" bestFit="1" customWidth="1"/>
    <col min="3586" max="3586" width="12.42578125" style="193" bestFit="1" customWidth="1"/>
    <col min="3587" max="3587" width="13" style="193" bestFit="1" customWidth="1"/>
    <col min="3588" max="3588" width="15.85546875" style="193" bestFit="1" customWidth="1"/>
    <col min="3589" max="3589" width="15.140625" style="193" bestFit="1" customWidth="1"/>
    <col min="3590" max="3829" width="11.42578125" style="193"/>
    <col min="3830" max="3830" width="7" style="193" customWidth="1"/>
    <col min="3831" max="3831" width="35.7109375" style="193" customWidth="1"/>
    <col min="3832" max="3832" width="16.42578125" style="193" customWidth="1"/>
    <col min="3833" max="3833" width="12.85546875" style="193" customWidth="1"/>
    <col min="3834" max="3834" width="14.7109375" style="193" customWidth="1"/>
    <col min="3835" max="3835" width="16.85546875" style="193" customWidth="1"/>
    <col min="3836" max="3836" width="15.140625" style="193" bestFit="1" customWidth="1"/>
    <col min="3837" max="3838" width="11.42578125" style="193"/>
    <col min="3839" max="3839" width="6.7109375" style="193" bestFit="1" customWidth="1"/>
    <col min="3840" max="3840" width="36.42578125" style="193" customWidth="1"/>
    <col min="3841" max="3841" width="16.42578125" style="193" bestFit="1" customWidth="1"/>
    <col min="3842" max="3842" width="12.42578125" style="193" bestFit="1" customWidth="1"/>
    <col min="3843" max="3843" width="13" style="193" bestFit="1" customWidth="1"/>
    <col min="3844" max="3844" width="15.85546875" style="193" bestFit="1" customWidth="1"/>
    <col min="3845" max="3845" width="15.140625" style="193" bestFit="1" customWidth="1"/>
    <col min="3846" max="4085" width="11.42578125" style="193"/>
    <col min="4086" max="4086" width="7" style="193" customWidth="1"/>
    <col min="4087" max="4087" width="35.7109375" style="193" customWidth="1"/>
    <col min="4088" max="4088" width="16.42578125" style="193" customWidth="1"/>
    <col min="4089" max="4089" width="12.85546875" style="193" customWidth="1"/>
    <col min="4090" max="4090" width="14.7109375" style="193" customWidth="1"/>
    <col min="4091" max="4091" width="16.85546875" style="193" customWidth="1"/>
    <col min="4092" max="4092" width="15.140625" style="193" bestFit="1" customWidth="1"/>
    <col min="4093" max="4094" width="11.42578125" style="193"/>
    <col min="4095" max="4095" width="6.7109375" style="193" bestFit="1" customWidth="1"/>
    <col min="4096" max="4096" width="36.42578125" style="193" customWidth="1"/>
    <col min="4097" max="4097" width="16.42578125" style="193" bestFit="1" customWidth="1"/>
    <col min="4098" max="4098" width="12.42578125" style="193" bestFit="1" customWidth="1"/>
    <col min="4099" max="4099" width="13" style="193" bestFit="1" customWidth="1"/>
    <col min="4100" max="4100" width="15.85546875" style="193" bestFit="1" customWidth="1"/>
    <col min="4101" max="4101" width="15.140625" style="193" bestFit="1" customWidth="1"/>
    <col min="4102" max="4341" width="11.42578125" style="193"/>
    <col min="4342" max="4342" width="7" style="193" customWidth="1"/>
    <col min="4343" max="4343" width="35.7109375" style="193" customWidth="1"/>
    <col min="4344" max="4344" width="16.42578125" style="193" customWidth="1"/>
    <col min="4345" max="4345" width="12.85546875" style="193" customWidth="1"/>
    <col min="4346" max="4346" width="14.7109375" style="193" customWidth="1"/>
    <col min="4347" max="4347" width="16.85546875" style="193" customWidth="1"/>
    <col min="4348" max="4348" width="15.140625" style="193" bestFit="1" customWidth="1"/>
    <col min="4349" max="4350" width="11.42578125" style="193"/>
    <col min="4351" max="4351" width="6.7109375" style="193" bestFit="1" customWidth="1"/>
    <col min="4352" max="4352" width="36.42578125" style="193" customWidth="1"/>
    <col min="4353" max="4353" width="16.42578125" style="193" bestFit="1" customWidth="1"/>
    <col min="4354" max="4354" width="12.42578125" style="193" bestFit="1" customWidth="1"/>
    <col min="4355" max="4355" width="13" style="193" bestFit="1" customWidth="1"/>
    <col min="4356" max="4356" width="15.85546875" style="193" bestFit="1" customWidth="1"/>
    <col min="4357" max="4357" width="15.140625" style="193" bestFit="1" customWidth="1"/>
    <col min="4358" max="4597" width="11.42578125" style="193"/>
    <col min="4598" max="4598" width="7" style="193" customWidth="1"/>
    <col min="4599" max="4599" width="35.7109375" style="193" customWidth="1"/>
    <col min="4600" max="4600" width="16.42578125" style="193" customWidth="1"/>
    <col min="4601" max="4601" width="12.85546875" style="193" customWidth="1"/>
    <col min="4602" max="4602" width="14.7109375" style="193" customWidth="1"/>
    <col min="4603" max="4603" width="16.85546875" style="193" customWidth="1"/>
    <col min="4604" max="4604" width="15.140625" style="193" bestFit="1" customWidth="1"/>
    <col min="4605" max="4606" width="11.42578125" style="193"/>
    <col min="4607" max="4607" width="6.7109375" style="193" bestFit="1" customWidth="1"/>
    <col min="4608" max="4608" width="36.42578125" style="193" customWidth="1"/>
    <col min="4609" max="4609" width="16.42578125" style="193" bestFit="1" customWidth="1"/>
    <col min="4610" max="4610" width="12.42578125" style="193" bestFit="1" customWidth="1"/>
    <col min="4611" max="4611" width="13" style="193" bestFit="1" customWidth="1"/>
    <col min="4612" max="4612" width="15.85546875" style="193" bestFit="1" customWidth="1"/>
    <col min="4613" max="4613" width="15.140625" style="193" bestFit="1" customWidth="1"/>
    <col min="4614" max="4853" width="11.42578125" style="193"/>
    <col min="4854" max="4854" width="7" style="193" customWidth="1"/>
    <col min="4855" max="4855" width="35.7109375" style="193" customWidth="1"/>
    <col min="4856" max="4856" width="16.42578125" style="193" customWidth="1"/>
    <col min="4857" max="4857" width="12.85546875" style="193" customWidth="1"/>
    <col min="4858" max="4858" width="14.7109375" style="193" customWidth="1"/>
    <col min="4859" max="4859" width="16.85546875" style="193" customWidth="1"/>
    <col min="4860" max="4860" width="15.140625" style="193" bestFit="1" customWidth="1"/>
    <col min="4861" max="4862" width="11.42578125" style="193"/>
    <col min="4863" max="4863" width="6.7109375" style="193" bestFit="1" customWidth="1"/>
    <col min="4864" max="4864" width="36.42578125" style="193" customWidth="1"/>
    <col min="4865" max="4865" width="16.42578125" style="193" bestFit="1" customWidth="1"/>
    <col min="4866" max="4866" width="12.42578125" style="193" bestFit="1" customWidth="1"/>
    <col min="4867" max="4867" width="13" style="193" bestFit="1" customWidth="1"/>
    <col min="4868" max="4868" width="15.85546875" style="193" bestFit="1" customWidth="1"/>
    <col min="4869" max="4869" width="15.140625" style="193" bestFit="1" customWidth="1"/>
    <col min="4870" max="5109" width="11.42578125" style="193"/>
    <col min="5110" max="5110" width="7" style="193" customWidth="1"/>
    <col min="5111" max="5111" width="35.7109375" style="193" customWidth="1"/>
    <col min="5112" max="5112" width="16.42578125" style="193" customWidth="1"/>
    <col min="5113" max="5113" width="12.85546875" style="193" customWidth="1"/>
    <col min="5114" max="5114" width="14.7109375" style="193" customWidth="1"/>
    <col min="5115" max="5115" width="16.85546875" style="193" customWidth="1"/>
    <col min="5116" max="5116" width="15.140625" style="193" bestFit="1" customWidth="1"/>
    <col min="5117" max="5118" width="11.42578125" style="193"/>
    <col min="5119" max="5119" width="6.7109375" style="193" bestFit="1" customWidth="1"/>
    <col min="5120" max="5120" width="36.42578125" style="193" customWidth="1"/>
    <col min="5121" max="5121" width="16.42578125" style="193" bestFit="1" customWidth="1"/>
    <col min="5122" max="5122" width="12.42578125" style="193" bestFit="1" customWidth="1"/>
    <col min="5123" max="5123" width="13" style="193" bestFit="1" customWidth="1"/>
    <col min="5124" max="5124" width="15.85546875" style="193" bestFit="1" customWidth="1"/>
    <col min="5125" max="5125" width="15.140625" style="193" bestFit="1" customWidth="1"/>
    <col min="5126" max="5365" width="11.42578125" style="193"/>
    <col min="5366" max="5366" width="7" style="193" customWidth="1"/>
    <col min="5367" max="5367" width="35.7109375" style="193" customWidth="1"/>
    <col min="5368" max="5368" width="16.42578125" style="193" customWidth="1"/>
    <col min="5369" max="5369" width="12.85546875" style="193" customWidth="1"/>
    <col min="5370" max="5370" width="14.7109375" style="193" customWidth="1"/>
    <col min="5371" max="5371" width="16.85546875" style="193" customWidth="1"/>
    <col min="5372" max="5372" width="15.140625" style="193" bestFit="1" customWidth="1"/>
    <col min="5373" max="5374" width="11.42578125" style="193"/>
    <col min="5375" max="5375" width="6.7109375" style="193" bestFit="1" customWidth="1"/>
    <col min="5376" max="5376" width="36.42578125" style="193" customWidth="1"/>
    <col min="5377" max="5377" width="16.42578125" style="193" bestFit="1" customWidth="1"/>
    <col min="5378" max="5378" width="12.42578125" style="193" bestFit="1" customWidth="1"/>
    <col min="5379" max="5379" width="13" style="193" bestFit="1" customWidth="1"/>
    <col min="5380" max="5380" width="15.85546875" style="193" bestFit="1" customWidth="1"/>
    <col min="5381" max="5381" width="15.140625" style="193" bestFit="1" customWidth="1"/>
    <col min="5382" max="5621" width="11.42578125" style="193"/>
    <col min="5622" max="5622" width="7" style="193" customWidth="1"/>
    <col min="5623" max="5623" width="35.7109375" style="193" customWidth="1"/>
    <col min="5624" max="5624" width="16.42578125" style="193" customWidth="1"/>
    <col min="5625" max="5625" width="12.85546875" style="193" customWidth="1"/>
    <col min="5626" max="5626" width="14.7109375" style="193" customWidth="1"/>
    <col min="5627" max="5627" width="16.85546875" style="193" customWidth="1"/>
    <col min="5628" max="5628" width="15.140625" style="193" bestFit="1" customWidth="1"/>
    <col min="5629" max="5630" width="11.42578125" style="193"/>
    <col min="5631" max="5631" width="6.7109375" style="193" bestFit="1" customWidth="1"/>
    <col min="5632" max="5632" width="36.42578125" style="193" customWidth="1"/>
    <col min="5633" max="5633" width="16.42578125" style="193" bestFit="1" customWidth="1"/>
    <col min="5634" max="5634" width="12.42578125" style="193" bestFit="1" customWidth="1"/>
    <col min="5635" max="5635" width="13" style="193" bestFit="1" customWidth="1"/>
    <col min="5636" max="5636" width="15.85546875" style="193" bestFit="1" customWidth="1"/>
    <col min="5637" max="5637" width="15.140625" style="193" bestFit="1" customWidth="1"/>
    <col min="5638" max="5877" width="11.42578125" style="193"/>
    <col min="5878" max="5878" width="7" style="193" customWidth="1"/>
    <col min="5879" max="5879" width="35.7109375" style="193" customWidth="1"/>
    <col min="5880" max="5880" width="16.42578125" style="193" customWidth="1"/>
    <col min="5881" max="5881" width="12.85546875" style="193" customWidth="1"/>
    <col min="5882" max="5882" width="14.7109375" style="193" customWidth="1"/>
    <col min="5883" max="5883" width="16.85546875" style="193" customWidth="1"/>
    <col min="5884" max="5884" width="15.140625" style="193" bestFit="1" customWidth="1"/>
    <col min="5885" max="5886" width="11.42578125" style="193"/>
    <col min="5887" max="5887" width="6.7109375" style="193" bestFit="1" customWidth="1"/>
    <col min="5888" max="5888" width="36.42578125" style="193" customWidth="1"/>
    <col min="5889" max="5889" width="16.42578125" style="193" bestFit="1" customWidth="1"/>
    <col min="5890" max="5890" width="12.42578125" style="193" bestFit="1" customWidth="1"/>
    <col min="5891" max="5891" width="13" style="193" bestFit="1" customWidth="1"/>
    <col min="5892" max="5892" width="15.85546875" style="193" bestFit="1" customWidth="1"/>
    <col min="5893" max="5893" width="15.140625" style="193" bestFit="1" customWidth="1"/>
    <col min="5894" max="6133" width="11.42578125" style="193"/>
    <col min="6134" max="6134" width="7" style="193" customWidth="1"/>
    <col min="6135" max="6135" width="35.7109375" style="193" customWidth="1"/>
    <col min="6136" max="6136" width="16.42578125" style="193" customWidth="1"/>
    <col min="6137" max="6137" width="12.85546875" style="193" customWidth="1"/>
    <col min="6138" max="6138" width="14.7109375" style="193" customWidth="1"/>
    <col min="6139" max="6139" width="16.85546875" style="193" customWidth="1"/>
    <col min="6140" max="6140" width="15.140625" style="193" bestFit="1" customWidth="1"/>
    <col min="6141" max="6142" width="11.42578125" style="193"/>
    <col min="6143" max="6143" width="6.7109375" style="193" bestFit="1" customWidth="1"/>
    <col min="6144" max="6144" width="36.42578125" style="193" customWidth="1"/>
    <col min="6145" max="6145" width="16.42578125" style="193" bestFit="1" customWidth="1"/>
    <col min="6146" max="6146" width="12.42578125" style="193" bestFit="1" customWidth="1"/>
    <col min="6147" max="6147" width="13" style="193" bestFit="1" customWidth="1"/>
    <col min="6148" max="6148" width="15.85546875" style="193" bestFit="1" customWidth="1"/>
    <col min="6149" max="6149" width="15.140625" style="193" bestFit="1" customWidth="1"/>
    <col min="6150" max="6389" width="11.42578125" style="193"/>
    <col min="6390" max="6390" width="7" style="193" customWidth="1"/>
    <col min="6391" max="6391" width="35.7109375" style="193" customWidth="1"/>
    <col min="6392" max="6392" width="16.42578125" style="193" customWidth="1"/>
    <col min="6393" max="6393" width="12.85546875" style="193" customWidth="1"/>
    <col min="6394" max="6394" width="14.7109375" style="193" customWidth="1"/>
    <col min="6395" max="6395" width="16.85546875" style="193" customWidth="1"/>
    <col min="6396" max="6396" width="15.140625" style="193" bestFit="1" customWidth="1"/>
    <col min="6397" max="6398" width="11.42578125" style="193"/>
    <col min="6399" max="6399" width="6.7109375" style="193" bestFit="1" customWidth="1"/>
    <col min="6400" max="6400" width="36.42578125" style="193" customWidth="1"/>
    <col min="6401" max="6401" width="16.42578125" style="193" bestFit="1" customWidth="1"/>
    <col min="6402" max="6402" width="12.42578125" style="193" bestFit="1" customWidth="1"/>
    <col min="6403" max="6403" width="13" style="193" bestFit="1" customWidth="1"/>
    <col min="6404" max="6404" width="15.85546875" style="193" bestFit="1" customWidth="1"/>
    <col min="6405" max="6405" width="15.140625" style="193" bestFit="1" customWidth="1"/>
    <col min="6406" max="6645" width="11.42578125" style="193"/>
    <col min="6646" max="6646" width="7" style="193" customWidth="1"/>
    <col min="6647" max="6647" width="35.7109375" style="193" customWidth="1"/>
    <col min="6648" max="6648" width="16.42578125" style="193" customWidth="1"/>
    <col min="6649" max="6649" width="12.85546875" style="193" customWidth="1"/>
    <col min="6650" max="6650" width="14.7109375" style="193" customWidth="1"/>
    <col min="6651" max="6651" width="16.85546875" style="193" customWidth="1"/>
    <col min="6652" max="6652" width="15.140625" style="193" bestFit="1" customWidth="1"/>
    <col min="6653" max="6654" width="11.42578125" style="193"/>
    <col min="6655" max="6655" width="6.7109375" style="193" bestFit="1" customWidth="1"/>
    <col min="6656" max="6656" width="36.42578125" style="193" customWidth="1"/>
    <col min="6657" max="6657" width="16.42578125" style="193" bestFit="1" customWidth="1"/>
    <col min="6658" max="6658" width="12.42578125" style="193" bestFit="1" customWidth="1"/>
    <col min="6659" max="6659" width="13" style="193" bestFit="1" customWidth="1"/>
    <col min="6660" max="6660" width="15.85546875" style="193" bestFit="1" customWidth="1"/>
    <col min="6661" max="6661" width="15.140625" style="193" bestFit="1" customWidth="1"/>
    <col min="6662" max="6901" width="11.42578125" style="193"/>
    <col min="6902" max="6902" width="7" style="193" customWidth="1"/>
    <col min="6903" max="6903" width="35.7109375" style="193" customWidth="1"/>
    <col min="6904" max="6904" width="16.42578125" style="193" customWidth="1"/>
    <col min="6905" max="6905" width="12.85546875" style="193" customWidth="1"/>
    <col min="6906" max="6906" width="14.7109375" style="193" customWidth="1"/>
    <col min="6907" max="6907" width="16.85546875" style="193" customWidth="1"/>
    <col min="6908" max="6908" width="15.140625" style="193" bestFit="1" customWidth="1"/>
    <col min="6909" max="6910" width="11.42578125" style="193"/>
    <col min="6911" max="6911" width="6.7109375" style="193" bestFit="1" customWidth="1"/>
    <col min="6912" max="6912" width="36.42578125" style="193" customWidth="1"/>
    <col min="6913" max="6913" width="16.42578125" style="193" bestFit="1" customWidth="1"/>
    <col min="6914" max="6914" width="12.42578125" style="193" bestFit="1" customWidth="1"/>
    <col min="6915" max="6915" width="13" style="193" bestFit="1" customWidth="1"/>
    <col min="6916" max="6916" width="15.85546875" style="193" bestFit="1" customWidth="1"/>
    <col min="6917" max="6917" width="15.140625" style="193" bestFit="1" customWidth="1"/>
    <col min="6918" max="7157" width="11.42578125" style="193"/>
    <col min="7158" max="7158" width="7" style="193" customWidth="1"/>
    <col min="7159" max="7159" width="35.7109375" style="193" customWidth="1"/>
    <col min="7160" max="7160" width="16.42578125" style="193" customWidth="1"/>
    <col min="7161" max="7161" width="12.85546875" style="193" customWidth="1"/>
    <col min="7162" max="7162" width="14.7109375" style="193" customWidth="1"/>
    <col min="7163" max="7163" width="16.85546875" style="193" customWidth="1"/>
    <col min="7164" max="7164" width="15.140625" style="193" bestFit="1" customWidth="1"/>
    <col min="7165" max="7166" width="11.42578125" style="193"/>
    <col min="7167" max="7167" width="6.7109375" style="193" bestFit="1" customWidth="1"/>
    <col min="7168" max="7168" width="36.42578125" style="193" customWidth="1"/>
    <col min="7169" max="7169" width="16.42578125" style="193" bestFit="1" customWidth="1"/>
    <col min="7170" max="7170" width="12.42578125" style="193" bestFit="1" customWidth="1"/>
    <col min="7171" max="7171" width="13" style="193" bestFit="1" customWidth="1"/>
    <col min="7172" max="7172" width="15.85546875" style="193" bestFit="1" customWidth="1"/>
    <col min="7173" max="7173" width="15.140625" style="193" bestFit="1" customWidth="1"/>
    <col min="7174" max="7413" width="11.42578125" style="193"/>
    <col min="7414" max="7414" width="7" style="193" customWidth="1"/>
    <col min="7415" max="7415" width="35.7109375" style="193" customWidth="1"/>
    <col min="7416" max="7416" width="16.42578125" style="193" customWidth="1"/>
    <col min="7417" max="7417" width="12.85546875" style="193" customWidth="1"/>
    <col min="7418" max="7418" width="14.7109375" style="193" customWidth="1"/>
    <col min="7419" max="7419" width="16.85546875" style="193" customWidth="1"/>
    <col min="7420" max="7420" width="15.140625" style="193" bestFit="1" customWidth="1"/>
    <col min="7421" max="7422" width="11.42578125" style="193"/>
    <col min="7423" max="7423" width="6.7109375" style="193" bestFit="1" customWidth="1"/>
    <col min="7424" max="7424" width="36.42578125" style="193" customWidth="1"/>
    <col min="7425" max="7425" width="16.42578125" style="193" bestFit="1" customWidth="1"/>
    <col min="7426" max="7426" width="12.42578125" style="193" bestFit="1" customWidth="1"/>
    <col min="7427" max="7427" width="13" style="193" bestFit="1" customWidth="1"/>
    <col min="7428" max="7428" width="15.85546875" style="193" bestFit="1" customWidth="1"/>
    <col min="7429" max="7429" width="15.140625" style="193" bestFit="1" customWidth="1"/>
    <col min="7430" max="7669" width="11.42578125" style="193"/>
    <col min="7670" max="7670" width="7" style="193" customWidth="1"/>
    <col min="7671" max="7671" width="35.7109375" style="193" customWidth="1"/>
    <col min="7672" max="7672" width="16.42578125" style="193" customWidth="1"/>
    <col min="7673" max="7673" width="12.85546875" style="193" customWidth="1"/>
    <col min="7674" max="7674" width="14.7109375" style="193" customWidth="1"/>
    <col min="7675" max="7675" width="16.85546875" style="193" customWidth="1"/>
    <col min="7676" max="7676" width="15.140625" style="193" bestFit="1" customWidth="1"/>
    <col min="7677" max="7678" width="11.42578125" style="193"/>
    <col min="7679" max="7679" width="6.7109375" style="193" bestFit="1" customWidth="1"/>
    <col min="7680" max="7680" width="36.42578125" style="193" customWidth="1"/>
    <col min="7681" max="7681" width="16.42578125" style="193" bestFit="1" customWidth="1"/>
    <col min="7682" max="7682" width="12.42578125" style="193" bestFit="1" customWidth="1"/>
    <col min="7683" max="7683" width="13" style="193" bestFit="1" customWidth="1"/>
    <col min="7684" max="7684" width="15.85546875" style="193" bestFit="1" customWidth="1"/>
    <col min="7685" max="7685" width="15.140625" style="193" bestFit="1" customWidth="1"/>
    <col min="7686" max="7925" width="11.42578125" style="193"/>
    <col min="7926" max="7926" width="7" style="193" customWidth="1"/>
    <col min="7927" max="7927" width="35.7109375" style="193" customWidth="1"/>
    <col min="7928" max="7928" width="16.42578125" style="193" customWidth="1"/>
    <col min="7929" max="7929" width="12.85546875" style="193" customWidth="1"/>
    <col min="7930" max="7930" width="14.7109375" style="193" customWidth="1"/>
    <col min="7931" max="7931" width="16.85546875" style="193" customWidth="1"/>
    <col min="7932" max="7932" width="15.140625" style="193" bestFit="1" customWidth="1"/>
    <col min="7933" max="7934" width="11.42578125" style="193"/>
    <col min="7935" max="7935" width="6.7109375" style="193" bestFit="1" customWidth="1"/>
    <col min="7936" max="7936" width="36.42578125" style="193" customWidth="1"/>
    <col min="7937" max="7937" width="16.42578125" style="193" bestFit="1" customWidth="1"/>
    <col min="7938" max="7938" width="12.42578125" style="193" bestFit="1" customWidth="1"/>
    <col min="7939" max="7939" width="13" style="193" bestFit="1" customWidth="1"/>
    <col min="7940" max="7940" width="15.85546875" style="193" bestFit="1" customWidth="1"/>
    <col min="7941" max="7941" width="15.140625" style="193" bestFit="1" customWidth="1"/>
    <col min="7942" max="8181" width="11.42578125" style="193"/>
    <col min="8182" max="8182" width="7" style="193" customWidth="1"/>
    <col min="8183" max="8183" width="35.7109375" style="193" customWidth="1"/>
    <col min="8184" max="8184" width="16.42578125" style="193" customWidth="1"/>
    <col min="8185" max="8185" width="12.85546875" style="193" customWidth="1"/>
    <col min="8186" max="8186" width="14.7109375" style="193" customWidth="1"/>
    <col min="8187" max="8187" width="16.85546875" style="193" customWidth="1"/>
    <col min="8188" max="8188" width="15.140625" style="193" bestFit="1" customWidth="1"/>
    <col min="8189" max="8190" width="11.42578125" style="193"/>
    <col min="8191" max="8191" width="6.7109375" style="193" bestFit="1" customWidth="1"/>
    <col min="8192" max="8192" width="36.42578125" style="193" customWidth="1"/>
    <col min="8193" max="8193" width="16.42578125" style="193" bestFit="1" customWidth="1"/>
    <col min="8194" max="8194" width="12.42578125" style="193" bestFit="1" customWidth="1"/>
    <col min="8195" max="8195" width="13" style="193" bestFit="1" customWidth="1"/>
    <col min="8196" max="8196" width="15.85546875" style="193" bestFit="1" customWidth="1"/>
    <col min="8197" max="8197" width="15.140625" style="193" bestFit="1" customWidth="1"/>
    <col min="8198" max="8437" width="11.42578125" style="193"/>
    <col min="8438" max="8438" width="7" style="193" customWidth="1"/>
    <col min="8439" max="8439" width="35.7109375" style="193" customWidth="1"/>
    <col min="8440" max="8440" width="16.42578125" style="193" customWidth="1"/>
    <col min="8441" max="8441" width="12.85546875" style="193" customWidth="1"/>
    <col min="8442" max="8442" width="14.7109375" style="193" customWidth="1"/>
    <col min="8443" max="8443" width="16.85546875" style="193" customWidth="1"/>
    <col min="8444" max="8444" width="15.140625" style="193" bestFit="1" customWidth="1"/>
    <col min="8445" max="8446" width="11.42578125" style="193"/>
    <col min="8447" max="8447" width="6.7109375" style="193" bestFit="1" customWidth="1"/>
    <col min="8448" max="8448" width="36.42578125" style="193" customWidth="1"/>
    <col min="8449" max="8449" width="16.42578125" style="193" bestFit="1" customWidth="1"/>
    <col min="8450" max="8450" width="12.42578125" style="193" bestFit="1" customWidth="1"/>
    <col min="8451" max="8451" width="13" style="193" bestFit="1" customWidth="1"/>
    <col min="8452" max="8452" width="15.85546875" style="193" bestFit="1" customWidth="1"/>
    <col min="8453" max="8453" width="15.140625" style="193" bestFit="1" customWidth="1"/>
    <col min="8454" max="8693" width="11.42578125" style="193"/>
    <col min="8694" max="8694" width="7" style="193" customWidth="1"/>
    <col min="8695" max="8695" width="35.7109375" style="193" customWidth="1"/>
    <col min="8696" max="8696" width="16.42578125" style="193" customWidth="1"/>
    <col min="8697" max="8697" width="12.85546875" style="193" customWidth="1"/>
    <col min="8698" max="8698" width="14.7109375" style="193" customWidth="1"/>
    <col min="8699" max="8699" width="16.85546875" style="193" customWidth="1"/>
    <col min="8700" max="8700" width="15.140625" style="193" bestFit="1" customWidth="1"/>
    <col min="8701" max="8702" width="11.42578125" style="193"/>
    <col min="8703" max="8703" width="6.7109375" style="193" bestFit="1" customWidth="1"/>
    <col min="8704" max="8704" width="36.42578125" style="193" customWidth="1"/>
    <col min="8705" max="8705" width="16.42578125" style="193" bestFit="1" customWidth="1"/>
    <col min="8706" max="8706" width="12.42578125" style="193" bestFit="1" customWidth="1"/>
    <col min="8707" max="8707" width="13" style="193" bestFit="1" customWidth="1"/>
    <col min="8708" max="8708" width="15.85546875" style="193" bestFit="1" customWidth="1"/>
    <col min="8709" max="8709" width="15.140625" style="193" bestFit="1" customWidth="1"/>
    <col min="8710" max="8949" width="11.42578125" style="193"/>
    <col min="8950" max="8950" width="7" style="193" customWidth="1"/>
    <col min="8951" max="8951" width="35.7109375" style="193" customWidth="1"/>
    <col min="8952" max="8952" width="16.42578125" style="193" customWidth="1"/>
    <col min="8953" max="8953" width="12.85546875" style="193" customWidth="1"/>
    <col min="8954" max="8954" width="14.7109375" style="193" customWidth="1"/>
    <col min="8955" max="8955" width="16.85546875" style="193" customWidth="1"/>
    <col min="8956" max="8956" width="15.140625" style="193" bestFit="1" customWidth="1"/>
    <col min="8957" max="8958" width="11.42578125" style="193"/>
    <col min="8959" max="8959" width="6.7109375" style="193" bestFit="1" customWidth="1"/>
    <col min="8960" max="8960" width="36.42578125" style="193" customWidth="1"/>
    <col min="8961" max="8961" width="16.42578125" style="193" bestFit="1" customWidth="1"/>
    <col min="8962" max="8962" width="12.42578125" style="193" bestFit="1" customWidth="1"/>
    <col min="8963" max="8963" width="13" style="193" bestFit="1" customWidth="1"/>
    <col min="8964" max="8964" width="15.85546875" style="193" bestFit="1" customWidth="1"/>
    <col min="8965" max="8965" width="15.140625" style="193" bestFit="1" customWidth="1"/>
    <col min="8966" max="9205" width="11.42578125" style="193"/>
    <col min="9206" max="9206" width="7" style="193" customWidth="1"/>
    <col min="9207" max="9207" width="35.7109375" style="193" customWidth="1"/>
    <col min="9208" max="9208" width="16.42578125" style="193" customWidth="1"/>
    <col min="9209" max="9209" width="12.85546875" style="193" customWidth="1"/>
    <col min="9210" max="9210" width="14.7109375" style="193" customWidth="1"/>
    <col min="9211" max="9211" width="16.85546875" style="193" customWidth="1"/>
    <col min="9212" max="9212" width="15.140625" style="193" bestFit="1" customWidth="1"/>
    <col min="9213" max="9214" width="11.42578125" style="193"/>
    <col min="9215" max="9215" width="6.7109375" style="193" bestFit="1" customWidth="1"/>
    <col min="9216" max="9216" width="36.42578125" style="193" customWidth="1"/>
    <col min="9217" max="9217" width="16.42578125" style="193" bestFit="1" customWidth="1"/>
    <col min="9218" max="9218" width="12.42578125" style="193" bestFit="1" customWidth="1"/>
    <col min="9219" max="9219" width="13" style="193" bestFit="1" customWidth="1"/>
    <col min="9220" max="9220" width="15.85546875" style="193" bestFit="1" customWidth="1"/>
    <col min="9221" max="9221" width="15.140625" style="193" bestFit="1" customWidth="1"/>
    <col min="9222" max="9461" width="11.42578125" style="193"/>
    <col min="9462" max="9462" width="7" style="193" customWidth="1"/>
    <col min="9463" max="9463" width="35.7109375" style="193" customWidth="1"/>
    <col min="9464" max="9464" width="16.42578125" style="193" customWidth="1"/>
    <col min="9465" max="9465" width="12.85546875" style="193" customWidth="1"/>
    <col min="9466" max="9466" width="14.7109375" style="193" customWidth="1"/>
    <col min="9467" max="9467" width="16.85546875" style="193" customWidth="1"/>
    <col min="9468" max="9468" width="15.140625" style="193" bestFit="1" customWidth="1"/>
    <col min="9469" max="9470" width="11.42578125" style="193"/>
    <col min="9471" max="9471" width="6.7109375" style="193" bestFit="1" customWidth="1"/>
    <col min="9472" max="9472" width="36.42578125" style="193" customWidth="1"/>
    <col min="9473" max="9473" width="16.42578125" style="193" bestFit="1" customWidth="1"/>
    <col min="9474" max="9474" width="12.42578125" style="193" bestFit="1" customWidth="1"/>
    <col min="9475" max="9475" width="13" style="193" bestFit="1" customWidth="1"/>
    <col min="9476" max="9476" width="15.85546875" style="193" bestFit="1" customWidth="1"/>
    <col min="9477" max="9477" width="15.140625" style="193" bestFit="1" customWidth="1"/>
    <col min="9478" max="9717" width="11.42578125" style="193"/>
    <col min="9718" max="9718" width="7" style="193" customWidth="1"/>
    <col min="9719" max="9719" width="35.7109375" style="193" customWidth="1"/>
    <col min="9720" max="9720" width="16.42578125" style="193" customWidth="1"/>
    <col min="9721" max="9721" width="12.85546875" style="193" customWidth="1"/>
    <col min="9722" max="9722" width="14.7109375" style="193" customWidth="1"/>
    <col min="9723" max="9723" width="16.85546875" style="193" customWidth="1"/>
    <col min="9724" max="9724" width="15.140625" style="193" bestFit="1" customWidth="1"/>
    <col min="9725" max="9726" width="11.42578125" style="193"/>
    <col min="9727" max="9727" width="6.7109375" style="193" bestFit="1" customWidth="1"/>
    <col min="9728" max="9728" width="36.42578125" style="193" customWidth="1"/>
    <col min="9729" max="9729" width="16.42578125" style="193" bestFit="1" customWidth="1"/>
    <col min="9730" max="9730" width="12.42578125" style="193" bestFit="1" customWidth="1"/>
    <col min="9731" max="9731" width="13" style="193" bestFit="1" customWidth="1"/>
    <col min="9732" max="9732" width="15.85546875" style="193" bestFit="1" customWidth="1"/>
    <col min="9733" max="9733" width="15.140625" style="193" bestFit="1" customWidth="1"/>
    <col min="9734" max="9973" width="11.42578125" style="193"/>
    <col min="9974" max="9974" width="7" style="193" customWidth="1"/>
    <col min="9975" max="9975" width="35.7109375" style="193" customWidth="1"/>
    <col min="9976" max="9976" width="16.42578125" style="193" customWidth="1"/>
    <col min="9977" max="9977" width="12.85546875" style="193" customWidth="1"/>
    <col min="9978" max="9978" width="14.7109375" style="193" customWidth="1"/>
    <col min="9979" max="9979" width="16.85546875" style="193" customWidth="1"/>
    <col min="9980" max="9980" width="15.140625" style="193" bestFit="1" customWidth="1"/>
    <col min="9981" max="9982" width="11.42578125" style="193"/>
    <col min="9983" max="9983" width="6.7109375" style="193" bestFit="1" customWidth="1"/>
    <col min="9984" max="9984" width="36.42578125" style="193" customWidth="1"/>
    <col min="9985" max="9985" width="16.42578125" style="193" bestFit="1" customWidth="1"/>
    <col min="9986" max="9986" width="12.42578125" style="193" bestFit="1" customWidth="1"/>
    <col min="9987" max="9987" width="13" style="193" bestFit="1" customWidth="1"/>
    <col min="9988" max="9988" width="15.85546875" style="193" bestFit="1" customWidth="1"/>
    <col min="9989" max="9989" width="15.140625" style="193" bestFit="1" customWidth="1"/>
    <col min="9990" max="10229" width="11.42578125" style="193"/>
    <col min="10230" max="10230" width="7" style="193" customWidth="1"/>
    <col min="10231" max="10231" width="35.7109375" style="193" customWidth="1"/>
    <col min="10232" max="10232" width="16.42578125" style="193" customWidth="1"/>
    <col min="10233" max="10233" width="12.85546875" style="193" customWidth="1"/>
    <col min="10234" max="10234" width="14.7109375" style="193" customWidth="1"/>
    <col min="10235" max="10235" width="16.85546875" style="193" customWidth="1"/>
    <col min="10236" max="10236" width="15.140625" style="193" bestFit="1" customWidth="1"/>
    <col min="10237" max="10238" width="11.42578125" style="193"/>
    <col min="10239" max="10239" width="6.7109375" style="193" bestFit="1" customWidth="1"/>
    <col min="10240" max="10240" width="36.42578125" style="193" customWidth="1"/>
    <col min="10241" max="10241" width="16.42578125" style="193" bestFit="1" customWidth="1"/>
    <col min="10242" max="10242" width="12.42578125" style="193" bestFit="1" customWidth="1"/>
    <col min="10243" max="10243" width="13" style="193" bestFit="1" customWidth="1"/>
    <col min="10244" max="10244" width="15.85546875" style="193" bestFit="1" customWidth="1"/>
    <col min="10245" max="10245" width="15.140625" style="193" bestFit="1" customWidth="1"/>
    <col min="10246" max="10485" width="11.42578125" style="193"/>
    <col min="10486" max="10486" width="7" style="193" customWidth="1"/>
    <col min="10487" max="10487" width="35.7109375" style="193" customWidth="1"/>
    <col min="10488" max="10488" width="16.42578125" style="193" customWidth="1"/>
    <col min="10489" max="10489" width="12.85546875" style="193" customWidth="1"/>
    <col min="10490" max="10490" width="14.7109375" style="193" customWidth="1"/>
    <col min="10491" max="10491" width="16.85546875" style="193" customWidth="1"/>
    <col min="10492" max="10492" width="15.140625" style="193" bestFit="1" customWidth="1"/>
    <col min="10493" max="10494" width="11.42578125" style="193"/>
    <col min="10495" max="10495" width="6.7109375" style="193" bestFit="1" customWidth="1"/>
    <col min="10496" max="10496" width="36.42578125" style="193" customWidth="1"/>
    <col min="10497" max="10497" width="16.42578125" style="193" bestFit="1" customWidth="1"/>
    <col min="10498" max="10498" width="12.42578125" style="193" bestFit="1" customWidth="1"/>
    <col min="10499" max="10499" width="13" style="193" bestFit="1" customWidth="1"/>
    <col min="10500" max="10500" width="15.85546875" style="193" bestFit="1" customWidth="1"/>
    <col min="10501" max="10501" width="15.140625" style="193" bestFit="1" customWidth="1"/>
    <col min="10502" max="10741" width="11.42578125" style="193"/>
    <col min="10742" max="10742" width="7" style="193" customWidth="1"/>
    <col min="10743" max="10743" width="35.7109375" style="193" customWidth="1"/>
    <col min="10744" max="10744" width="16.42578125" style="193" customWidth="1"/>
    <col min="10745" max="10745" width="12.85546875" style="193" customWidth="1"/>
    <col min="10746" max="10746" width="14.7109375" style="193" customWidth="1"/>
    <col min="10747" max="10747" width="16.85546875" style="193" customWidth="1"/>
    <col min="10748" max="10748" width="15.140625" style="193" bestFit="1" customWidth="1"/>
    <col min="10749" max="10750" width="11.42578125" style="193"/>
    <col min="10751" max="10751" width="6.7109375" style="193" bestFit="1" customWidth="1"/>
    <col min="10752" max="10752" width="36.42578125" style="193" customWidth="1"/>
    <col min="10753" max="10753" width="16.42578125" style="193" bestFit="1" customWidth="1"/>
    <col min="10754" max="10754" width="12.42578125" style="193" bestFit="1" customWidth="1"/>
    <col min="10755" max="10755" width="13" style="193" bestFit="1" customWidth="1"/>
    <col min="10756" max="10756" width="15.85546875" style="193" bestFit="1" customWidth="1"/>
    <col min="10757" max="10757" width="15.140625" style="193" bestFit="1" customWidth="1"/>
    <col min="10758" max="10997" width="11.42578125" style="193"/>
    <col min="10998" max="10998" width="7" style="193" customWidth="1"/>
    <col min="10999" max="10999" width="35.7109375" style="193" customWidth="1"/>
    <col min="11000" max="11000" width="16.42578125" style="193" customWidth="1"/>
    <col min="11001" max="11001" width="12.85546875" style="193" customWidth="1"/>
    <col min="11002" max="11002" width="14.7109375" style="193" customWidth="1"/>
    <col min="11003" max="11003" width="16.85546875" style="193" customWidth="1"/>
    <col min="11004" max="11004" width="15.140625" style="193" bestFit="1" customWidth="1"/>
    <col min="11005" max="11006" width="11.42578125" style="193"/>
    <col min="11007" max="11007" width="6.7109375" style="193" bestFit="1" customWidth="1"/>
    <col min="11008" max="11008" width="36.42578125" style="193" customWidth="1"/>
    <col min="11009" max="11009" width="16.42578125" style="193" bestFit="1" customWidth="1"/>
    <col min="11010" max="11010" width="12.42578125" style="193" bestFit="1" customWidth="1"/>
    <col min="11011" max="11011" width="13" style="193" bestFit="1" customWidth="1"/>
    <col min="11012" max="11012" width="15.85546875" style="193" bestFit="1" customWidth="1"/>
    <col min="11013" max="11013" width="15.140625" style="193" bestFit="1" customWidth="1"/>
    <col min="11014" max="11253" width="11.42578125" style="193"/>
    <col min="11254" max="11254" width="7" style="193" customWidth="1"/>
    <col min="11255" max="11255" width="35.7109375" style="193" customWidth="1"/>
    <col min="11256" max="11256" width="16.42578125" style="193" customWidth="1"/>
    <col min="11257" max="11257" width="12.85546875" style="193" customWidth="1"/>
    <col min="11258" max="11258" width="14.7109375" style="193" customWidth="1"/>
    <col min="11259" max="11259" width="16.85546875" style="193" customWidth="1"/>
    <col min="11260" max="11260" width="15.140625" style="193" bestFit="1" customWidth="1"/>
    <col min="11261" max="11262" width="11.42578125" style="193"/>
    <col min="11263" max="11263" width="6.7109375" style="193" bestFit="1" customWidth="1"/>
    <col min="11264" max="11264" width="36.42578125" style="193" customWidth="1"/>
    <col min="11265" max="11265" width="16.42578125" style="193" bestFit="1" customWidth="1"/>
    <col min="11266" max="11266" width="12.42578125" style="193" bestFit="1" customWidth="1"/>
    <col min="11267" max="11267" width="13" style="193" bestFit="1" customWidth="1"/>
    <col min="11268" max="11268" width="15.85546875" style="193" bestFit="1" customWidth="1"/>
    <col min="11269" max="11269" width="15.140625" style="193" bestFit="1" customWidth="1"/>
    <col min="11270" max="11509" width="11.42578125" style="193"/>
    <col min="11510" max="11510" width="7" style="193" customWidth="1"/>
    <col min="11511" max="11511" width="35.7109375" style="193" customWidth="1"/>
    <col min="11512" max="11512" width="16.42578125" style="193" customWidth="1"/>
    <col min="11513" max="11513" width="12.85546875" style="193" customWidth="1"/>
    <col min="11514" max="11514" width="14.7109375" style="193" customWidth="1"/>
    <col min="11515" max="11515" width="16.85546875" style="193" customWidth="1"/>
    <col min="11516" max="11516" width="15.140625" style="193" bestFit="1" customWidth="1"/>
    <col min="11517" max="11518" width="11.42578125" style="193"/>
    <col min="11519" max="11519" width="6.7109375" style="193" bestFit="1" customWidth="1"/>
    <col min="11520" max="11520" width="36.42578125" style="193" customWidth="1"/>
    <col min="11521" max="11521" width="16.42578125" style="193" bestFit="1" customWidth="1"/>
    <col min="11522" max="11522" width="12.42578125" style="193" bestFit="1" customWidth="1"/>
    <col min="11523" max="11523" width="13" style="193" bestFit="1" customWidth="1"/>
    <col min="11524" max="11524" width="15.85546875" style="193" bestFit="1" customWidth="1"/>
    <col min="11525" max="11525" width="15.140625" style="193" bestFit="1" customWidth="1"/>
    <col min="11526" max="11765" width="11.42578125" style="193"/>
    <col min="11766" max="11766" width="7" style="193" customWidth="1"/>
    <col min="11767" max="11767" width="35.7109375" style="193" customWidth="1"/>
    <col min="11768" max="11768" width="16.42578125" style="193" customWidth="1"/>
    <col min="11769" max="11769" width="12.85546875" style="193" customWidth="1"/>
    <col min="11770" max="11770" width="14.7109375" style="193" customWidth="1"/>
    <col min="11771" max="11771" width="16.85546875" style="193" customWidth="1"/>
    <col min="11772" max="11772" width="15.140625" style="193" bestFit="1" customWidth="1"/>
    <col min="11773" max="11774" width="11.42578125" style="193"/>
    <col min="11775" max="11775" width="6.7109375" style="193" bestFit="1" customWidth="1"/>
    <col min="11776" max="11776" width="36.42578125" style="193" customWidth="1"/>
    <col min="11777" max="11777" width="16.42578125" style="193" bestFit="1" customWidth="1"/>
    <col min="11778" max="11778" width="12.42578125" style="193" bestFit="1" customWidth="1"/>
    <col min="11779" max="11779" width="13" style="193" bestFit="1" customWidth="1"/>
    <col min="11780" max="11780" width="15.85546875" style="193" bestFit="1" customWidth="1"/>
    <col min="11781" max="11781" width="15.140625" style="193" bestFit="1" customWidth="1"/>
    <col min="11782" max="12021" width="11.42578125" style="193"/>
    <col min="12022" max="12022" width="7" style="193" customWidth="1"/>
    <col min="12023" max="12023" width="35.7109375" style="193" customWidth="1"/>
    <col min="12024" max="12024" width="16.42578125" style="193" customWidth="1"/>
    <col min="12025" max="12025" width="12.85546875" style="193" customWidth="1"/>
    <col min="12026" max="12026" width="14.7109375" style="193" customWidth="1"/>
    <col min="12027" max="12027" width="16.85546875" style="193" customWidth="1"/>
    <col min="12028" max="12028" width="15.140625" style="193" bestFit="1" customWidth="1"/>
    <col min="12029" max="12030" width="11.42578125" style="193"/>
    <col min="12031" max="12031" width="6.7109375" style="193" bestFit="1" customWidth="1"/>
    <col min="12032" max="12032" width="36.42578125" style="193" customWidth="1"/>
    <col min="12033" max="12033" width="16.42578125" style="193" bestFit="1" customWidth="1"/>
    <col min="12034" max="12034" width="12.42578125" style="193" bestFit="1" customWidth="1"/>
    <col min="12035" max="12035" width="13" style="193" bestFit="1" customWidth="1"/>
    <col min="12036" max="12036" width="15.85546875" style="193" bestFit="1" customWidth="1"/>
    <col min="12037" max="12037" width="15.140625" style="193" bestFit="1" customWidth="1"/>
    <col min="12038" max="12277" width="11.42578125" style="193"/>
    <col min="12278" max="12278" width="7" style="193" customWidth="1"/>
    <col min="12279" max="12279" width="35.7109375" style="193" customWidth="1"/>
    <col min="12280" max="12280" width="16.42578125" style="193" customWidth="1"/>
    <col min="12281" max="12281" width="12.85546875" style="193" customWidth="1"/>
    <col min="12282" max="12282" width="14.7109375" style="193" customWidth="1"/>
    <col min="12283" max="12283" width="16.85546875" style="193" customWidth="1"/>
    <col min="12284" max="12284" width="15.140625" style="193" bestFit="1" customWidth="1"/>
    <col min="12285" max="12286" width="11.42578125" style="193"/>
    <col min="12287" max="12287" width="6.7109375" style="193" bestFit="1" customWidth="1"/>
    <col min="12288" max="12288" width="36.42578125" style="193" customWidth="1"/>
    <col min="12289" max="12289" width="16.42578125" style="193" bestFit="1" customWidth="1"/>
    <col min="12290" max="12290" width="12.42578125" style="193" bestFit="1" customWidth="1"/>
    <col min="12291" max="12291" width="13" style="193" bestFit="1" customWidth="1"/>
    <col min="12292" max="12292" width="15.85546875" style="193" bestFit="1" customWidth="1"/>
    <col min="12293" max="12293" width="15.140625" style="193" bestFit="1" customWidth="1"/>
    <col min="12294" max="12533" width="11.42578125" style="193"/>
    <col min="12534" max="12534" width="7" style="193" customWidth="1"/>
    <col min="12535" max="12535" width="35.7109375" style="193" customWidth="1"/>
    <col min="12536" max="12536" width="16.42578125" style="193" customWidth="1"/>
    <col min="12537" max="12537" width="12.85546875" style="193" customWidth="1"/>
    <col min="12538" max="12538" width="14.7109375" style="193" customWidth="1"/>
    <col min="12539" max="12539" width="16.85546875" style="193" customWidth="1"/>
    <col min="12540" max="12540" width="15.140625" style="193" bestFit="1" customWidth="1"/>
    <col min="12541" max="12542" width="11.42578125" style="193"/>
    <col min="12543" max="12543" width="6.7109375" style="193" bestFit="1" customWidth="1"/>
    <col min="12544" max="12544" width="36.42578125" style="193" customWidth="1"/>
    <col min="12545" max="12545" width="16.42578125" style="193" bestFit="1" customWidth="1"/>
    <col min="12546" max="12546" width="12.42578125" style="193" bestFit="1" customWidth="1"/>
    <col min="12547" max="12547" width="13" style="193" bestFit="1" customWidth="1"/>
    <col min="12548" max="12548" width="15.85546875" style="193" bestFit="1" customWidth="1"/>
    <col min="12549" max="12549" width="15.140625" style="193" bestFit="1" customWidth="1"/>
    <col min="12550" max="12789" width="11.42578125" style="193"/>
    <col min="12790" max="12790" width="7" style="193" customWidth="1"/>
    <col min="12791" max="12791" width="35.7109375" style="193" customWidth="1"/>
    <col min="12792" max="12792" width="16.42578125" style="193" customWidth="1"/>
    <col min="12793" max="12793" width="12.85546875" style="193" customWidth="1"/>
    <col min="12794" max="12794" width="14.7109375" style="193" customWidth="1"/>
    <col min="12795" max="12795" width="16.85546875" style="193" customWidth="1"/>
    <col min="12796" max="12796" width="15.140625" style="193" bestFit="1" customWidth="1"/>
    <col min="12797" max="12798" width="11.42578125" style="193"/>
    <col min="12799" max="12799" width="6.7109375" style="193" bestFit="1" customWidth="1"/>
    <col min="12800" max="12800" width="36.42578125" style="193" customWidth="1"/>
    <col min="12801" max="12801" width="16.42578125" style="193" bestFit="1" customWidth="1"/>
    <col min="12802" max="12802" width="12.42578125" style="193" bestFit="1" customWidth="1"/>
    <col min="12803" max="12803" width="13" style="193" bestFit="1" customWidth="1"/>
    <col min="12804" max="12804" width="15.85546875" style="193" bestFit="1" customWidth="1"/>
    <col min="12805" max="12805" width="15.140625" style="193" bestFit="1" customWidth="1"/>
    <col min="12806" max="13045" width="11.42578125" style="193"/>
    <col min="13046" max="13046" width="7" style="193" customWidth="1"/>
    <col min="13047" max="13047" width="35.7109375" style="193" customWidth="1"/>
    <col min="13048" max="13048" width="16.42578125" style="193" customWidth="1"/>
    <col min="13049" max="13049" width="12.85546875" style="193" customWidth="1"/>
    <col min="13050" max="13050" width="14.7109375" style="193" customWidth="1"/>
    <col min="13051" max="13051" width="16.85546875" style="193" customWidth="1"/>
    <col min="13052" max="13052" width="15.140625" style="193" bestFit="1" customWidth="1"/>
    <col min="13053" max="13054" width="11.42578125" style="193"/>
    <col min="13055" max="13055" width="6.7109375" style="193" bestFit="1" customWidth="1"/>
    <col min="13056" max="13056" width="36.42578125" style="193" customWidth="1"/>
    <col min="13057" max="13057" width="16.42578125" style="193" bestFit="1" customWidth="1"/>
    <col min="13058" max="13058" width="12.42578125" style="193" bestFit="1" customWidth="1"/>
    <col min="13059" max="13059" width="13" style="193" bestFit="1" customWidth="1"/>
    <col min="13060" max="13060" width="15.85546875" style="193" bestFit="1" customWidth="1"/>
    <col min="13061" max="13061" width="15.140625" style="193" bestFit="1" customWidth="1"/>
    <col min="13062" max="13301" width="11.42578125" style="193"/>
    <col min="13302" max="13302" width="7" style="193" customWidth="1"/>
    <col min="13303" max="13303" width="35.7109375" style="193" customWidth="1"/>
    <col min="13304" max="13304" width="16.42578125" style="193" customWidth="1"/>
    <col min="13305" max="13305" width="12.85546875" style="193" customWidth="1"/>
    <col min="13306" max="13306" width="14.7109375" style="193" customWidth="1"/>
    <col min="13307" max="13307" width="16.85546875" style="193" customWidth="1"/>
    <col min="13308" max="13308" width="15.140625" style="193" bestFit="1" customWidth="1"/>
    <col min="13309" max="13310" width="11.42578125" style="193"/>
    <col min="13311" max="13311" width="6.7109375" style="193" bestFit="1" customWidth="1"/>
    <col min="13312" max="13312" width="36.42578125" style="193" customWidth="1"/>
    <col min="13313" max="13313" width="16.42578125" style="193" bestFit="1" customWidth="1"/>
    <col min="13314" max="13314" width="12.42578125" style="193" bestFit="1" customWidth="1"/>
    <col min="13315" max="13315" width="13" style="193" bestFit="1" customWidth="1"/>
    <col min="13316" max="13316" width="15.85546875" style="193" bestFit="1" customWidth="1"/>
    <col min="13317" max="13317" width="15.140625" style="193" bestFit="1" customWidth="1"/>
    <col min="13318" max="13557" width="11.42578125" style="193"/>
    <col min="13558" max="13558" width="7" style="193" customWidth="1"/>
    <col min="13559" max="13559" width="35.7109375" style="193" customWidth="1"/>
    <col min="13560" max="13560" width="16.42578125" style="193" customWidth="1"/>
    <col min="13561" max="13561" width="12.85546875" style="193" customWidth="1"/>
    <col min="13562" max="13562" width="14.7109375" style="193" customWidth="1"/>
    <col min="13563" max="13563" width="16.85546875" style="193" customWidth="1"/>
    <col min="13564" max="13564" width="15.140625" style="193" bestFit="1" customWidth="1"/>
    <col min="13565" max="13566" width="11.42578125" style="193"/>
    <col min="13567" max="13567" width="6.7109375" style="193" bestFit="1" customWidth="1"/>
    <col min="13568" max="13568" width="36.42578125" style="193" customWidth="1"/>
    <col min="13569" max="13569" width="16.42578125" style="193" bestFit="1" customWidth="1"/>
    <col min="13570" max="13570" width="12.42578125" style="193" bestFit="1" customWidth="1"/>
    <col min="13571" max="13571" width="13" style="193" bestFit="1" customWidth="1"/>
    <col min="13572" max="13572" width="15.85546875" style="193" bestFit="1" customWidth="1"/>
    <col min="13573" max="13573" width="15.140625" style="193" bestFit="1" customWidth="1"/>
    <col min="13574" max="13813" width="11.42578125" style="193"/>
    <col min="13814" max="13814" width="7" style="193" customWidth="1"/>
    <col min="13815" max="13815" width="35.7109375" style="193" customWidth="1"/>
    <col min="13816" max="13816" width="16.42578125" style="193" customWidth="1"/>
    <col min="13817" max="13817" width="12.85546875" style="193" customWidth="1"/>
    <col min="13818" max="13818" width="14.7109375" style="193" customWidth="1"/>
    <col min="13819" max="13819" width="16.85546875" style="193" customWidth="1"/>
    <col min="13820" max="13820" width="15.140625" style="193" bestFit="1" customWidth="1"/>
    <col min="13821" max="13822" width="11.42578125" style="193"/>
    <col min="13823" max="13823" width="6.7109375" style="193" bestFit="1" customWidth="1"/>
    <col min="13824" max="13824" width="36.42578125" style="193" customWidth="1"/>
    <col min="13825" max="13825" width="16.42578125" style="193" bestFit="1" customWidth="1"/>
    <col min="13826" max="13826" width="12.42578125" style="193" bestFit="1" customWidth="1"/>
    <col min="13827" max="13827" width="13" style="193" bestFit="1" customWidth="1"/>
    <col min="13828" max="13828" width="15.85546875" style="193" bestFit="1" customWidth="1"/>
    <col min="13829" max="13829" width="15.140625" style="193" bestFit="1" customWidth="1"/>
    <col min="13830" max="14069" width="11.42578125" style="193"/>
    <col min="14070" max="14070" width="7" style="193" customWidth="1"/>
    <col min="14071" max="14071" width="35.7109375" style="193" customWidth="1"/>
    <col min="14072" max="14072" width="16.42578125" style="193" customWidth="1"/>
    <col min="14073" max="14073" width="12.85546875" style="193" customWidth="1"/>
    <col min="14074" max="14074" width="14.7109375" style="193" customWidth="1"/>
    <col min="14075" max="14075" width="16.85546875" style="193" customWidth="1"/>
    <col min="14076" max="14076" width="15.140625" style="193" bestFit="1" customWidth="1"/>
    <col min="14077" max="14078" width="11.42578125" style="193"/>
    <col min="14079" max="14079" width="6.7109375" style="193" bestFit="1" customWidth="1"/>
    <col min="14080" max="14080" width="36.42578125" style="193" customWidth="1"/>
    <col min="14081" max="14081" width="16.42578125" style="193" bestFit="1" customWidth="1"/>
    <col min="14082" max="14082" width="12.42578125" style="193" bestFit="1" customWidth="1"/>
    <col min="14083" max="14083" width="13" style="193" bestFit="1" customWidth="1"/>
    <col min="14084" max="14084" width="15.85546875" style="193" bestFit="1" customWidth="1"/>
    <col min="14085" max="14085" width="15.140625" style="193" bestFit="1" customWidth="1"/>
    <col min="14086" max="14325" width="11.42578125" style="193"/>
    <col min="14326" max="14326" width="7" style="193" customWidth="1"/>
    <col min="14327" max="14327" width="35.7109375" style="193" customWidth="1"/>
    <col min="14328" max="14328" width="16.42578125" style="193" customWidth="1"/>
    <col min="14329" max="14329" width="12.85546875" style="193" customWidth="1"/>
    <col min="14330" max="14330" width="14.7109375" style="193" customWidth="1"/>
    <col min="14331" max="14331" width="16.85546875" style="193" customWidth="1"/>
    <col min="14332" max="14332" width="15.140625" style="193" bestFit="1" customWidth="1"/>
    <col min="14333" max="14334" width="11.42578125" style="193"/>
    <col min="14335" max="14335" width="6.7109375" style="193" bestFit="1" customWidth="1"/>
    <col min="14336" max="14336" width="36.42578125" style="193" customWidth="1"/>
    <col min="14337" max="14337" width="16.42578125" style="193" bestFit="1" customWidth="1"/>
    <col min="14338" max="14338" width="12.42578125" style="193" bestFit="1" customWidth="1"/>
    <col min="14339" max="14339" width="13" style="193" bestFit="1" customWidth="1"/>
    <col min="14340" max="14340" width="15.85546875" style="193" bestFit="1" customWidth="1"/>
    <col min="14341" max="14341" width="15.140625" style="193" bestFit="1" customWidth="1"/>
    <col min="14342" max="14581" width="11.42578125" style="193"/>
    <col min="14582" max="14582" width="7" style="193" customWidth="1"/>
    <col min="14583" max="14583" width="35.7109375" style="193" customWidth="1"/>
    <col min="14584" max="14584" width="16.42578125" style="193" customWidth="1"/>
    <col min="14585" max="14585" width="12.85546875" style="193" customWidth="1"/>
    <col min="14586" max="14586" width="14.7109375" style="193" customWidth="1"/>
    <col min="14587" max="14587" width="16.85546875" style="193" customWidth="1"/>
    <col min="14588" max="14588" width="15.140625" style="193" bestFit="1" customWidth="1"/>
    <col min="14589" max="14590" width="11.42578125" style="193"/>
    <col min="14591" max="14591" width="6.7109375" style="193" bestFit="1" customWidth="1"/>
    <col min="14592" max="14592" width="36.42578125" style="193" customWidth="1"/>
    <col min="14593" max="14593" width="16.42578125" style="193" bestFit="1" customWidth="1"/>
    <col min="14594" max="14594" width="12.42578125" style="193" bestFit="1" customWidth="1"/>
    <col min="14595" max="14595" width="13" style="193" bestFit="1" customWidth="1"/>
    <col min="14596" max="14596" width="15.85546875" style="193" bestFit="1" customWidth="1"/>
    <col min="14597" max="14597" width="15.140625" style="193" bestFit="1" customWidth="1"/>
    <col min="14598" max="14837" width="11.42578125" style="193"/>
    <col min="14838" max="14838" width="7" style="193" customWidth="1"/>
    <col min="14839" max="14839" width="35.7109375" style="193" customWidth="1"/>
    <col min="14840" max="14840" width="16.42578125" style="193" customWidth="1"/>
    <col min="14841" max="14841" width="12.85546875" style="193" customWidth="1"/>
    <col min="14842" max="14842" width="14.7109375" style="193" customWidth="1"/>
    <col min="14843" max="14843" width="16.85546875" style="193" customWidth="1"/>
    <col min="14844" max="14844" width="15.140625" style="193" bestFit="1" customWidth="1"/>
    <col min="14845" max="14846" width="11.42578125" style="193"/>
    <col min="14847" max="14847" width="6.7109375" style="193" bestFit="1" customWidth="1"/>
    <col min="14848" max="14848" width="36.42578125" style="193" customWidth="1"/>
    <col min="14849" max="14849" width="16.42578125" style="193" bestFit="1" customWidth="1"/>
    <col min="14850" max="14850" width="12.42578125" style="193" bestFit="1" customWidth="1"/>
    <col min="14851" max="14851" width="13" style="193" bestFit="1" customWidth="1"/>
    <col min="14852" max="14852" width="15.85546875" style="193" bestFit="1" customWidth="1"/>
    <col min="14853" max="14853" width="15.140625" style="193" bestFit="1" customWidth="1"/>
    <col min="14854" max="15093" width="11.42578125" style="193"/>
    <col min="15094" max="15094" width="7" style="193" customWidth="1"/>
    <col min="15095" max="15095" width="35.7109375" style="193" customWidth="1"/>
    <col min="15096" max="15096" width="16.42578125" style="193" customWidth="1"/>
    <col min="15097" max="15097" width="12.85546875" style="193" customWidth="1"/>
    <col min="15098" max="15098" width="14.7109375" style="193" customWidth="1"/>
    <col min="15099" max="15099" width="16.85546875" style="193" customWidth="1"/>
    <col min="15100" max="15100" width="15.140625" style="193" bestFit="1" customWidth="1"/>
    <col min="15101" max="15102" width="11.42578125" style="193"/>
    <col min="15103" max="15103" width="6.7109375" style="193" bestFit="1" customWidth="1"/>
    <col min="15104" max="15104" width="36.42578125" style="193" customWidth="1"/>
    <col min="15105" max="15105" width="16.42578125" style="193" bestFit="1" customWidth="1"/>
    <col min="15106" max="15106" width="12.42578125" style="193" bestFit="1" customWidth="1"/>
    <col min="15107" max="15107" width="13" style="193" bestFit="1" customWidth="1"/>
    <col min="15108" max="15108" width="15.85546875" style="193" bestFit="1" customWidth="1"/>
    <col min="15109" max="15109" width="15.140625" style="193" bestFit="1" customWidth="1"/>
    <col min="15110" max="15349" width="11.42578125" style="193"/>
    <col min="15350" max="15350" width="7" style="193" customWidth="1"/>
    <col min="15351" max="15351" width="35.7109375" style="193" customWidth="1"/>
    <col min="15352" max="15352" width="16.42578125" style="193" customWidth="1"/>
    <col min="15353" max="15353" width="12.85546875" style="193" customWidth="1"/>
    <col min="15354" max="15354" width="14.7109375" style="193" customWidth="1"/>
    <col min="15355" max="15355" width="16.85546875" style="193" customWidth="1"/>
    <col min="15356" max="15356" width="15.140625" style="193" bestFit="1" customWidth="1"/>
    <col min="15357" max="15358" width="11.42578125" style="193"/>
    <col min="15359" max="15359" width="6.7109375" style="193" bestFit="1" customWidth="1"/>
    <col min="15360" max="15360" width="36.42578125" style="193" customWidth="1"/>
    <col min="15361" max="15361" width="16.42578125" style="193" bestFit="1" customWidth="1"/>
    <col min="15362" max="15362" width="12.42578125" style="193" bestFit="1" customWidth="1"/>
    <col min="15363" max="15363" width="13" style="193" bestFit="1" customWidth="1"/>
    <col min="15364" max="15364" width="15.85546875" style="193" bestFit="1" customWidth="1"/>
    <col min="15365" max="15365" width="15.140625" style="193" bestFit="1" customWidth="1"/>
    <col min="15366" max="15605" width="11.42578125" style="193"/>
    <col min="15606" max="15606" width="7" style="193" customWidth="1"/>
    <col min="15607" max="15607" width="35.7109375" style="193" customWidth="1"/>
    <col min="15608" max="15608" width="16.42578125" style="193" customWidth="1"/>
    <col min="15609" max="15609" width="12.85546875" style="193" customWidth="1"/>
    <col min="15610" max="15610" width="14.7109375" style="193" customWidth="1"/>
    <col min="15611" max="15611" width="16.85546875" style="193" customWidth="1"/>
    <col min="15612" max="15612" width="15.140625" style="193" bestFit="1" customWidth="1"/>
    <col min="15613" max="15614" width="11.42578125" style="193"/>
    <col min="15615" max="15615" width="6.7109375" style="193" bestFit="1" customWidth="1"/>
    <col min="15616" max="15616" width="36.42578125" style="193" customWidth="1"/>
    <col min="15617" max="15617" width="16.42578125" style="193" bestFit="1" customWidth="1"/>
    <col min="15618" max="15618" width="12.42578125" style="193" bestFit="1" customWidth="1"/>
    <col min="15619" max="15619" width="13" style="193" bestFit="1" customWidth="1"/>
    <col min="15620" max="15620" width="15.85546875" style="193" bestFit="1" customWidth="1"/>
    <col min="15621" max="15621" width="15.140625" style="193" bestFit="1" customWidth="1"/>
    <col min="15622" max="15861" width="11.42578125" style="193"/>
    <col min="15862" max="15862" width="7" style="193" customWidth="1"/>
    <col min="15863" max="15863" width="35.7109375" style="193" customWidth="1"/>
    <col min="15864" max="15864" width="16.42578125" style="193" customWidth="1"/>
    <col min="15865" max="15865" width="12.85546875" style="193" customWidth="1"/>
    <col min="15866" max="15866" width="14.7109375" style="193" customWidth="1"/>
    <col min="15867" max="15867" width="16.85546875" style="193" customWidth="1"/>
    <col min="15868" max="15868" width="15.140625" style="193" bestFit="1" customWidth="1"/>
    <col min="15869" max="15870" width="11.42578125" style="193"/>
    <col min="15871" max="15871" width="6.7109375" style="193" bestFit="1" customWidth="1"/>
    <col min="15872" max="15872" width="36.42578125" style="193" customWidth="1"/>
    <col min="15873" max="15873" width="16.42578125" style="193" bestFit="1" customWidth="1"/>
    <col min="15874" max="15874" width="12.42578125" style="193" bestFit="1" customWidth="1"/>
    <col min="15875" max="15875" width="13" style="193" bestFit="1" customWidth="1"/>
    <col min="15876" max="15876" width="15.85546875" style="193" bestFit="1" customWidth="1"/>
    <col min="15877" max="15877" width="15.140625" style="193" bestFit="1" customWidth="1"/>
    <col min="15878" max="16117" width="11.42578125" style="193"/>
    <col min="16118" max="16118" width="7" style="193" customWidth="1"/>
    <col min="16119" max="16119" width="35.7109375" style="193" customWidth="1"/>
    <col min="16120" max="16120" width="16.42578125" style="193" customWidth="1"/>
    <col min="16121" max="16121" width="12.85546875" style="193" customWidth="1"/>
    <col min="16122" max="16122" width="14.7109375" style="193" customWidth="1"/>
    <col min="16123" max="16123" width="16.85546875" style="193" customWidth="1"/>
    <col min="16124" max="16124" width="15.140625" style="193" bestFit="1" customWidth="1"/>
    <col min="16125" max="16126" width="11.42578125" style="193"/>
    <col min="16127" max="16127" width="6.7109375" style="193" bestFit="1" customWidth="1"/>
    <col min="16128" max="16128" width="36.42578125" style="193" customWidth="1"/>
    <col min="16129" max="16129" width="16.42578125" style="193" bestFit="1" customWidth="1"/>
    <col min="16130" max="16130" width="12.42578125" style="193" bestFit="1" customWidth="1"/>
    <col min="16131" max="16131" width="13" style="193" bestFit="1" customWidth="1"/>
    <col min="16132" max="16132" width="15.85546875" style="193" bestFit="1" customWidth="1"/>
    <col min="16133" max="16133" width="15.140625" style="193" bestFit="1" customWidth="1"/>
    <col min="16134" max="16384" width="11.42578125" style="193"/>
  </cols>
  <sheetData>
    <row r="1" spans="1:8" s="59" customFormat="1" x14ac:dyDescent="0.2">
      <c r="H1" s="232"/>
    </row>
    <row r="2" spans="1:8" s="59" customFormat="1" x14ac:dyDescent="0.2">
      <c r="A2" s="60" t="s">
        <v>12</v>
      </c>
      <c r="B2" s="61"/>
      <c r="C2" s="61"/>
      <c r="D2" s="61"/>
      <c r="E2" s="61"/>
      <c r="F2" s="62"/>
      <c r="H2" s="232"/>
    </row>
    <row r="3" spans="1:8" s="59" customFormat="1" ht="18" x14ac:dyDescent="0.2">
      <c r="A3" s="63" t="s">
        <v>13</v>
      </c>
      <c r="B3" s="64"/>
      <c r="C3" s="64"/>
      <c r="D3" s="64"/>
      <c r="E3" s="64"/>
      <c r="F3" s="65"/>
      <c r="H3" s="232"/>
    </row>
    <row r="4" spans="1:8" s="59" customFormat="1" x14ac:dyDescent="0.2">
      <c r="A4" s="354" t="s">
        <v>170</v>
      </c>
      <c r="B4" s="355"/>
      <c r="C4" s="355"/>
      <c r="D4" s="355"/>
      <c r="E4" s="355"/>
      <c r="F4" s="356"/>
      <c r="H4" s="232"/>
    </row>
    <row r="5" spans="1:8" s="59" customFormat="1" ht="15" x14ac:dyDescent="0.2">
      <c r="A5" s="357" t="s">
        <v>167</v>
      </c>
      <c r="B5" s="358"/>
      <c r="C5" s="358"/>
      <c r="D5" s="358"/>
      <c r="E5" s="358"/>
      <c r="F5" s="359"/>
      <c r="H5" s="232"/>
    </row>
    <row r="6" spans="1:8" s="59" customFormat="1" ht="60.75" customHeight="1" x14ac:dyDescent="0.2">
      <c r="A6" s="331" t="s">
        <v>168</v>
      </c>
      <c r="B6" s="332"/>
      <c r="C6" s="332"/>
      <c r="D6" s="332"/>
      <c r="E6" s="332"/>
      <c r="F6" s="333"/>
      <c r="H6" s="232"/>
    </row>
    <row r="7" spans="1:8" s="59" customFormat="1" ht="13.5" thickBot="1" x14ac:dyDescent="0.25">
      <c r="A7" s="192" t="s">
        <v>91</v>
      </c>
      <c r="B7" s="64"/>
      <c r="C7" s="64"/>
      <c r="D7" s="64"/>
      <c r="E7" s="64"/>
      <c r="F7" s="65"/>
      <c r="H7" s="232"/>
    </row>
    <row r="8" spans="1:8" s="59" customFormat="1" ht="13.5" thickBot="1" x14ac:dyDescent="0.25">
      <c r="A8" s="68"/>
      <c r="B8" s="69"/>
      <c r="C8" s="69"/>
      <c r="D8" s="69"/>
      <c r="E8" s="349" t="s">
        <v>160</v>
      </c>
      <c r="F8" s="350"/>
      <c r="G8" s="261"/>
      <c r="H8" s="232"/>
    </row>
    <row r="9" spans="1:8" s="59" customFormat="1" x14ac:dyDescent="0.2">
      <c r="A9" s="70"/>
      <c r="B9" s="71"/>
      <c r="C9" s="71"/>
      <c r="D9" s="71"/>
      <c r="E9" s="71"/>
      <c r="F9" s="72"/>
      <c r="H9" s="232"/>
    </row>
    <row r="10" spans="1:8" s="59" customFormat="1" ht="15.75" x14ac:dyDescent="0.2">
      <c r="A10" s="73" t="s">
        <v>14</v>
      </c>
      <c r="B10" s="74"/>
      <c r="C10" s="74"/>
      <c r="D10" s="74"/>
      <c r="E10" s="74"/>
      <c r="F10" s="75"/>
      <c r="H10" s="232"/>
    </row>
    <row r="11" spans="1:8" s="59" customFormat="1" ht="15.75" thickBot="1" x14ac:dyDescent="0.3">
      <c r="A11" s="351"/>
      <c r="B11" s="352"/>
      <c r="C11" s="352"/>
      <c r="D11" s="352"/>
      <c r="E11" s="352"/>
      <c r="F11" s="353"/>
      <c r="H11" s="232"/>
    </row>
    <row r="12" spans="1:8" s="59" customFormat="1" x14ac:dyDescent="0.2">
      <c r="A12" s="76"/>
      <c r="B12" s="77"/>
      <c r="C12" s="34" t="s">
        <v>16</v>
      </c>
      <c r="D12" s="34" t="s">
        <v>17</v>
      </c>
      <c r="E12" s="34" t="s">
        <v>18</v>
      </c>
      <c r="F12" s="36" t="s">
        <v>19</v>
      </c>
      <c r="G12" s="78"/>
      <c r="H12" s="232"/>
    </row>
    <row r="13" spans="1:8" s="59" customFormat="1" x14ac:dyDescent="0.2">
      <c r="A13" s="37" t="s">
        <v>21</v>
      </c>
      <c r="B13" s="79" t="s">
        <v>22</v>
      </c>
      <c r="C13" s="39" t="s">
        <v>23</v>
      </c>
      <c r="D13" s="39" t="s">
        <v>24</v>
      </c>
      <c r="E13" s="39" t="s">
        <v>25</v>
      </c>
      <c r="F13" s="41" t="s">
        <v>26</v>
      </c>
      <c r="G13" s="78"/>
      <c r="H13" s="232"/>
    </row>
    <row r="14" spans="1:8" s="59" customFormat="1" ht="13.5" thickBot="1" x14ac:dyDescent="0.25">
      <c r="A14" s="42" t="s">
        <v>27</v>
      </c>
      <c r="B14" s="80"/>
      <c r="C14" s="45" t="s">
        <v>28</v>
      </c>
      <c r="D14" s="45" t="s">
        <v>29</v>
      </c>
      <c r="E14" s="45" t="s">
        <v>30</v>
      </c>
      <c r="F14" s="81" t="s">
        <v>31</v>
      </c>
      <c r="H14" s="232"/>
    </row>
    <row r="15" spans="1:8" s="59" customFormat="1" x14ac:dyDescent="0.2">
      <c r="A15" s="82"/>
      <c r="B15" s="49" t="s">
        <v>32</v>
      </c>
      <c r="C15" s="7"/>
      <c r="D15" s="7"/>
      <c r="E15" s="8"/>
      <c r="F15" s="9"/>
      <c r="H15" s="232"/>
    </row>
    <row r="16" spans="1:8" s="59" customFormat="1" x14ac:dyDescent="0.2">
      <c r="A16" s="83"/>
      <c r="B16" s="84" t="s">
        <v>33</v>
      </c>
      <c r="C16" s="10"/>
      <c r="D16" s="10"/>
      <c r="E16" s="11"/>
      <c r="F16" s="12"/>
      <c r="H16" s="232"/>
    </row>
    <row r="17" spans="1:9" s="59" customFormat="1" x14ac:dyDescent="0.2">
      <c r="A17" s="283">
        <v>1</v>
      </c>
      <c r="B17" s="297" t="s">
        <v>34</v>
      </c>
      <c r="C17" s="298"/>
      <c r="D17" s="298"/>
      <c r="E17" s="299">
        <v>4</v>
      </c>
      <c r="F17" s="300"/>
      <c r="G17" s="281"/>
      <c r="H17" s="232"/>
    </row>
    <row r="18" spans="1:9" s="59" customFormat="1" x14ac:dyDescent="0.2">
      <c r="A18" s="284">
        <v>1</v>
      </c>
      <c r="B18" s="301" t="s">
        <v>128</v>
      </c>
      <c r="C18" s="302"/>
      <c r="D18" s="302"/>
      <c r="E18" s="303">
        <v>4</v>
      </c>
      <c r="F18" s="304"/>
      <c r="G18" s="281"/>
      <c r="H18" s="232"/>
    </row>
    <row r="19" spans="1:9" s="59" customFormat="1" ht="13.5" thickBot="1" x14ac:dyDescent="0.25">
      <c r="A19" s="285">
        <v>1</v>
      </c>
      <c r="B19" s="301" t="s">
        <v>129</v>
      </c>
      <c r="C19" s="302"/>
      <c r="D19" s="302"/>
      <c r="E19" s="303">
        <v>4</v>
      </c>
      <c r="F19" s="304"/>
      <c r="G19" s="281"/>
      <c r="H19" s="232"/>
    </row>
    <row r="20" spans="1:9" s="59" customFormat="1" ht="36.75" thickBot="1" x14ac:dyDescent="0.25">
      <c r="A20" s="324"/>
      <c r="B20" s="325" t="s">
        <v>171</v>
      </c>
      <c r="C20" s="326"/>
      <c r="D20" s="326"/>
      <c r="E20" s="327"/>
      <c r="F20" s="328">
        <v>16776000</v>
      </c>
      <c r="G20" s="321" t="s">
        <v>59</v>
      </c>
      <c r="H20" s="232"/>
    </row>
    <row r="21" spans="1:9" s="59" customFormat="1" ht="13.5" x14ac:dyDescent="0.2">
      <c r="A21" s="324"/>
      <c r="B21" s="329" t="s">
        <v>172</v>
      </c>
      <c r="C21" s="326"/>
      <c r="D21" s="326"/>
      <c r="E21" s="327"/>
      <c r="F21" s="328"/>
      <c r="G21" s="281"/>
      <c r="H21" s="232"/>
    </row>
    <row r="22" spans="1:9" s="59" customFormat="1" ht="13.5" x14ac:dyDescent="0.2">
      <c r="A22" s="324"/>
      <c r="B22" s="329" t="s">
        <v>173</v>
      </c>
      <c r="C22" s="326"/>
      <c r="D22" s="326"/>
      <c r="E22" s="327"/>
      <c r="F22" s="328"/>
      <c r="G22" s="281"/>
      <c r="H22" s="232"/>
    </row>
    <row r="23" spans="1:9" s="59" customFormat="1" ht="13.5" x14ac:dyDescent="0.2">
      <c r="A23" s="324"/>
      <c r="B23" s="329" t="s">
        <v>174</v>
      </c>
      <c r="C23" s="326"/>
      <c r="D23" s="326"/>
      <c r="E23" s="327"/>
      <c r="F23" s="328"/>
      <c r="G23" s="281"/>
      <c r="H23" s="232"/>
    </row>
    <row r="24" spans="1:9" s="59" customFormat="1" ht="13.5" x14ac:dyDescent="0.2">
      <c r="A24" s="324"/>
      <c r="B24" s="329" t="s">
        <v>175</v>
      </c>
      <c r="C24" s="326"/>
      <c r="D24" s="326"/>
      <c r="E24" s="327"/>
      <c r="F24" s="328"/>
      <c r="G24" s="281"/>
      <c r="H24" s="232"/>
    </row>
    <row r="25" spans="1:9" s="59" customFormat="1" ht="13.5" x14ac:dyDescent="0.2">
      <c r="A25" s="324"/>
      <c r="B25" s="329" t="s">
        <v>176</v>
      </c>
      <c r="C25" s="326"/>
      <c r="D25" s="326"/>
      <c r="E25" s="327"/>
      <c r="F25" s="328"/>
      <c r="G25" s="281"/>
      <c r="H25" s="232"/>
    </row>
    <row r="26" spans="1:9" s="59" customFormat="1" ht="13.5" x14ac:dyDescent="0.2">
      <c r="A26" s="324"/>
      <c r="B26" s="329" t="s">
        <v>177</v>
      </c>
      <c r="C26" s="326"/>
      <c r="D26" s="326"/>
      <c r="E26" s="327"/>
      <c r="F26" s="328"/>
      <c r="G26" s="281"/>
      <c r="H26" s="232"/>
    </row>
    <row r="27" spans="1:9" s="59" customFormat="1" x14ac:dyDescent="0.2">
      <c r="A27" s="286"/>
      <c r="B27" s="305" t="s">
        <v>35</v>
      </c>
      <c r="C27" s="302"/>
      <c r="D27" s="302"/>
      <c r="E27" s="303"/>
      <c r="F27" s="304"/>
      <c r="G27" s="281"/>
      <c r="H27" s="232"/>
    </row>
    <row r="28" spans="1:9" s="59" customFormat="1" x14ac:dyDescent="0.2">
      <c r="A28" s="287">
        <v>1</v>
      </c>
      <c r="B28" s="306" t="s">
        <v>125</v>
      </c>
      <c r="C28" s="307"/>
      <c r="D28" s="307"/>
      <c r="E28" s="308">
        <v>2</v>
      </c>
      <c r="F28" s="304"/>
      <c r="G28" s="281"/>
      <c r="H28" s="232"/>
    </row>
    <row r="29" spans="1:9" s="59" customFormat="1" x14ac:dyDescent="0.2">
      <c r="A29" s="196">
        <v>1</v>
      </c>
      <c r="B29" s="309" t="s">
        <v>88</v>
      </c>
      <c r="C29" s="302"/>
      <c r="D29" s="302"/>
      <c r="E29" s="303">
        <v>4</v>
      </c>
      <c r="F29" s="304"/>
      <c r="G29" s="281"/>
      <c r="H29" s="232"/>
    </row>
    <row r="30" spans="1:9" s="59" customFormat="1" x14ac:dyDescent="0.2">
      <c r="A30" s="285">
        <v>2</v>
      </c>
      <c r="B30" s="310" t="s">
        <v>36</v>
      </c>
      <c r="C30" s="311"/>
      <c r="D30" s="311"/>
      <c r="E30" s="312">
        <v>4</v>
      </c>
      <c r="F30" s="313"/>
      <c r="G30" s="281"/>
      <c r="H30" s="232"/>
    </row>
    <row r="31" spans="1:9" s="59" customFormat="1" ht="13.5" thickBot="1" x14ac:dyDescent="0.25">
      <c r="A31" s="288"/>
      <c r="B31" s="289" t="s">
        <v>37</v>
      </c>
      <c r="C31" s="106"/>
      <c r="D31" s="107"/>
      <c r="E31" s="108"/>
      <c r="F31" s="290"/>
      <c r="G31" s="281"/>
      <c r="H31" s="258"/>
      <c r="I31" s="274"/>
    </row>
    <row r="32" spans="1:9" s="59" customFormat="1" ht="13.5" thickBot="1" x14ac:dyDescent="0.25">
      <c r="A32" s="291"/>
      <c r="B32" s="292" t="s">
        <v>38</v>
      </c>
      <c r="C32" s="112"/>
      <c r="D32" s="112"/>
      <c r="E32" s="112"/>
      <c r="F32" s="113">
        <v>2.4</v>
      </c>
      <c r="G32" s="321" t="s">
        <v>159</v>
      </c>
      <c r="H32" s="232"/>
    </row>
    <row r="33" spans="1:10" s="59" customFormat="1" ht="13.5" thickBot="1" x14ac:dyDescent="0.25">
      <c r="A33" s="293"/>
      <c r="B33" s="294" t="s">
        <v>39</v>
      </c>
      <c r="C33" s="295"/>
      <c r="D33" s="295"/>
      <c r="E33" s="295"/>
      <c r="F33" s="296"/>
      <c r="G33" s="282"/>
      <c r="H33" s="232"/>
    </row>
    <row r="34" spans="1:10" s="59" customFormat="1" ht="13.5" thickBot="1" x14ac:dyDescent="0.25">
      <c r="A34" s="118"/>
      <c r="H34" s="232"/>
    </row>
    <row r="35" spans="1:10" s="59" customFormat="1" x14ac:dyDescent="0.2">
      <c r="A35" s="31"/>
      <c r="B35" s="32"/>
      <c r="C35" s="33"/>
      <c r="D35" s="34" t="s">
        <v>40</v>
      </c>
      <c r="E35" s="35" t="s">
        <v>41</v>
      </c>
      <c r="F35" s="36" t="s">
        <v>19</v>
      </c>
      <c r="H35" s="232"/>
    </row>
    <row r="36" spans="1:10" s="59" customFormat="1" x14ac:dyDescent="0.2">
      <c r="A36" s="37" t="s">
        <v>21</v>
      </c>
      <c r="B36" s="38" t="s">
        <v>42</v>
      </c>
      <c r="C36" s="39" t="s">
        <v>43</v>
      </c>
      <c r="D36" s="39" t="s">
        <v>44</v>
      </c>
      <c r="E36" s="40" t="s">
        <v>45</v>
      </c>
      <c r="F36" s="41" t="s">
        <v>26</v>
      </c>
      <c r="H36" s="232"/>
    </row>
    <row r="37" spans="1:10" s="59" customFormat="1" ht="13.5" thickBot="1" x14ac:dyDescent="0.25">
      <c r="A37" s="42" t="s">
        <v>46</v>
      </c>
      <c r="B37" s="43"/>
      <c r="C37" s="44"/>
      <c r="D37" s="45" t="s">
        <v>47</v>
      </c>
      <c r="E37" s="46" t="s">
        <v>48</v>
      </c>
      <c r="F37" s="47" t="s">
        <v>49</v>
      </c>
      <c r="H37" s="232"/>
    </row>
    <row r="38" spans="1:10" s="59" customFormat="1" x14ac:dyDescent="0.2">
      <c r="A38" s="48"/>
      <c r="B38" s="49" t="s">
        <v>50</v>
      </c>
      <c r="C38" s="50"/>
      <c r="D38" s="15"/>
      <c r="E38" s="16"/>
      <c r="F38" s="17"/>
      <c r="H38" s="232"/>
    </row>
    <row r="39" spans="1:10" s="59" customFormat="1" x14ac:dyDescent="0.2">
      <c r="A39" s="83"/>
      <c r="B39" s="84" t="s">
        <v>51</v>
      </c>
      <c r="C39" s="119"/>
      <c r="D39" s="120"/>
      <c r="E39" s="121"/>
      <c r="F39" s="18"/>
      <c r="H39" s="258"/>
      <c r="I39" s="193"/>
      <c r="J39" s="193"/>
    </row>
    <row r="40" spans="1:10" s="59" customFormat="1" x14ac:dyDescent="0.2">
      <c r="A40" s="122">
        <v>1</v>
      </c>
      <c r="B40" s="123" t="s">
        <v>34</v>
      </c>
      <c r="C40" s="124" t="s">
        <v>52</v>
      </c>
      <c r="D40" s="19"/>
      <c r="E40" s="323">
        <v>10</v>
      </c>
      <c r="F40" s="20"/>
      <c r="H40" s="258"/>
      <c r="I40" s="314"/>
      <c r="J40" s="193"/>
    </row>
    <row r="41" spans="1:10" s="59" customFormat="1" x14ac:dyDescent="0.2">
      <c r="A41" s="126"/>
      <c r="B41" s="127" t="s">
        <v>53</v>
      </c>
      <c r="C41" s="128"/>
      <c r="D41" s="21"/>
      <c r="E41" s="22"/>
      <c r="F41" s="23"/>
      <c r="H41" s="258"/>
      <c r="I41" s="314"/>
      <c r="J41" s="193"/>
    </row>
    <row r="42" spans="1:10" s="59" customFormat="1" ht="68.25" customHeight="1" x14ac:dyDescent="0.2">
      <c r="A42" s="194">
        <v>2</v>
      </c>
      <c r="B42" s="129" t="s">
        <v>178</v>
      </c>
      <c r="C42" s="130" t="s">
        <v>55</v>
      </c>
      <c r="D42" s="131"/>
      <c r="E42" s="195">
        <v>4</v>
      </c>
      <c r="F42" s="132"/>
      <c r="H42" s="258"/>
      <c r="I42" s="314"/>
      <c r="J42" s="193"/>
    </row>
    <row r="43" spans="1:10" s="59" customFormat="1" x14ac:dyDescent="0.2">
      <c r="A43" s="196"/>
      <c r="B43" s="197"/>
      <c r="C43" s="198"/>
      <c r="D43" s="199"/>
      <c r="E43" s="101"/>
      <c r="F43" s="200"/>
      <c r="H43" s="258"/>
      <c r="I43" s="314"/>
      <c r="J43" s="193"/>
    </row>
    <row r="44" spans="1:10" s="59" customFormat="1" ht="13.5" thickBot="1" x14ac:dyDescent="0.25">
      <c r="A44" s="126"/>
      <c r="B44" s="133" t="s">
        <v>56</v>
      </c>
      <c r="C44" s="128"/>
      <c r="D44" s="21"/>
      <c r="E44" s="22"/>
      <c r="F44" s="23"/>
      <c r="H44" s="258"/>
      <c r="I44" s="314"/>
      <c r="J44" s="193"/>
    </row>
    <row r="45" spans="1:10" s="59" customFormat="1" ht="72.75" thickBot="1" x14ac:dyDescent="0.25">
      <c r="A45" s="279">
        <v>1</v>
      </c>
      <c r="B45" s="165" t="s">
        <v>57</v>
      </c>
      <c r="C45" s="24" t="s">
        <v>92</v>
      </c>
      <c r="D45" s="316">
        <v>6850000</v>
      </c>
      <c r="E45" s="139">
        <v>1</v>
      </c>
      <c r="F45" s="26">
        <v>6850000</v>
      </c>
      <c r="G45" s="321" t="s">
        <v>59</v>
      </c>
      <c r="H45" s="258"/>
      <c r="I45" s="314"/>
      <c r="J45" s="193"/>
    </row>
    <row r="46" spans="1:10" s="59" customFormat="1" ht="24" x14ac:dyDescent="0.2">
      <c r="A46" s="280">
        <v>1</v>
      </c>
      <c r="B46" s="137" t="s">
        <v>60</v>
      </c>
      <c r="C46" s="138" t="s">
        <v>58</v>
      </c>
      <c r="D46" s="28"/>
      <c r="E46" s="139">
        <v>1</v>
      </c>
      <c r="F46" s="29"/>
      <c r="H46" s="258"/>
      <c r="I46" s="314"/>
      <c r="J46" s="193"/>
    </row>
    <row r="47" spans="1:10" s="59" customFormat="1" ht="24" x14ac:dyDescent="0.2">
      <c r="A47" s="140">
        <v>1</v>
      </c>
      <c r="B47" s="141" t="s">
        <v>151</v>
      </c>
      <c r="C47" s="142" t="s">
        <v>62</v>
      </c>
      <c r="D47" s="143"/>
      <c r="E47" s="151">
        <v>4</v>
      </c>
      <c r="F47" s="144"/>
      <c r="H47" s="258"/>
      <c r="I47" s="314"/>
      <c r="J47" s="193"/>
    </row>
    <row r="48" spans="1:10" s="59" customFormat="1" ht="24" x14ac:dyDescent="0.2">
      <c r="A48" s="136">
        <v>1</v>
      </c>
      <c r="B48" s="141" t="s">
        <v>64</v>
      </c>
      <c r="C48" s="147" t="s">
        <v>62</v>
      </c>
      <c r="D48" s="148"/>
      <c r="E48" s="149">
        <v>4</v>
      </c>
      <c r="F48" s="150"/>
      <c r="H48" s="258"/>
      <c r="I48" s="314"/>
      <c r="J48" s="193"/>
    </row>
    <row r="49" spans="1:10" s="59" customFormat="1" x14ac:dyDescent="0.2">
      <c r="A49" s="140">
        <v>1</v>
      </c>
      <c r="B49" s="141" t="s">
        <v>65</v>
      </c>
      <c r="C49" s="142" t="s">
        <v>62</v>
      </c>
      <c r="D49" s="143"/>
      <c r="E49" s="151">
        <v>4</v>
      </c>
      <c r="F49" s="144"/>
      <c r="H49" s="258"/>
      <c r="I49" s="314"/>
      <c r="J49" s="193"/>
    </row>
    <row r="50" spans="1:10" s="59" customFormat="1" x14ac:dyDescent="0.2">
      <c r="A50" s="140">
        <v>1</v>
      </c>
      <c r="B50" s="141" t="s">
        <v>66</v>
      </c>
      <c r="C50" s="142" t="s">
        <v>62</v>
      </c>
      <c r="D50" s="143"/>
      <c r="E50" s="151">
        <v>4</v>
      </c>
      <c r="F50" s="144"/>
      <c r="H50" s="258"/>
      <c r="I50" s="314"/>
      <c r="J50" s="193"/>
    </row>
    <row r="51" spans="1:10" s="59" customFormat="1" x14ac:dyDescent="0.2">
      <c r="A51" s="152">
        <v>1</v>
      </c>
      <c r="B51" s="153" t="s">
        <v>67</v>
      </c>
      <c r="C51" s="154" t="s">
        <v>62</v>
      </c>
      <c r="D51" s="201"/>
      <c r="E51" s="155">
        <v>4</v>
      </c>
      <c r="F51" s="144"/>
      <c r="H51" s="258"/>
      <c r="I51" s="314"/>
      <c r="J51" s="314"/>
    </row>
    <row r="52" spans="1:10" s="59" customFormat="1" ht="13.5" thickBot="1" x14ac:dyDescent="0.25">
      <c r="A52" s="156"/>
      <c r="B52" s="157" t="s">
        <v>68</v>
      </c>
      <c r="C52" s="158"/>
      <c r="D52" s="158"/>
      <c r="E52" s="158"/>
      <c r="F52" s="159"/>
      <c r="H52" s="258"/>
      <c r="I52" s="314"/>
      <c r="J52" s="193"/>
    </row>
    <row r="53" spans="1:10" s="59" customFormat="1" ht="13.5" thickBot="1" x14ac:dyDescent="0.25">
      <c r="A53" s="160"/>
      <c r="B53" s="161"/>
      <c r="C53" s="162"/>
      <c r="D53" s="162"/>
      <c r="E53" s="162"/>
      <c r="F53" s="163"/>
      <c r="H53" s="258"/>
      <c r="I53" s="193"/>
      <c r="J53" s="193"/>
    </row>
    <row r="54" spans="1:10" s="59" customFormat="1" x14ac:dyDescent="0.2">
      <c r="A54" s="31"/>
      <c r="B54" s="32"/>
      <c r="C54" s="33"/>
      <c r="D54" s="34" t="s">
        <v>40</v>
      </c>
      <c r="E54" s="35" t="s">
        <v>41</v>
      </c>
      <c r="F54" s="36" t="s">
        <v>19</v>
      </c>
      <c r="H54" s="258"/>
      <c r="I54" s="193"/>
      <c r="J54" s="193"/>
    </row>
    <row r="55" spans="1:10" s="59" customFormat="1" x14ac:dyDescent="0.2">
      <c r="A55" s="37" t="s">
        <v>21</v>
      </c>
      <c r="B55" s="38" t="s">
        <v>42</v>
      </c>
      <c r="C55" s="39" t="s">
        <v>43</v>
      </c>
      <c r="D55" s="39" t="s">
        <v>44</v>
      </c>
      <c r="E55" s="40" t="s">
        <v>45</v>
      </c>
      <c r="F55" s="41" t="s">
        <v>26</v>
      </c>
      <c r="H55" s="258"/>
      <c r="I55" s="193"/>
      <c r="J55" s="193"/>
    </row>
    <row r="56" spans="1:10" s="59" customFormat="1" ht="13.5" thickBot="1" x14ac:dyDescent="0.25">
      <c r="A56" s="42" t="s">
        <v>69</v>
      </c>
      <c r="B56" s="43"/>
      <c r="C56" s="44"/>
      <c r="D56" s="45" t="s">
        <v>70</v>
      </c>
      <c r="E56" s="46" t="s">
        <v>71</v>
      </c>
      <c r="F56" s="47" t="s">
        <v>72</v>
      </c>
      <c r="H56" s="258"/>
      <c r="I56" s="193"/>
      <c r="J56" s="193"/>
    </row>
    <row r="57" spans="1:10" s="59" customFormat="1" ht="13.5" thickBot="1" x14ac:dyDescent="0.25">
      <c r="A57" s="164"/>
      <c r="B57" s="49" t="s">
        <v>73</v>
      </c>
      <c r="C57" s="50"/>
      <c r="D57" s="15"/>
      <c r="E57" s="16"/>
      <c r="F57" s="17"/>
      <c r="H57" s="258"/>
      <c r="I57" s="193"/>
      <c r="J57" s="193"/>
    </row>
    <row r="58" spans="1:10" s="59" customFormat="1" ht="60.75" thickBot="1" x14ac:dyDescent="0.25">
      <c r="A58" s="202">
        <v>1</v>
      </c>
      <c r="B58" s="51" t="s">
        <v>139</v>
      </c>
      <c r="C58" s="166" t="s">
        <v>75</v>
      </c>
      <c r="D58" s="317">
        <v>19037976</v>
      </c>
      <c r="E58" s="169">
        <v>1</v>
      </c>
      <c r="F58" s="167">
        <v>19037976</v>
      </c>
      <c r="G58" s="321" t="s">
        <v>59</v>
      </c>
      <c r="H58" s="258"/>
      <c r="I58" s="315"/>
      <c r="J58" s="193"/>
    </row>
    <row r="59" spans="1:10" s="59" customFormat="1" ht="36" x14ac:dyDescent="0.2">
      <c r="A59" s="203">
        <v>1</v>
      </c>
      <c r="B59" s="168" t="s">
        <v>76</v>
      </c>
      <c r="C59" s="138" t="s">
        <v>152</v>
      </c>
      <c r="D59" s="148"/>
      <c r="E59" s="169">
        <v>1</v>
      </c>
      <c r="F59" s="29"/>
      <c r="H59" s="258"/>
      <c r="I59" s="315"/>
      <c r="J59" s="193"/>
    </row>
    <row r="60" spans="1:10" s="59" customFormat="1" x14ac:dyDescent="0.2">
      <c r="A60" s="204">
        <v>1000</v>
      </c>
      <c r="B60" s="171" t="s">
        <v>179</v>
      </c>
      <c r="C60" s="172" t="s">
        <v>78</v>
      </c>
      <c r="D60" s="143"/>
      <c r="E60" s="151">
        <v>1</v>
      </c>
      <c r="F60" s="275"/>
      <c r="H60" s="258"/>
      <c r="I60" s="315"/>
      <c r="J60" s="193"/>
    </row>
    <row r="61" spans="1:10" s="59" customFormat="1" x14ac:dyDescent="0.2">
      <c r="A61" s="170"/>
      <c r="B61" s="173"/>
      <c r="C61" s="174"/>
      <c r="D61" s="91"/>
      <c r="E61" s="155"/>
      <c r="F61" s="175"/>
      <c r="H61" s="258"/>
      <c r="I61" s="315"/>
      <c r="J61" s="193"/>
    </row>
    <row r="62" spans="1:10" s="59" customFormat="1" ht="13.5" thickBot="1" x14ac:dyDescent="0.25">
      <c r="A62" s="205"/>
      <c r="B62" s="53" t="s">
        <v>79</v>
      </c>
      <c r="C62" s="176"/>
      <c r="D62" s="177"/>
      <c r="E62" s="97"/>
      <c r="F62" s="178"/>
      <c r="H62" s="258"/>
      <c r="I62" s="315"/>
      <c r="J62" s="193"/>
    </row>
    <row r="63" spans="1:10" s="59" customFormat="1" x14ac:dyDescent="0.2">
      <c r="A63" s="179"/>
      <c r="B63" s="318" t="s">
        <v>80</v>
      </c>
      <c r="C63" s="319"/>
      <c r="D63" s="319"/>
      <c r="E63" s="320"/>
      <c r="F63" s="182"/>
      <c r="H63" s="258"/>
      <c r="I63" s="193"/>
      <c r="J63" s="193"/>
    </row>
    <row r="64" spans="1:10" s="59" customFormat="1" x14ac:dyDescent="0.2">
      <c r="A64" s="183"/>
      <c r="B64" s="184" t="s">
        <v>81</v>
      </c>
      <c r="C64" s="128"/>
      <c r="D64" s="128"/>
      <c r="E64" s="128"/>
      <c r="F64" s="185"/>
      <c r="H64" s="232"/>
    </row>
    <row r="65" spans="1:9" s="59" customFormat="1" ht="13.5" thickBot="1" x14ac:dyDescent="0.25">
      <c r="A65" s="186"/>
      <c r="B65" s="187" t="s">
        <v>161</v>
      </c>
      <c r="C65" s="188"/>
      <c r="D65" s="188"/>
      <c r="E65" s="188"/>
      <c r="F65" s="189"/>
      <c r="G65" s="189"/>
      <c r="H65" s="330"/>
      <c r="I65" s="232"/>
    </row>
    <row r="66" spans="1:9" s="59" customFormat="1" x14ac:dyDescent="0.2">
      <c r="A66" s="54" t="s">
        <v>83</v>
      </c>
      <c r="B66" s="55"/>
      <c r="C66" s="56"/>
      <c r="D66" s="56"/>
      <c r="E66" s="56"/>
      <c r="F66" s="57"/>
      <c r="G66" s="322"/>
      <c r="H66" s="232"/>
    </row>
    <row r="67" spans="1:9" s="59" customFormat="1" ht="22.7" customHeight="1" x14ac:dyDescent="0.2">
      <c r="A67" s="337" t="s">
        <v>153</v>
      </c>
      <c r="B67" s="338"/>
      <c r="C67" s="338"/>
      <c r="D67" s="338"/>
      <c r="E67" s="338"/>
      <c r="F67" s="339"/>
      <c r="H67" s="232"/>
    </row>
    <row r="68" spans="1:9" s="59" customFormat="1" ht="22.7" customHeight="1" x14ac:dyDescent="0.2">
      <c r="A68" s="337" t="s">
        <v>154</v>
      </c>
      <c r="B68" s="366"/>
      <c r="C68" s="366"/>
      <c r="D68" s="366"/>
      <c r="E68" s="366"/>
      <c r="F68" s="367"/>
      <c r="H68" s="232"/>
    </row>
    <row r="69" spans="1:9" s="59" customFormat="1" ht="32.450000000000003" customHeight="1" x14ac:dyDescent="0.2">
      <c r="A69" s="368" t="s">
        <v>180</v>
      </c>
      <c r="B69" s="369"/>
      <c r="C69" s="369"/>
      <c r="D69" s="369"/>
      <c r="E69" s="369"/>
      <c r="F69" s="370"/>
      <c r="H69" s="232"/>
    </row>
    <row r="70" spans="1:9" s="59" customFormat="1" ht="32.450000000000003" customHeight="1" x14ac:dyDescent="0.2">
      <c r="A70" s="360" t="s">
        <v>169</v>
      </c>
      <c r="B70" s="361"/>
      <c r="C70" s="361"/>
      <c r="D70" s="361"/>
      <c r="E70" s="361"/>
      <c r="F70" s="362"/>
      <c r="H70" s="232"/>
    </row>
    <row r="71" spans="1:9" s="59" customFormat="1" ht="32.450000000000003" customHeight="1" x14ac:dyDescent="0.2">
      <c r="A71" s="360" t="s">
        <v>155</v>
      </c>
      <c r="B71" s="361"/>
      <c r="C71" s="361"/>
      <c r="D71" s="361"/>
      <c r="E71" s="361"/>
      <c r="F71" s="362"/>
      <c r="H71" s="232"/>
    </row>
    <row r="72" spans="1:9" s="59" customFormat="1" ht="32.450000000000003" customHeight="1" x14ac:dyDescent="0.2">
      <c r="A72" s="363" t="s">
        <v>156</v>
      </c>
      <c r="B72" s="364"/>
      <c r="C72" s="364"/>
      <c r="D72" s="364"/>
      <c r="E72" s="364"/>
      <c r="F72" s="365"/>
      <c r="H72" s="232"/>
    </row>
    <row r="73" spans="1:9" s="59" customFormat="1" ht="32.450000000000003" customHeight="1" x14ac:dyDescent="0.2">
      <c r="A73" s="360" t="s">
        <v>157</v>
      </c>
      <c r="B73" s="361"/>
      <c r="C73" s="361"/>
      <c r="D73" s="361"/>
      <c r="E73" s="361"/>
      <c r="F73" s="362"/>
      <c r="H73" s="232"/>
    </row>
    <row r="74" spans="1:9" s="59" customFormat="1" ht="27.75" customHeight="1" x14ac:dyDescent="0.2">
      <c r="A74" s="337" t="s">
        <v>162</v>
      </c>
      <c r="B74" s="338"/>
      <c r="C74" s="338"/>
      <c r="D74" s="338"/>
      <c r="E74" s="338"/>
      <c r="F74" s="339"/>
      <c r="H74" s="232"/>
    </row>
    <row r="75" spans="1:9" s="59" customFormat="1" ht="34.700000000000003" customHeight="1" x14ac:dyDescent="0.2">
      <c r="A75" s="337" t="s">
        <v>163</v>
      </c>
      <c r="B75" s="338"/>
      <c r="C75" s="338"/>
      <c r="D75" s="338"/>
      <c r="E75" s="338"/>
      <c r="F75" s="339"/>
      <c r="H75" s="232"/>
    </row>
    <row r="76" spans="1:9" s="59" customFormat="1" ht="28.5" customHeight="1" x14ac:dyDescent="0.2">
      <c r="A76" s="337" t="s">
        <v>164</v>
      </c>
      <c r="B76" s="338"/>
      <c r="C76" s="338"/>
      <c r="D76" s="338"/>
      <c r="E76" s="338"/>
      <c r="F76" s="339"/>
      <c r="H76" s="232"/>
    </row>
    <row r="77" spans="1:9" s="59" customFormat="1" ht="28.5" customHeight="1" x14ac:dyDescent="0.2">
      <c r="A77" s="337" t="s">
        <v>165</v>
      </c>
      <c r="B77" s="338"/>
      <c r="C77" s="338"/>
      <c r="D77" s="338"/>
      <c r="E77" s="338"/>
      <c r="F77" s="339"/>
      <c r="H77" s="232"/>
    </row>
    <row r="78" spans="1:9" s="59" customFormat="1" ht="18.75" customHeight="1" x14ac:dyDescent="0.2">
      <c r="A78" s="337" t="s">
        <v>166</v>
      </c>
      <c r="B78" s="338"/>
      <c r="C78" s="338"/>
      <c r="D78" s="338"/>
      <c r="E78" s="338"/>
      <c r="F78" s="339"/>
      <c r="H78" s="232"/>
    </row>
    <row r="79" spans="1:9" s="59" customFormat="1" ht="18.75" customHeight="1" x14ac:dyDescent="0.2">
      <c r="A79" s="374" t="s">
        <v>181</v>
      </c>
      <c r="B79" s="375"/>
      <c r="C79" s="375"/>
      <c r="D79" s="375"/>
      <c r="E79" s="375"/>
      <c r="F79" s="376"/>
      <c r="H79" s="232"/>
    </row>
    <row r="80" spans="1:9" s="59" customFormat="1" ht="41.25" customHeight="1" thickBot="1" x14ac:dyDescent="0.25">
      <c r="A80" s="346" t="s">
        <v>158</v>
      </c>
      <c r="B80" s="347"/>
      <c r="C80" s="347"/>
      <c r="D80" s="347"/>
      <c r="E80" s="347"/>
      <c r="F80" s="348"/>
      <c r="H80" s="232"/>
    </row>
    <row r="81" spans="1:8" s="59" customFormat="1" ht="41.25" customHeight="1" thickBot="1" x14ac:dyDescent="0.25">
      <c r="A81" s="371" t="s">
        <v>182</v>
      </c>
      <c r="B81" s="372"/>
      <c r="C81" s="372"/>
      <c r="D81" s="372"/>
      <c r="E81" s="372"/>
      <c r="F81" s="373"/>
      <c r="H81" s="232"/>
    </row>
    <row r="82" spans="1:8" s="276" customFormat="1" x14ac:dyDescent="0.2">
      <c r="H82" s="277"/>
    </row>
  </sheetData>
  <mergeCells count="20">
    <mergeCell ref="A81:F81"/>
    <mergeCell ref="A76:F76"/>
    <mergeCell ref="A77:F77"/>
    <mergeCell ref="A78:F78"/>
    <mergeCell ref="A79:F79"/>
    <mergeCell ref="A80:F80"/>
    <mergeCell ref="A4:F4"/>
    <mergeCell ref="A5:F5"/>
    <mergeCell ref="A73:F73"/>
    <mergeCell ref="A74:F74"/>
    <mergeCell ref="A75:F75"/>
    <mergeCell ref="A72:F72"/>
    <mergeCell ref="A68:F68"/>
    <mergeCell ref="A69:F69"/>
    <mergeCell ref="A70:F70"/>
    <mergeCell ref="A71:F71"/>
    <mergeCell ref="A67:F67"/>
    <mergeCell ref="A6:F6"/>
    <mergeCell ref="E8:F8"/>
    <mergeCell ref="A11:F11"/>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R44"/>
  <sheetViews>
    <sheetView zoomScale="85" zoomScaleNormal="85" workbookViewId="0">
      <selection activeCell="A42" sqref="A42:XFD43"/>
    </sheetView>
  </sheetViews>
  <sheetFormatPr baseColWidth="10" defaultRowHeight="12.75" x14ac:dyDescent="0.2"/>
  <cols>
    <col min="1" max="1" width="18.42578125" style="206" customWidth="1"/>
    <col min="2" max="2" width="11.7109375" style="206" customWidth="1"/>
    <col min="3" max="3" width="11.42578125" style="206"/>
    <col min="4" max="4" width="30.85546875" style="206" customWidth="1"/>
    <col min="5" max="5" width="41.28515625" style="206" customWidth="1"/>
    <col min="6" max="6" width="15.85546875" style="58" customWidth="1"/>
    <col min="7" max="7" width="16.42578125" style="58" customWidth="1"/>
    <col min="8" max="8" width="17.28515625" style="58" customWidth="1"/>
    <col min="9" max="9" width="15.42578125" style="58" customWidth="1"/>
    <col min="10" max="10" width="16.140625" style="58" customWidth="1"/>
    <col min="11" max="11" width="18.140625" style="58" customWidth="1"/>
    <col min="12" max="13" width="14.28515625" style="58" customWidth="1"/>
    <col min="14" max="14" width="15.42578125" style="58" customWidth="1"/>
    <col min="15" max="15" width="14.140625" style="58" bestFit="1" customWidth="1"/>
    <col min="16" max="16" width="15" style="58" customWidth="1"/>
    <col min="17" max="17" width="13.7109375" style="58" customWidth="1"/>
    <col min="18" max="18" width="15.140625" style="58" bestFit="1" customWidth="1"/>
    <col min="19" max="235" width="11.42578125" style="58"/>
    <col min="236" max="236" width="18.42578125" style="58" customWidth="1"/>
    <col min="237" max="237" width="11.7109375" style="58" customWidth="1"/>
    <col min="238" max="238" width="11.42578125" style="58"/>
    <col min="239" max="239" width="30.85546875" style="58" customWidth="1"/>
    <col min="240" max="240" width="41.28515625" style="58" customWidth="1"/>
    <col min="241" max="241" width="14.85546875" style="58" bestFit="1" customWidth="1"/>
    <col min="242" max="242" width="23.7109375" style="58" bestFit="1" customWidth="1"/>
    <col min="243" max="243" width="14.85546875" style="58" customWidth="1"/>
    <col min="244" max="244" width="18.42578125" style="58" bestFit="1" customWidth="1"/>
    <col min="245" max="245" width="14.85546875" style="58" bestFit="1" customWidth="1"/>
    <col min="246" max="246" width="18.28515625" style="58" bestFit="1" customWidth="1"/>
    <col min="247" max="247" width="18.28515625" style="58" customWidth="1"/>
    <col min="248" max="248" width="29" style="58" customWidth="1"/>
    <col min="249" max="249" width="21.42578125" style="58" customWidth="1"/>
    <col min="250" max="250" width="20.85546875" style="58" customWidth="1"/>
    <col min="251" max="251" width="31.42578125" style="58" customWidth="1"/>
    <col min="252" max="252" width="23.42578125" style="58" customWidth="1"/>
    <col min="253" max="253" width="20.7109375" style="58" customWidth="1"/>
    <col min="254" max="254" width="16" style="58" customWidth="1"/>
    <col min="255" max="255" width="13.7109375" style="58" customWidth="1"/>
    <col min="256" max="256" width="16.28515625" style="58" customWidth="1"/>
    <col min="257" max="257" width="14" style="58" bestFit="1" customWidth="1"/>
    <col min="258" max="258" width="19.28515625" style="58" bestFit="1" customWidth="1"/>
    <col min="259" max="259" width="14.28515625" style="58" bestFit="1" customWidth="1"/>
    <col min="260" max="260" width="21.140625" style="58" bestFit="1" customWidth="1"/>
    <col min="261" max="491" width="11.42578125" style="58"/>
    <col min="492" max="492" width="18.42578125" style="58" customWidth="1"/>
    <col min="493" max="493" width="11.7109375" style="58" customWidth="1"/>
    <col min="494" max="494" width="11.42578125" style="58"/>
    <col min="495" max="495" width="30.85546875" style="58" customWidth="1"/>
    <col min="496" max="496" width="41.28515625" style="58" customWidth="1"/>
    <col min="497" max="497" width="14.85546875" style="58" bestFit="1" customWidth="1"/>
    <col min="498" max="498" width="23.7109375" style="58" bestFit="1" customWidth="1"/>
    <col min="499" max="499" width="14.85546875" style="58" customWidth="1"/>
    <col min="500" max="500" width="18.42578125" style="58" bestFit="1" customWidth="1"/>
    <col min="501" max="501" width="14.85546875" style="58" bestFit="1" customWidth="1"/>
    <col min="502" max="502" width="18.28515625" style="58" bestFit="1" customWidth="1"/>
    <col min="503" max="503" width="18.28515625" style="58" customWidth="1"/>
    <col min="504" max="504" width="29" style="58" customWidth="1"/>
    <col min="505" max="505" width="21.42578125" style="58" customWidth="1"/>
    <col min="506" max="506" width="20.85546875" style="58" customWidth="1"/>
    <col min="507" max="507" width="31.42578125" style="58" customWidth="1"/>
    <col min="508" max="508" width="23.42578125" style="58" customWidth="1"/>
    <col min="509" max="509" width="20.7109375" style="58" customWidth="1"/>
    <col min="510" max="510" width="16" style="58" customWidth="1"/>
    <col min="511" max="511" width="13.7109375" style="58" customWidth="1"/>
    <col min="512" max="512" width="16.28515625" style="58" customWidth="1"/>
    <col min="513" max="513" width="14" style="58" bestFit="1" customWidth="1"/>
    <col min="514" max="514" width="19.28515625" style="58" bestFit="1" customWidth="1"/>
    <col min="515" max="515" width="14.28515625" style="58" bestFit="1" customWidth="1"/>
    <col min="516" max="516" width="21.140625" style="58" bestFit="1" customWidth="1"/>
    <col min="517" max="747" width="11.42578125" style="58"/>
    <col min="748" max="748" width="18.42578125" style="58" customWidth="1"/>
    <col min="749" max="749" width="11.7109375" style="58" customWidth="1"/>
    <col min="750" max="750" width="11.42578125" style="58"/>
    <col min="751" max="751" width="30.85546875" style="58" customWidth="1"/>
    <col min="752" max="752" width="41.28515625" style="58" customWidth="1"/>
    <col min="753" max="753" width="14.85546875" style="58" bestFit="1" customWidth="1"/>
    <col min="754" max="754" width="23.7109375" style="58" bestFit="1" customWidth="1"/>
    <col min="755" max="755" width="14.85546875" style="58" customWidth="1"/>
    <col min="756" max="756" width="18.42578125" style="58" bestFit="1" customWidth="1"/>
    <col min="757" max="757" width="14.85546875" style="58" bestFit="1" customWidth="1"/>
    <col min="758" max="758" width="18.28515625" style="58" bestFit="1" customWidth="1"/>
    <col min="759" max="759" width="18.28515625" style="58" customWidth="1"/>
    <col min="760" max="760" width="29" style="58" customWidth="1"/>
    <col min="761" max="761" width="21.42578125" style="58" customWidth="1"/>
    <col min="762" max="762" width="20.85546875" style="58" customWidth="1"/>
    <col min="763" max="763" width="31.42578125" style="58" customWidth="1"/>
    <col min="764" max="764" width="23.42578125" style="58" customWidth="1"/>
    <col min="765" max="765" width="20.7109375" style="58" customWidth="1"/>
    <col min="766" max="766" width="16" style="58" customWidth="1"/>
    <col min="767" max="767" width="13.7109375" style="58" customWidth="1"/>
    <col min="768" max="768" width="16.28515625" style="58" customWidth="1"/>
    <col min="769" max="769" width="14" style="58" bestFit="1" customWidth="1"/>
    <col min="770" max="770" width="19.28515625" style="58" bestFit="1" customWidth="1"/>
    <col min="771" max="771" width="14.28515625" style="58" bestFit="1" customWidth="1"/>
    <col min="772" max="772" width="21.140625" style="58" bestFit="1" customWidth="1"/>
    <col min="773" max="1003" width="11.42578125" style="58"/>
    <col min="1004" max="1004" width="18.42578125" style="58" customWidth="1"/>
    <col min="1005" max="1005" width="11.7109375" style="58" customWidth="1"/>
    <col min="1006" max="1006" width="11.42578125" style="58"/>
    <col min="1007" max="1007" width="30.85546875" style="58" customWidth="1"/>
    <col min="1008" max="1008" width="41.28515625" style="58" customWidth="1"/>
    <col min="1009" max="1009" width="14.85546875" style="58" bestFit="1" customWidth="1"/>
    <col min="1010" max="1010" width="23.7109375" style="58" bestFit="1" customWidth="1"/>
    <col min="1011" max="1011" width="14.85546875" style="58" customWidth="1"/>
    <col min="1012" max="1012" width="18.42578125" style="58" bestFit="1" customWidth="1"/>
    <col min="1013" max="1013" width="14.85546875" style="58" bestFit="1" customWidth="1"/>
    <col min="1014" max="1014" width="18.28515625" style="58" bestFit="1" customWidth="1"/>
    <col min="1015" max="1015" width="18.28515625" style="58" customWidth="1"/>
    <col min="1016" max="1016" width="29" style="58" customWidth="1"/>
    <col min="1017" max="1017" width="21.42578125" style="58" customWidth="1"/>
    <col min="1018" max="1018" width="20.85546875" style="58" customWidth="1"/>
    <col min="1019" max="1019" width="31.42578125" style="58" customWidth="1"/>
    <col min="1020" max="1020" width="23.42578125" style="58" customWidth="1"/>
    <col min="1021" max="1021" width="20.7109375" style="58" customWidth="1"/>
    <col min="1022" max="1022" width="16" style="58" customWidth="1"/>
    <col min="1023" max="1023" width="13.7109375" style="58" customWidth="1"/>
    <col min="1024" max="1024" width="16.28515625" style="58" customWidth="1"/>
    <col min="1025" max="1025" width="14" style="58" bestFit="1" customWidth="1"/>
    <col min="1026" max="1026" width="19.28515625" style="58" bestFit="1" customWidth="1"/>
    <col min="1027" max="1027" width="14.28515625" style="58" bestFit="1" customWidth="1"/>
    <col min="1028" max="1028" width="21.140625" style="58" bestFit="1" customWidth="1"/>
    <col min="1029" max="1259" width="11.42578125" style="58"/>
    <col min="1260" max="1260" width="18.42578125" style="58" customWidth="1"/>
    <col min="1261" max="1261" width="11.7109375" style="58" customWidth="1"/>
    <col min="1262" max="1262" width="11.42578125" style="58"/>
    <col min="1263" max="1263" width="30.85546875" style="58" customWidth="1"/>
    <col min="1264" max="1264" width="41.28515625" style="58" customWidth="1"/>
    <col min="1265" max="1265" width="14.85546875" style="58" bestFit="1" customWidth="1"/>
    <col min="1266" max="1266" width="23.7109375" style="58" bestFit="1" customWidth="1"/>
    <col min="1267" max="1267" width="14.85546875" style="58" customWidth="1"/>
    <col min="1268" max="1268" width="18.42578125" style="58" bestFit="1" customWidth="1"/>
    <col min="1269" max="1269" width="14.85546875" style="58" bestFit="1" customWidth="1"/>
    <col min="1270" max="1270" width="18.28515625" style="58" bestFit="1" customWidth="1"/>
    <col min="1271" max="1271" width="18.28515625" style="58" customWidth="1"/>
    <col min="1272" max="1272" width="29" style="58" customWidth="1"/>
    <col min="1273" max="1273" width="21.42578125" style="58" customWidth="1"/>
    <col min="1274" max="1274" width="20.85546875" style="58" customWidth="1"/>
    <col min="1275" max="1275" width="31.42578125" style="58" customWidth="1"/>
    <col min="1276" max="1276" width="23.42578125" style="58" customWidth="1"/>
    <col min="1277" max="1277" width="20.7109375" style="58" customWidth="1"/>
    <col min="1278" max="1278" width="16" style="58" customWidth="1"/>
    <col min="1279" max="1279" width="13.7109375" style="58" customWidth="1"/>
    <col min="1280" max="1280" width="16.28515625" style="58" customWidth="1"/>
    <col min="1281" max="1281" width="14" style="58" bestFit="1" customWidth="1"/>
    <col min="1282" max="1282" width="19.28515625" style="58" bestFit="1" customWidth="1"/>
    <col min="1283" max="1283" width="14.28515625" style="58" bestFit="1" customWidth="1"/>
    <col min="1284" max="1284" width="21.140625" style="58" bestFit="1" customWidth="1"/>
    <col min="1285" max="1515" width="11.42578125" style="58"/>
    <col min="1516" max="1516" width="18.42578125" style="58" customWidth="1"/>
    <col min="1517" max="1517" width="11.7109375" style="58" customWidth="1"/>
    <col min="1518" max="1518" width="11.42578125" style="58"/>
    <col min="1519" max="1519" width="30.85546875" style="58" customWidth="1"/>
    <col min="1520" max="1520" width="41.28515625" style="58" customWidth="1"/>
    <col min="1521" max="1521" width="14.85546875" style="58" bestFit="1" customWidth="1"/>
    <col min="1522" max="1522" width="23.7109375" style="58" bestFit="1" customWidth="1"/>
    <col min="1523" max="1523" width="14.85546875" style="58" customWidth="1"/>
    <col min="1524" max="1524" width="18.42578125" style="58" bestFit="1" customWidth="1"/>
    <col min="1525" max="1525" width="14.85546875" style="58" bestFit="1" customWidth="1"/>
    <col min="1526" max="1526" width="18.28515625" style="58" bestFit="1" customWidth="1"/>
    <col min="1527" max="1527" width="18.28515625" style="58" customWidth="1"/>
    <col min="1528" max="1528" width="29" style="58" customWidth="1"/>
    <col min="1529" max="1529" width="21.42578125" style="58" customWidth="1"/>
    <col min="1530" max="1530" width="20.85546875" style="58" customWidth="1"/>
    <col min="1531" max="1531" width="31.42578125" style="58" customWidth="1"/>
    <col min="1532" max="1532" width="23.42578125" style="58" customWidth="1"/>
    <col min="1533" max="1533" width="20.7109375" style="58" customWidth="1"/>
    <col min="1534" max="1534" width="16" style="58" customWidth="1"/>
    <col min="1535" max="1535" width="13.7109375" style="58" customWidth="1"/>
    <col min="1536" max="1536" width="16.28515625" style="58" customWidth="1"/>
    <col min="1537" max="1537" width="14" style="58" bestFit="1" customWidth="1"/>
    <col min="1538" max="1538" width="19.28515625" style="58" bestFit="1" customWidth="1"/>
    <col min="1539" max="1539" width="14.28515625" style="58" bestFit="1" customWidth="1"/>
    <col min="1540" max="1540" width="21.140625" style="58" bestFit="1" customWidth="1"/>
    <col min="1541" max="1771" width="11.42578125" style="58"/>
    <col min="1772" max="1772" width="18.42578125" style="58" customWidth="1"/>
    <col min="1773" max="1773" width="11.7109375" style="58" customWidth="1"/>
    <col min="1774" max="1774" width="11.42578125" style="58"/>
    <col min="1775" max="1775" width="30.85546875" style="58" customWidth="1"/>
    <col min="1776" max="1776" width="41.28515625" style="58" customWidth="1"/>
    <col min="1777" max="1777" width="14.85546875" style="58" bestFit="1" customWidth="1"/>
    <col min="1778" max="1778" width="23.7109375" style="58" bestFit="1" customWidth="1"/>
    <col min="1779" max="1779" width="14.85546875" style="58" customWidth="1"/>
    <col min="1780" max="1780" width="18.42578125" style="58" bestFit="1" customWidth="1"/>
    <col min="1781" max="1781" width="14.85546875" style="58" bestFit="1" customWidth="1"/>
    <col min="1782" max="1782" width="18.28515625" style="58" bestFit="1" customWidth="1"/>
    <col min="1783" max="1783" width="18.28515625" style="58" customWidth="1"/>
    <col min="1784" max="1784" width="29" style="58" customWidth="1"/>
    <col min="1785" max="1785" width="21.42578125" style="58" customWidth="1"/>
    <col min="1786" max="1786" width="20.85546875" style="58" customWidth="1"/>
    <col min="1787" max="1787" width="31.42578125" style="58" customWidth="1"/>
    <col min="1788" max="1788" width="23.42578125" style="58" customWidth="1"/>
    <col min="1789" max="1789" width="20.7109375" style="58" customWidth="1"/>
    <col min="1790" max="1790" width="16" style="58" customWidth="1"/>
    <col min="1791" max="1791" width="13.7109375" style="58" customWidth="1"/>
    <col min="1792" max="1792" width="16.28515625" style="58" customWidth="1"/>
    <col min="1793" max="1793" width="14" style="58" bestFit="1" customWidth="1"/>
    <col min="1794" max="1794" width="19.28515625" style="58" bestFit="1" customWidth="1"/>
    <col min="1795" max="1795" width="14.28515625" style="58" bestFit="1" customWidth="1"/>
    <col min="1796" max="1796" width="21.140625" style="58" bestFit="1" customWidth="1"/>
    <col min="1797" max="2027" width="11.42578125" style="58"/>
    <col min="2028" max="2028" width="18.42578125" style="58" customWidth="1"/>
    <col min="2029" max="2029" width="11.7109375" style="58" customWidth="1"/>
    <col min="2030" max="2030" width="11.42578125" style="58"/>
    <col min="2031" max="2031" width="30.85546875" style="58" customWidth="1"/>
    <col min="2032" max="2032" width="41.28515625" style="58" customWidth="1"/>
    <col min="2033" max="2033" width="14.85546875" style="58" bestFit="1" customWidth="1"/>
    <col min="2034" max="2034" width="23.7109375" style="58" bestFit="1" customWidth="1"/>
    <col min="2035" max="2035" width="14.85546875" style="58" customWidth="1"/>
    <col min="2036" max="2036" width="18.42578125" style="58" bestFit="1" customWidth="1"/>
    <col min="2037" max="2037" width="14.85546875" style="58" bestFit="1" customWidth="1"/>
    <col min="2038" max="2038" width="18.28515625" style="58" bestFit="1" customWidth="1"/>
    <col min="2039" max="2039" width="18.28515625" style="58" customWidth="1"/>
    <col min="2040" max="2040" width="29" style="58" customWidth="1"/>
    <col min="2041" max="2041" width="21.42578125" style="58" customWidth="1"/>
    <col min="2042" max="2042" width="20.85546875" style="58" customWidth="1"/>
    <col min="2043" max="2043" width="31.42578125" style="58" customWidth="1"/>
    <col min="2044" max="2044" width="23.42578125" style="58" customWidth="1"/>
    <col min="2045" max="2045" width="20.7109375" style="58" customWidth="1"/>
    <col min="2046" max="2046" width="16" style="58" customWidth="1"/>
    <col min="2047" max="2047" width="13.7109375" style="58" customWidth="1"/>
    <col min="2048" max="2048" width="16.28515625" style="58" customWidth="1"/>
    <col min="2049" max="2049" width="14" style="58" bestFit="1" customWidth="1"/>
    <col min="2050" max="2050" width="19.28515625" style="58" bestFit="1" customWidth="1"/>
    <col min="2051" max="2051" width="14.28515625" style="58" bestFit="1" customWidth="1"/>
    <col min="2052" max="2052" width="21.140625" style="58" bestFit="1" customWidth="1"/>
    <col min="2053" max="2283" width="11.42578125" style="58"/>
    <col min="2284" max="2284" width="18.42578125" style="58" customWidth="1"/>
    <col min="2285" max="2285" width="11.7109375" style="58" customWidth="1"/>
    <col min="2286" max="2286" width="11.42578125" style="58"/>
    <col min="2287" max="2287" width="30.85546875" style="58" customWidth="1"/>
    <col min="2288" max="2288" width="41.28515625" style="58" customWidth="1"/>
    <col min="2289" max="2289" width="14.85546875" style="58" bestFit="1" customWidth="1"/>
    <col min="2290" max="2290" width="23.7109375" style="58" bestFit="1" customWidth="1"/>
    <col min="2291" max="2291" width="14.85546875" style="58" customWidth="1"/>
    <col min="2292" max="2292" width="18.42578125" style="58" bestFit="1" customWidth="1"/>
    <col min="2293" max="2293" width="14.85546875" style="58" bestFit="1" customWidth="1"/>
    <col min="2294" max="2294" width="18.28515625" style="58" bestFit="1" customWidth="1"/>
    <col min="2295" max="2295" width="18.28515625" style="58" customWidth="1"/>
    <col min="2296" max="2296" width="29" style="58" customWidth="1"/>
    <col min="2297" max="2297" width="21.42578125" style="58" customWidth="1"/>
    <col min="2298" max="2298" width="20.85546875" style="58" customWidth="1"/>
    <col min="2299" max="2299" width="31.42578125" style="58" customWidth="1"/>
    <col min="2300" max="2300" width="23.42578125" style="58" customWidth="1"/>
    <col min="2301" max="2301" width="20.7109375" style="58" customWidth="1"/>
    <col min="2302" max="2302" width="16" style="58" customWidth="1"/>
    <col min="2303" max="2303" width="13.7109375" style="58" customWidth="1"/>
    <col min="2304" max="2304" width="16.28515625" style="58" customWidth="1"/>
    <col min="2305" max="2305" width="14" style="58" bestFit="1" customWidth="1"/>
    <col min="2306" max="2306" width="19.28515625" style="58" bestFit="1" customWidth="1"/>
    <col min="2307" max="2307" width="14.28515625" style="58" bestFit="1" customWidth="1"/>
    <col min="2308" max="2308" width="21.140625" style="58" bestFit="1" customWidth="1"/>
    <col min="2309" max="2539" width="11.42578125" style="58"/>
    <col min="2540" max="2540" width="18.42578125" style="58" customWidth="1"/>
    <col min="2541" max="2541" width="11.7109375" style="58" customWidth="1"/>
    <col min="2542" max="2542" width="11.42578125" style="58"/>
    <col min="2543" max="2543" width="30.85546875" style="58" customWidth="1"/>
    <col min="2544" max="2544" width="41.28515625" style="58" customWidth="1"/>
    <col min="2545" max="2545" width="14.85546875" style="58" bestFit="1" customWidth="1"/>
    <col min="2546" max="2546" width="23.7109375" style="58" bestFit="1" customWidth="1"/>
    <col min="2547" max="2547" width="14.85546875" style="58" customWidth="1"/>
    <col min="2548" max="2548" width="18.42578125" style="58" bestFit="1" customWidth="1"/>
    <col min="2549" max="2549" width="14.85546875" style="58" bestFit="1" customWidth="1"/>
    <col min="2550" max="2550" width="18.28515625" style="58" bestFit="1" customWidth="1"/>
    <col min="2551" max="2551" width="18.28515625" style="58" customWidth="1"/>
    <col min="2552" max="2552" width="29" style="58" customWidth="1"/>
    <col min="2553" max="2553" width="21.42578125" style="58" customWidth="1"/>
    <col min="2554" max="2554" width="20.85546875" style="58" customWidth="1"/>
    <col min="2555" max="2555" width="31.42578125" style="58" customWidth="1"/>
    <col min="2556" max="2556" width="23.42578125" style="58" customWidth="1"/>
    <col min="2557" max="2557" width="20.7109375" style="58" customWidth="1"/>
    <col min="2558" max="2558" width="16" style="58" customWidth="1"/>
    <col min="2559" max="2559" width="13.7109375" style="58" customWidth="1"/>
    <col min="2560" max="2560" width="16.28515625" style="58" customWidth="1"/>
    <col min="2561" max="2561" width="14" style="58" bestFit="1" customWidth="1"/>
    <col min="2562" max="2562" width="19.28515625" style="58" bestFit="1" customWidth="1"/>
    <col min="2563" max="2563" width="14.28515625" style="58" bestFit="1" customWidth="1"/>
    <col min="2564" max="2564" width="21.140625" style="58" bestFit="1" customWidth="1"/>
    <col min="2565" max="2795" width="11.42578125" style="58"/>
    <col min="2796" max="2796" width="18.42578125" style="58" customWidth="1"/>
    <col min="2797" max="2797" width="11.7109375" style="58" customWidth="1"/>
    <col min="2798" max="2798" width="11.42578125" style="58"/>
    <col min="2799" max="2799" width="30.85546875" style="58" customWidth="1"/>
    <col min="2800" max="2800" width="41.28515625" style="58" customWidth="1"/>
    <col min="2801" max="2801" width="14.85546875" style="58" bestFit="1" customWidth="1"/>
    <col min="2802" max="2802" width="23.7109375" style="58" bestFit="1" customWidth="1"/>
    <col min="2803" max="2803" width="14.85546875" style="58" customWidth="1"/>
    <col min="2804" max="2804" width="18.42578125" style="58" bestFit="1" customWidth="1"/>
    <col min="2805" max="2805" width="14.85546875" style="58" bestFit="1" customWidth="1"/>
    <col min="2806" max="2806" width="18.28515625" style="58" bestFit="1" customWidth="1"/>
    <col min="2807" max="2807" width="18.28515625" style="58" customWidth="1"/>
    <col min="2808" max="2808" width="29" style="58" customWidth="1"/>
    <col min="2809" max="2809" width="21.42578125" style="58" customWidth="1"/>
    <col min="2810" max="2810" width="20.85546875" style="58" customWidth="1"/>
    <col min="2811" max="2811" width="31.42578125" style="58" customWidth="1"/>
    <col min="2812" max="2812" width="23.42578125" style="58" customWidth="1"/>
    <col min="2813" max="2813" width="20.7109375" style="58" customWidth="1"/>
    <col min="2814" max="2814" width="16" style="58" customWidth="1"/>
    <col min="2815" max="2815" width="13.7109375" style="58" customWidth="1"/>
    <col min="2816" max="2816" width="16.28515625" style="58" customWidth="1"/>
    <col min="2817" max="2817" width="14" style="58" bestFit="1" customWidth="1"/>
    <col min="2818" max="2818" width="19.28515625" style="58" bestFit="1" customWidth="1"/>
    <col min="2819" max="2819" width="14.28515625" style="58" bestFit="1" customWidth="1"/>
    <col min="2820" max="2820" width="21.140625" style="58" bestFit="1" customWidth="1"/>
    <col min="2821" max="3051" width="11.42578125" style="58"/>
    <col min="3052" max="3052" width="18.42578125" style="58" customWidth="1"/>
    <col min="3053" max="3053" width="11.7109375" style="58" customWidth="1"/>
    <col min="3054" max="3054" width="11.42578125" style="58"/>
    <col min="3055" max="3055" width="30.85546875" style="58" customWidth="1"/>
    <col min="3056" max="3056" width="41.28515625" style="58" customWidth="1"/>
    <col min="3057" max="3057" width="14.85546875" style="58" bestFit="1" customWidth="1"/>
    <col min="3058" max="3058" width="23.7109375" style="58" bestFit="1" customWidth="1"/>
    <col min="3059" max="3059" width="14.85546875" style="58" customWidth="1"/>
    <col min="3060" max="3060" width="18.42578125" style="58" bestFit="1" customWidth="1"/>
    <col min="3061" max="3061" width="14.85546875" style="58" bestFit="1" customWidth="1"/>
    <col min="3062" max="3062" width="18.28515625" style="58" bestFit="1" customWidth="1"/>
    <col min="3063" max="3063" width="18.28515625" style="58" customWidth="1"/>
    <col min="3064" max="3064" width="29" style="58" customWidth="1"/>
    <col min="3065" max="3065" width="21.42578125" style="58" customWidth="1"/>
    <col min="3066" max="3066" width="20.85546875" style="58" customWidth="1"/>
    <col min="3067" max="3067" width="31.42578125" style="58" customWidth="1"/>
    <col min="3068" max="3068" width="23.42578125" style="58" customWidth="1"/>
    <col min="3069" max="3069" width="20.7109375" style="58" customWidth="1"/>
    <col min="3070" max="3070" width="16" style="58" customWidth="1"/>
    <col min="3071" max="3071" width="13.7109375" style="58" customWidth="1"/>
    <col min="3072" max="3072" width="16.28515625" style="58" customWidth="1"/>
    <col min="3073" max="3073" width="14" style="58" bestFit="1" customWidth="1"/>
    <col min="3074" max="3074" width="19.28515625" style="58" bestFit="1" customWidth="1"/>
    <col min="3075" max="3075" width="14.28515625" style="58" bestFit="1" customWidth="1"/>
    <col min="3076" max="3076" width="21.140625" style="58" bestFit="1" customWidth="1"/>
    <col min="3077" max="3307" width="11.42578125" style="58"/>
    <col min="3308" max="3308" width="18.42578125" style="58" customWidth="1"/>
    <col min="3309" max="3309" width="11.7109375" style="58" customWidth="1"/>
    <col min="3310" max="3310" width="11.42578125" style="58"/>
    <col min="3311" max="3311" width="30.85546875" style="58" customWidth="1"/>
    <col min="3312" max="3312" width="41.28515625" style="58" customWidth="1"/>
    <col min="3313" max="3313" width="14.85546875" style="58" bestFit="1" customWidth="1"/>
    <col min="3314" max="3314" width="23.7109375" style="58" bestFit="1" customWidth="1"/>
    <col min="3315" max="3315" width="14.85546875" style="58" customWidth="1"/>
    <col min="3316" max="3316" width="18.42578125" style="58" bestFit="1" customWidth="1"/>
    <col min="3317" max="3317" width="14.85546875" style="58" bestFit="1" customWidth="1"/>
    <col min="3318" max="3318" width="18.28515625" style="58" bestFit="1" customWidth="1"/>
    <col min="3319" max="3319" width="18.28515625" style="58" customWidth="1"/>
    <col min="3320" max="3320" width="29" style="58" customWidth="1"/>
    <col min="3321" max="3321" width="21.42578125" style="58" customWidth="1"/>
    <col min="3322" max="3322" width="20.85546875" style="58" customWidth="1"/>
    <col min="3323" max="3323" width="31.42578125" style="58" customWidth="1"/>
    <col min="3324" max="3324" width="23.42578125" style="58" customWidth="1"/>
    <col min="3325" max="3325" width="20.7109375" style="58" customWidth="1"/>
    <col min="3326" max="3326" width="16" style="58" customWidth="1"/>
    <col min="3327" max="3327" width="13.7109375" style="58" customWidth="1"/>
    <col min="3328" max="3328" width="16.28515625" style="58" customWidth="1"/>
    <col min="3329" max="3329" width="14" style="58" bestFit="1" customWidth="1"/>
    <col min="3330" max="3330" width="19.28515625" style="58" bestFit="1" customWidth="1"/>
    <col min="3331" max="3331" width="14.28515625" style="58" bestFit="1" customWidth="1"/>
    <col min="3332" max="3332" width="21.140625" style="58" bestFit="1" customWidth="1"/>
    <col min="3333" max="3563" width="11.42578125" style="58"/>
    <col min="3564" max="3564" width="18.42578125" style="58" customWidth="1"/>
    <col min="3565" max="3565" width="11.7109375" style="58" customWidth="1"/>
    <col min="3566" max="3566" width="11.42578125" style="58"/>
    <col min="3567" max="3567" width="30.85546875" style="58" customWidth="1"/>
    <col min="3568" max="3568" width="41.28515625" style="58" customWidth="1"/>
    <col min="3569" max="3569" width="14.85546875" style="58" bestFit="1" customWidth="1"/>
    <col min="3570" max="3570" width="23.7109375" style="58" bestFit="1" customWidth="1"/>
    <col min="3571" max="3571" width="14.85546875" style="58" customWidth="1"/>
    <col min="3572" max="3572" width="18.42578125" style="58" bestFit="1" customWidth="1"/>
    <col min="3573" max="3573" width="14.85546875" style="58" bestFit="1" customWidth="1"/>
    <col min="3574" max="3574" width="18.28515625" style="58" bestFit="1" customWidth="1"/>
    <col min="3575" max="3575" width="18.28515625" style="58" customWidth="1"/>
    <col min="3576" max="3576" width="29" style="58" customWidth="1"/>
    <col min="3577" max="3577" width="21.42578125" style="58" customWidth="1"/>
    <col min="3578" max="3578" width="20.85546875" style="58" customWidth="1"/>
    <col min="3579" max="3579" width="31.42578125" style="58" customWidth="1"/>
    <col min="3580" max="3580" width="23.42578125" style="58" customWidth="1"/>
    <col min="3581" max="3581" width="20.7109375" style="58" customWidth="1"/>
    <col min="3582" max="3582" width="16" style="58" customWidth="1"/>
    <col min="3583" max="3583" width="13.7109375" style="58" customWidth="1"/>
    <col min="3584" max="3584" width="16.28515625" style="58" customWidth="1"/>
    <col min="3585" max="3585" width="14" style="58" bestFit="1" customWidth="1"/>
    <col min="3586" max="3586" width="19.28515625" style="58" bestFit="1" customWidth="1"/>
    <col min="3587" max="3587" width="14.28515625" style="58" bestFit="1" customWidth="1"/>
    <col min="3588" max="3588" width="21.140625" style="58" bestFit="1" customWidth="1"/>
    <col min="3589" max="3819" width="11.42578125" style="58"/>
    <col min="3820" max="3820" width="18.42578125" style="58" customWidth="1"/>
    <col min="3821" max="3821" width="11.7109375" style="58" customWidth="1"/>
    <col min="3822" max="3822" width="11.42578125" style="58"/>
    <col min="3823" max="3823" width="30.85546875" style="58" customWidth="1"/>
    <col min="3824" max="3824" width="41.28515625" style="58" customWidth="1"/>
    <col min="3825" max="3825" width="14.85546875" style="58" bestFit="1" customWidth="1"/>
    <col min="3826" max="3826" width="23.7109375" style="58" bestFit="1" customWidth="1"/>
    <col min="3827" max="3827" width="14.85546875" style="58" customWidth="1"/>
    <col min="3828" max="3828" width="18.42578125" style="58" bestFit="1" customWidth="1"/>
    <col min="3829" max="3829" width="14.85546875" style="58" bestFit="1" customWidth="1"/>
    <col min="3830" max="3830" width="18.28515625" style="58" bestFit="1" customWidth="1"/>
    <col min="3831" max="3831" width="18.28515625" style="58" customWidth="1"/>
    <col min="3832" max="3832" width="29" style="58" customWidth="1"/>
    <col min="3833" max="3833" width="21.42578125" style="58" customWidth="1"/>
    <col min="3834" max="3834" width="20.85546875" style="58" customWidth="1"/>
    <col min="3835" max="3835" width="31.42578125" style="58" customWidth="1"/>
    <col min="3836" max="3836" width="23.42578125" style="58" customWidth="1"/>
    <col min="3837" max="3837" width="20.7109375" style="58" customWidth="1"/>
    <col min="3838" max="3838" width="16" style="58" customWidth="1"/>
    <col min="3839" max="3839" width="13.7109375" style="58" customWidth="1"/>
    <col min="3840" max="3840" width="16.28515625" style="58" customWidth="1"/>
    <col min="3841" max="3841" width="14" style="58" bestFit="1" customWidth="1"/>
    <col min="3842" max="3842" width="19.28515625" style="58" bestFit="1" customWidth="1"/>
    <col min="3843" max="3843" width="14.28515625" style="58" bestFit="1" customWidth="1"/>
    <col min="3844" max="3844" width="21.140625" style="58" bestFit="1" customWidth="1"/>
    <col min="3845" max="4075" width="11.42578125" style="58"/>
    <col min="4076" max="4076" width="18.42578125" style="58" customWidth="1"/>
    <col min="4077" max="4077" width="11.7109375" style="58" customWidth="1"/>
    <col min="4078" max="4078" width="11.42578125" style="58"/>
    <col min="4079" max="4079" width="30.85546875" style="58" customWidth="1"/>
    <col min="4080" max="4080" width="41.28515625" style="58" customWidth="1"/>
    <col min="4081" max="4081" width="14.85546875" style="58" bestFit="1" customWidth="1"/>
    <col min="4082" max="4082" width="23.7109375" style="58" bestFit="1" customWidth="1"/>
    <col min="4083" max="4083" width="14.85546875" style="58" customWidth="1"/>
    <col min="4084" max="4084" width="18.42578125" style="58" bestFit="1" customWidth="1"/>
    <col min="4085" max="4085" width="14.85546875" style="58" bestFit="1" customWidth="1"/>
    <col min="4086" max="4086" width="18.28515625" style="58" bestFit="1" customWidth="1"/>
    <col min="4087" max="4087" width="18.28515625" style="58" customWidth="1"/>
    <col min="4088" max="4088" width="29" style="58" customWidth="1"/>
    <col min="4089" max="4089" width="21.42578125" style="58" customWidth="1"/>
    <col min="4090" max="4090" width="20.85546875" style="58" customWidth="1"/>
    <col min="4091" max="4091" width="31.42578125" style="58" customWidth="1"/>
    <col min="4092" max="4092" width="23.42578125" style="58" customWidth="1"/>
    <col min="4093" max="4093" width="20.7109375" style="58" customWidth="1"/>
    <col min="4094" max="4094" width="16" style="58" customWidth="1"/>
    <col min="4095" max="4095" width="13.7109375" style="58" customWidth="1"/>
    <col min="4096" max="4096" width="16.28515625" style="58" customWidth="1"/>
    <col min="4097" max="4097" width="14" style="58" bestFit="1" customWidth="1"/>
    <col min="4098" max="4098" width="19.28515625" style="58" bestFit="1" customWidth="1"/>
    <col min="4099" max="4099" width="14.28515625" style="58" bestFit="1" customWidth="1"/>
    <col min="4100" max="4100" width="21.140625" style="58" bestFit="1" customWidth="1"/>
    <col min="4101" max="4331" width="11.42578125" style="58"/>
    <col min="4332" max="4332" width="18.42578125" style="58" customWidth="1"/>
    <col min="4333" max="4333" width="11.7109375" style="58" customWidth="1"/>
    <col min="4334" max="4334" width="11.42578125" style="58"/>
    <col min="4335" max="4335" width="30.85546875" style="58" customWidth="1"/>
    <col min="4336" max="4336" width="41.28515625" style="58" customWidth="1"/>
    <col min="4337" max="4337" width="14.85546875" style="58" bestFit="1" customWidth="1"/>
    <col min="4338" max="4338" width="23.7109375" style="58" bestFit="1" customWidth="1"/>
    <col min="4339" max="4339" width="14.85546875" style="58" customWidth="1"/>
    <col min="4340" max="4340" width="18.42578125" style="58" bestFit="1" customWidth="1"/>
    <col min="4341" max="4341" width="14.85546875" style="58" bestFit="1" customWidth="1"/>
    <col min="4342" max="4342" width="18.28515625" style="58" bestFit="1" customWidth="1"/>
    <col min="4343" max="4343" width="18.28515625" style="58" customWidth="1"/>
    <col min="4344" max="4344" width="29" style="58" customWidth="1"/>
    <col min="4345" max="4345" width="21.42578125" style="58" customWidth="1"/>
    <col min="4346" max="4346" width="20.85546875" style="58" customWidth="1"/>
    <col min="4347" max="4347" width="31.42578125" style="58" customWidth="1"/>
    <col min="4348" max="4348" width="23.42578125" style="58" customWidth="1"/>
    <col min="4349" max="4349" width="20.7109375" style="58" customWidth="1"/>
    <col min="4350" max="4350" width="16" style="58" customWidth="1"/>
    <col min="4351" max="4351" width="13.7109375" style="58" customWidth="1"/>
    <col min="4352" max="4352" width="16.28515625" style="58" customWidth="1"/>
    <col min="4353" max="4353" width="14" style="58" bestFit="1" customWidth="1"/>
    <col min="4354" max="4354" width="19.28515625" style="58" bestFit="1" customWidth="1"/>
    <col min="4355" max="4355" width="14.28515625" style="58" bestFit="1" customWidth="1"/>
    <col min="4356" max="4356" width="21.140625" style="58" bestFit="1" customWidth="1"/>
    <col min="4357" max="4587" width="11.42578125" style="58"/>
    <col min="4588" max="4588" width="18.42578125" style="58" customWidth="1"/>
    <col min="4589" max="4589" width="11.7109375" style="58" customWidth="1"/>
    <col min="4590" max="4590" width="11.42578125" style="58"/>
    <col min="4591" max="4591" width="30.85546875" style="58" customWidth="1"/>
    <col min="4592" max="4592" width="41.28515625" style="58" customWidth="1"/>
    <col min="4593" max="4593" width="14.85546875" style="58" bestFit="1" customWidth="1"/>
    <col min="4594" max="4594" width="23.7109375" style="58" bestFit="1" customWidth="1"/>
    <col min="4595" max="4595" width="14.85546875" style="58" customWidth="1"/>
    <col min="4596" max="4596" width="18.42578125" style="58" bestFit="1" customWidth="1"/>
    <col min="4597" max="4597" width="14.85546875" style="58" bestFit="1" customWidth="1"/>
    <col min="4598" max="4598" width="18.28515625" style="58" bestFit="1" customWidth="1"/>
    <col min="4599" max="4599" width="18.28515625" style="58" customWidth="1"/>
    <col min="4600" max="4600" width="29" style="58" customWidth="1"/>
    <col min="4601" max="4601" width="21.42578125" style="58" customWidth="1"/>
    <col min="4602" max="4602" width="20.85546875" style="58" customWidth="1"/>
    <col min="4603" max="4603" width="31.42578125" style="58" customWidth="1"/>
    <col min="4604" max="4604" width="23.42578125" style="58" customWidth="1"/>
    <col min="4605" max="4605" width="20.7109375" style="58" customWidth="1"/>
    <col min="4606" max="4606" width="16" style="58" customWidth="1"/>
    <col min="4607" max="4607" width="13.7109375" style="58" customWidth="1"/>
    <col min="4608" max="4608" width="16.28515625" style="58" customWidth="1"/>
    <col min="4609" max="4609" width="14" style="58" bestFit="1" customWidth="1"/>
    <col min="4610" max="4610" width="19.28515625" style="58" bestFit="1" customWidth="1"/>
    <col min="4611" max="4611" width="14.28515625" style="58" bestFit="1" customWidth="1"/>
    <col min="4612" max="4612" width="21.140625" style="58" bestFit="1" customWidth="1"/>
    <col min="4613" max="4843" width="11.42578125" style="58"/>
    <col min="4844" max="4844" width="18.42578125" style="58" customWidth="1"/>
    <col min="4845" max="4845" width="11.7109375" style="58" customWidth="1"/>
    <col min="4846" max="4846" width="11.42578125" style="58"/>
    <col min="4847" max="4847" width="30.85546875" style="58" customWidth="1"/>
    <col min="4848" max="4848" width="41.28515625" style="58" customWidth="1"/>
    <col min="4849" max="4849" width="14.85546875" style="58" bestFit="1" customWidth="1"/>
    <col min="4850" max="4850" width="23.7109375" style="58" bestFit="1" customWidth="1"/>
    <col min="4851" max="4851" width="14.85546875" style="58" customWidth="1"/>
    <col min="4852" max="4852" width="18.42578125" style="58" bestFit="1" customWidth="1"/>
    <col min="4853" max="4853" width="14.85546875" style="58" bestFit="1" customWidth="1"/>
    <col min="4854" max="4854" width="18.28515625" style="58" bestFit="1" customWidth="1"/>
    <col min="4855" max="4855" width="18.28515625" style="58" customWidth="1"/>
    <col min="4856" max="4856" width="29" style="58" customWidth="1"/>
    <col min="4857" max="4857" width="21.42578125" style="58" customWidth="1"/>
    <col min="4858" max="4858" width="20.85546875" style="58" customWidth="1"/>
    <col min="4859" max="4859" width="31.42578125" style="58" customWidth="1"/>
    <col min="4860" max="4860" width="23.42578125" style="58" customWidth="1"/>
    <col min="4861" max="4861" width="20.7109375" style="58" customWidth="1"/>
    <col min="4862" max="4862" width="16" style="58" customWidth="1"/>
    <col min="4863" max="4863" width="13.7109375" style="58" customWidth="1"/>
    <col min="4864" max="4864" width="16.28515625" style="58" customWidth="1"/>
    <col min="4865" max="4865" width="14" style="58" bestFit="1" customWidth="1"/>
    <col min="4866" max="4866" width="19.28515625" style="58" bestFit="1" customWidth="1"/>
    <col min="4867" max="4867" width="14.28515625" style="58" bestFit="1" customWidth="1"/>
    <col min="4868" max="4868" width="21.140625" style="58" bestFit="1" customWidth="1"/>
    <col min="4869" max="5099" width="11.42578125" style="58"/>
    <col min="5100" max="5100" width="18.42578125" style="58" customWidth="1"/>
    <col min="5101" max="5101" width="11.7109375" style="58" customWidth="1"/>
    <col min="5102" max="5102" width="11.42578125" style="58"/>
    <col min="5103" max="5103" width="30.85546875" style="58" customWidth="1"/>
    <col min="5104" max="5104" width="41.28515625" style="58" customWidth="1"/>
    <col min="5105" max="5105" width="14.85546875" style="58" bestFit="1" customWidth="1"/>
    <col min="5106" max="5106" width="23.7109375" style="58" bestFit="1" customWidth="1"/>
    <col min="5107" max="5107" width="14.85546875" style="58" customWidth="1"/>
    <col min="5108" max="5108" width="18.42578125" style="58" bestFit="1" customWidth="1"/>
    <col min="5109" max="5109" width="14.85546875" style="58" bestFit="1" customWidth="1"/>
    <col min="5110" max="5110" width="18.28515625" style="58" bestFit="1" customWidth="1"/>
    <col min="5111" max="5111" width="18.28515625" style="58" customWidth="1"/>
    <col min="5112" max="5112" width="29" style="58" customWidth="1"/>
    <col min="5113" max="5113" width="21.42578125" style="58" customWidth="1"/>
    <col min="5114" max="5114" width="20.85546875" style="58" customWidth="1"/>
    <col min="5115" max="5115" width="31.42578125" style="58" customWidth="1"/>
    <col min="5116" max="5116" width="23.42578125" style="58" customWidth="1"/>
    <col min="5117" max="5117" width="20.7109375" style="58" customWidth="1"/>
    <col min="5118" max="5118" width="16" style="58" customWidth="1"/>
    <col min="5119" max="5119" width="13.7109375" style="58" customWidth="1"/>
    <col min="5120" max="5120" width="16.28515625" style="58" customWidth="1"/>
    <col min="5121" max="5121" width="14" style="58" bestFit="1" customWidth="1"/>
    <col min="5122" max="5122" width="19.28515625" style="58" bestFit="1" customWidth="1"/>
    <col min="5123" max="5123" width="14.28515625" style="58" bestFit="1" customWidth="1"/>
    <col min="5124" max="5124" width="21.140625" style="58" bestFit="1" customWidth="1"/>
    <col min="5125" max="5355" width="11.42578125" style="58"/>
    <col min="5356" max="5356" width="18.42578125" style="58" customWidth="1"/>
    <col min="5357" max="5357" width="11.7109375" style="58" customWidth="1"/>
    <col min="5358" max="5358" width="11.42578125" style="58"/>
    <col min="5359" max="5359" width="30.85546875" style="58" customWidth="1"/>
    <col min="5360" max="5360" width="41.28515625" style="58" customWidth="1"/>
    <col min="5361" max="5361" width="14.85546875" style="58" bestFit="1" customWidth="1"/>
    <col min="5362" max="5362" width="23.7109375" style="58" bestFit="1" customWidth="1"/>
    <col min="5363" max="5363" width="14.85546875" style="58" customWidth="1"/>
    <col min="5364" max="5364" width="18.42578125" style="58" bestFit="1" customWidth="1"/>
    <col min="5365" max="5365" width="14.85546875" style="58" bestFit="1" customWidth="1"/>
    <col min="5366" max="5366" width="18.28515625" style="58" bestFit="1" customWidth="1"/>
    <col min="5367" max="5367" width="18.28515625" style="58" customWidth="1"/>
    <col min="5368" max="5368" width="29" style="58" customWidth="1"/>
    <col min="5369" max="5369" width="21.42578125" style="58" customWidth="1"/>
    <col min="5370" max="5370" width="20.85546875" style="58" customWidth="1"/>
    <col min="5371" max="5371" width="31.42578125" style="58" customWidth="1"/>
    <col min="5372" max="5372" width="23.42578125" style="58" customWidth="1"/>
    <col min="5373" max="5373" width="20.7109375" style="58" customWidth="1"/>
    <col min="5374" max="5374" width="16" style="58" customWidth="1"/>
    <col min="5375" max="5375" width="13.7109375" style="58" customWidth="1"/>
    <col min="5376" max="5376" width="16.28515625" style="58" customWidth="1"/>
    <col min="5377" max="5377" width="14" style="58" bestFit="1" customWidth="1"/>
    <col min="5378" max="5378" width="19.28515625" style="58" bestFit="1" customWidth="1"/>
    <col min="5379" max="5379" width="14.28515625" style="58" bestFit="1" customWidth="1"/>
    <col min="5380" max="5380" width="21.140625" style="58" bestFit="1" customWidth="1"/>
    <col min="5381" max="5611" width="11.42578125" style="58"/>
    <col min="5612" max="5612" width="18.42578125" style="58" customWidth="1"/>
    <col min="5613" max="5613" width="11.7109375" style="58" customWidth="1"/>
    <col min="5614" max="5614" width="11.42578125" style="58"/>
    <col min="5615" max="5615" width="30.85546875" style="58" customWidth="1"/>
    <col min="5616" max="5616" width="41.28515625" style="58" customWidth="1"/>
    <col min="5617" max="5617" width="14.85546875" style="58" bestFit="1" customWidth="1"/>
    <col min="5618" max="5618" width="23.7109375" style="58" bestFit="1" customWidth="1"/>
    <col min="5619" max="5619" width="14.85546875" style="58" customWidth="1"/>
    <col min="5620" max="5620" width="18.42578125" style="58" bestFit="1" customWidth="1"/>
    <col min="5621" max="5621" width="14.85546875" style="58" bestFit="1" customWidth="1"/>
    <col min="5622" max="5622" width="18.28515625" style="58" bestFit="1" customWidth="1"/>
    <col min="5623" max="5623" width="18.28515625" style="58" customWidth="1"/>
    <col min="5624" max="5624" width="29" style="58" customWidth="1"/>
    <col min="5625" max="5625" width="21.42578125" style="58" customWidth="1"/>
    <col min="5626" max="5626" width="20.85546875" style="58" customWidth="1"/>
    <col min="5627" max="5627" width="31.42578125" style="58" customWidth="1"/>
    <col min="5628" max="5628" width="23.42578125" style="58" customWidth="1"/>
    <col min="5629" max="5629" width="20.7109375" style="58" customWidth="1"/>
    <col min="5630" max="5630" width="16" style="58" customWidth="1"/>
    <col min="5631" max="5631" width="13.7109375" style="58" customWidth="1"/>
    <col min="5632" max="5632" width="16.28515625" style="58" customWidth="1"/>
    <col min="5633" max="5633" width="14" style="58" bestFit="1" customWidth="1"/>
    <col min="5634" max="5634" width="19.28515625" style="58" bestFit="1" customWidth="1"/>
    <col min="5635" max="5635" width="14.28515625" style="58" bestFit="1" customWidth="1"/>
    <col min="5636" max="5636" width="21.140625" style="58" bestFit="1" customWidth="1"/>
    <col min="5637" max="5867" width="11.42578125" style="58"/>
    <col min="5868" max="5868" width="18.42578125" style="58" customWidth="1"/>
    <col min="5869" max="5869" width="11.7109375" style="58" customWidth="1"/>
    <col min="5870" max="5870" width="11.42578125" style="58"/>
    <col min="5871" max="5871" width="30.85546875" style="58" customWidth="1"/>
    <col min="5872" max="5872" width="41.28515625" style="58" customWidth="1"/>
    <col min="5873" max="5873" width="14.85546875" style="58" bestFit="1" customWidth="1"/>
    <col min="5874" max="5874" width="23.7109375" style="58" bestFit="1" customWidth="1"/>
    <col min="5875" max="5875" width="14.85546875" style="58" customWidth="1"/>
    <col min="5876" max="5876" width="18.42578125" style="58" bestFit="1" customWidth="1"/>
    <col min="5877" max="5877" width="14.85546875" style="58" bestFit="1" customWidth="1"/>
    <col min="5878" max="5878" width="18.28515625" style="58" bestFit="1" customWidth="1"/>
    <col min="5879" max="5879" width="18.28515625" style="58" customWidth="1"/>
    <col min="5880" max="5880" width="29" style="58" customWidth="1"/>
    <col min="5881" max="5881" width="21.42578125" style="58" customWidth="1"/>
    <col min="5882" max="5882" width="20.85546875" style="58" customWidth="1"/>
    <col min="5883" max="5883" width="31.42578125" style="58" customWidth="1"/>
    <col min="5884" max="5884" width="23.42578125" style="58" customWidth="1"/>
    <col min="5885" max="5885" width="20.7109375" style="58" customWidth="1"/>
    <col min="5886" max="5886" width="16" style="58" customWidth="1"/>
    <col min="5887" max="5887" width="13.7109375" style="58" customWidth="1"/>
    <col min="5888" max="5888" width="16.28515625" style="58" customWidth="1"/>
    <col min="5889" max="5889" width="14" style="58" bestFit="1" customWidth="1"/>
    <col min="5890" max="5890" width="19.28515625" style="58" bestFit="1" customWidth="1"/>
    <col min="5891" max="5891" width="14.28515625" style="58" bestFit="1" customWidth="1"/>
    <col min="5892" max="5892" width="21.140625" style="58" bestFit="1" customWidth="1"/>
    <col min="5893" max="6123" width="11.42578125" style="58"/>
    <col min="6124" max="6124" width="18.42578125" style="58" customWidth="1"/>
    <col min="6125" max="6125" width="11.7109375" style="58" customWidth="1"/>
    <col min="6126" max="6126" width="11.42578125" style="58"/>
    <col min="6127" max="6127" width="30.85546875" style="58" customWidth="1"/>
    <col min="6128" max="6128" width="41.28515625" style="58" customWidth="1"/>
    <col min="6129" max="6129" width="14.85546875" style="58" bestFit="1" customWidth="1"/>
    <col min="6130" max="6130" width="23.7109375" style="58" bestFit="1" customWidth="1"/>
    <col min="6131" max="6131" width="14.85546875" style="58" customWidth="1"/>
    <col min="6132" max="6132" width="18.42578125" style="58" bestFit="1" customWidth="1"/>
    <col min="6133" max="6133" width="14.85546875" style="58" bestFit="1" customWidth="1"/>
    <col min="6134" max="6134" width="18.28515625" style="58" bestFit="1" customWidth="1"/>
    <col min="6135" max="6135" width="18.28515625" style="58" customWidth="1"/>
    <col min="6136" max="6136" width="29" style="58" customWidth="1"/>
    <col min="6137" max="6137" width="21.42578125" style="58" customWidth="1"/>
    <col min="6138" max="6138" width="20.85546875" style="58" customWidth="1"/>
    <col min="6139" max="6139" width="31.42578125" style="58" customWidth="1"/>
    <col min="6140" max="6140" width="23.42578125" style="58" customWidth="1"/>
    <col min="6141" max="6141" width="20.7109375" style="58" customWidth="1"/>
    <col min="6142" max="6142" width="16" style="58" customWidth="1"/>
    <col min="6143" max="6143" width="13.7109375" style="58" customWidth="1"/>
    <col min="6144" max="6144" width="16.28515625" style="58" customWidth="1"/>
    <col min="6145" max="6145" width="14" style="58" bestFit="1" customWidth="1"/>
    <col min="6146" max="6146" width="19.28515625" style="58" bestFit="1" customWidth="1"/>
    <col min="6147" max="6147" width="14.28515625" style="58" bestFit="1" customWidth="1"/>
    <col min="6148" max="6148" width="21.140625" style="58" bestFit="1" customWidth="1"/>
    <col min="6149" max="6379" width="11.42578125" style="58"/>
    <col min="6380" max="6380" width="18.42578125" style="58" customWidth="1"/>
    <col min="6381" max="6381" width="11.7109375" style="58" customWidth="1"/>
    <col min="6382" max="6382" width="11.42578125" style="58"/>
    <col min="6383" max="6383" width="30.85546875" style="58" customWidth="1"/>
    <col min="6384" max="6384" width="41.28515625" style="58" customWidth="1"/>
    <col min="6385" max="6385" width="14.85546875" style="58" bestFit="1" customWidth="1"/>
    <col min="6386" max="6386" width="23.7109375" style="58" bestFit="1" customWidth="1"/>
    <col min="6387" max="6387" width="14.85546875" style="58" customWidth="1"/>
    <col min="6388" max="6388" width="18.42578125" style="58" bestFit="1" customWidth="1"/>
    <col min="6389" max="6389" width="14.85546875" style="58" bestFit="1" customWidth="1"/>
    <col min="6390" max="6390" width="18.28515625" style="58" bestFit="1" customWidth="1"/>
    <col min="6391" max="6391" width="18.28515625" style="58" customWidth="1"/>
    <col min="6392" max="6392" width="29" style="58" customWidth="1"/>
    <col min="6393" max="6393" width="21.42578125" style="58" customWidth="1"/>
    <col min="6394" max="6394" width="20.85546875" style="58" customWidth="1"/>
    <col min="6395" max="6395" width="31.42578125" style="58" customWidth="1"/>
    <col min="6396" max="6396" width="23.42578125" style="58" customWidth="1"/>
    <col min="6397" max="6397" width="20.7109375" style="58" customWidth="1"/>
    <col min="6398" max="6398" width="16" style="58" customWidth="1"/>
    <col min="6399" max="6399" width="13.7109375" style="58" customWidth="1"/>
    <col min="6400" max="6400" width="16.28515625" style="58" customWidth="1"/>
    <col min="6401" max="6401" width="14" style="58" bestFit="1" customWidth="1"/>
    <col min="6402" max="6402" width="19.28515625" style="58" bestFit="1" customWidth="1"/>
    <col min="6403" max="6403" width="14.28515625" style="58" bestFit="1" customWidth="1"/>
    <col min="6404" max="6404" width="21.140625" style="58" bestFit="1" customWidth="1"/>
    <col min="6405" max="6635" width="11.42578125" style="58"/>
    <col min="6636" max="6636" width="18.42578125" style="58" customWidth="1"/>
    <col min="6637" max="6637" width="11.7109375" style="58" customWidth="1"/>
    <col min="6638" max="6638" width="11.42578125" style="58"/>
    <col min="6639" max="6639" width="30.85546875" style="58" customWidth="1"/>
    <col min="6640" max="6640" width="41.28515625" style="58" customWidth="1"/>
    <col min="6641" max="6641" width="14.85546875" style="58" bestFit="1" customWidth="1"/>
    <col min="6642" max="6642" width="23.7109375" style="58" bestFit="1" customWidth="1"/>
    <col min="6643" max="6643" width="14.85546875" style="58" customWidth="1"/>
    <col min="6644" max="6644" width="18.42578125" style="58" bestFit="1" customWidth="1"/>
    <col min="6645" max="6645" width="14.85546875" style="58" bestFit="1" customWidth="1"/>
    <col min="6646" max="6646" width="18.28515625" style="58" bestFit="1" customWidth="1"/>
    <col min="6647" max="6647" width="18.28515625" style="58" customWidth="1"/>
    <col min="6648" max="6648" width="29" style="58" customWidth="1"/>
    <col min="6649" max="6649" width="21.42578125" style="58" customWidth="1"/>
    <col min="6650" max="6650" width="20.85546875" style="58" customWidth="1"/>
    <col min="6651" max="6651" width="31.42578125" style="58" customWidth="1"/>
    <col min="6652" max="6652" width="23.42578125" style="58" customWidth="1"/>
    <col min="6653" max="6653" width="20.7109375" style="58" customWidth="1"/>
    <col min="6654" max="6654" width="16" style="58" customWidth="1"/>
    <col min="6655" max="6655" width="13.7109375" style="58" customWidth="1"/>
    <col min="6656" max="6656" width="16.28515625" style="58" customWidth="1"/>
    <col min="6657" max="6657" width="14" style="58" bestFit="1" customWidth="1"/>
    <col min="6658" max="6658" width="19.28515625" style="58" bestFit="1" customWidth="1"/>
    <col min="6659" max="6659" width="14.28515625" style="58" bestFit="1" customWidth="1"/>
    <col min="6660" max="6660" width="21.140625" style="58" bestFit="1" customWidth="1"/>
    <col min="6661" max="6891" width="11.42578125" style="58"/>
    <col min="6892" max="6892" width="18.42578125" style="58" customWidth="1"/>
    <col min="6893" max="6893" width="11.7109375" style="58" customWidth="1"/>
    <col min="6894" max="6894" width="11.42578125" style="58"/>
    <col min="6895" max="6895" width="30.85546875" style="58" customWidth="1"/>
    <col min="6896" max="6896" width="41.28515625" style="58" customWidth="1"/>
    <col min="6897" max="6897" width="14.85546875" style="58" bestFit="1" customWidth="1"/>
    <col min="6898" max="6898" width="23.7109375" style="58" bestFit="1" customWidth="1"/>
    <col min="6899" max="6899" width="14.85546875" style="58" customWidth="1"/>
    <col min="6900" max="6900" width="18.42578125" style="58" bestFit="1" customWidth="1"/>
    <col min="6901" max="6901" width="14.85546875" style="58" bestFit="1" customWidth="1"/>
    <col min="6902" max="6902" width="18.28515625" style="58" bestFit="1" customWidth="1"/>
    <col min="6903" max="6903" width="18.28515625" style="58" customWidth="1"/>
    <col min="6904" max="6904" width="29" style="58" customWidth="1"/>
    <col min="6905" max="6905" width="21.42578125" style="58" customWidth="1"/>
    <col min="6906" max="6906" width="20.85546875" style="58" customWidth="1"/>
    <col min="6907" max="6907" width="31.42578125" style="58" customWidth="1"/>
    <col min="6908" max="6908" width="23.42578125" style="58" customWidth="1"/>
    <col min="6909" max="6909" width="20.7109375" style="58" customWidth="1"/>
    <col min="6910" max="6910" width="16" style="58" customWidth="1"/>
    <col min="6911" max="6911" width="13.7109375" style="58" customWidth="1"/>
    <col min="6912" max="6912" width="16.28515625" style="58" customWidth="1"/>
    <col min="6913" max="6913" width="14" style="58" bestFit="1" customWidth="1"/>
    <col min="6914" max="6914" width="19.28515625" style="58" bestFit="1" customWidth="1"/>
    <col min="6915" max="6915" width="14.28515625" style="58" bestFit="1" customWidth="1"/>
    <col min="6916" max="6916" width="21.140625" style="58" bestFit="1" customWidth="1"/>
    <col min="6917" max="7147" width="11.42578125" style="58"/>
    <col min="7148" max="7148" width="18.42578125" style="58" customWidth="1"/>
    <col min="7149" max="7149" width="11.7109375" style="58" customWidth="1"/>
    <col min="7150" max="7150" width="11.42578125" style="58"/>
    <col min="7151" max="7151" width="30.85546875" style="58" customWidth="1"/>
    <col min="7152" max="7152" width="41.28515625" style="58" customWidth="1"/>
    <col min="7153" max="7153" width="14.85546875" style="58" bestFit="1" customWidth="1"/>
    <col min="7154" max="7154" width="23.7109375" style="58" bestFit="1" customWidth="1"/>
    <col min="7155" max="7155" width="14.85546875" style="58" customWidth="1"/>
    <col min="7156" max="7156" width="18.42578125" style="58" bestFit="1" customWidth="1"/>
    <col min="7157" max="7157" width="14.85546875" style="58" bestFit="1" customWidth="1"/>
    <col min="7158" max="7158" width="18.28515625" style="58" bestFit="1" customWidth="1"/>
    <col min="7159" max="7159" width="18.28515625" style="58" customWidth="1"/>
    <col min="7160" max="7160" width="29" style="58" customWidth="1"/>
    <col min="7161" max="7161" width="21.42578125" style="58" customWidth="1"/>
    <col min="7162" max="7162" width="20.85546875" style="58" customWidth="1"/>
    <col min="7163" max="7163" width="31.42578125" style="58" customWidth="1"/>
    <col min="7164" max="7164" width="23.42578125" style="58" customWidth="1"/>
    <col min="7165" max="7165" width="20.7109375" style="58" customWidth="1"/>
    <col min="7166" max="7166" width="16" style="58" customWidth="1"/>
    <col min="7167" max="7167" width="13.7109375" style="58" customWidth="1"/>
    <col min="7168" max="7168" width="16.28515625" style="58" customWidth="1"/>
    <col min="7169" max="7169" width="14" style="58" bestFit="1" customWidth="1"/>
    <col min="7170" max="7170" width="19.28515625" style="58" bestFit="1" customWidth="1"/>
    <col min="7171" max="7171" width="14.28515625" style="58" bestFit="1" customWidth="1"/>
    <col min="7172" max="7172" width="21.140625" style="58" bestFit="1" customWidth="1"/>
    <col min="7173" max="7403" width="11.42578125" style="58"/>
    <col min="7404" max="7404" width="18.42578125" style="58" customWidth="1"/>
    <col min="7405" max="7405" width="11.7109375" style="58" customWidth="1"/>
    <col min="7406" max="7406" width="11.42578125" style="58"/>
    <col min="7407" max="7407" width="30.85546875" style="58" customWidth="1"/>
    <col min="7408" max="7408" width="41.28515625" style="58" customWidth="1"/>
    <col min="7409" max="7409" width="14.85546875" style="58" bestFit="1" customWidth="1"/>
    <col min="7410" max="7410" width="23.7109375" style="58" bestFit="1" customWidth="1"/>
    <col min="7411" max="7411" width="14.85546875" style="58" customWidth="1"/>
    <col min="7412" max="7412" width="18.42578125" style="58" bestFit="1" customWidth="1"/>
    <col min="7413" max="7413" width="14.85546875" style="58" bestFit="1" customWidth="1"/>
    <col min="7414" max="7414" width="18.28515625" style="58" bestFit="1" customWidth="1"/>
    <col min="7415" max="7415" width="18.28515625" style="58" customWidth="1"/>
    <col min="7416" max="7416" width="29" style="58" customWidth="1"/>
    <col min="7417" max="7417" width="21.42578125" style="58" customWidth="1"/>
    <col min="7418" max="7418" width="20.85546875" style="58" customWidth="1"/>
    <col min="7419" max="7419" width="31.42578125" style="58" customWidth="1"/>
    <col min="7420" max="7420" width="23.42578125" style="58" customWidth="1"/>
    <col min="7421" max="7421" width="20.7109375" style="58" customWidth="1"/>
    <col min="7422" max="7422" width="16" style="58" customWidth="1"/>
    <col min="7423" max="7423" width="13.7109375" style="58" customWidth="1"/>
    <col min="7424" max="7424" width="16.28515625" style="58" customWidth="1"/>
    <col min="7425" max="7425" width="14" style="58" bestFit="1" customWidth="1"/>
    <col min="7426" max="7426" width="19.28515625" style="58" bestFit="1" customWidth="1"/>
    <col min="7427" max="7427" width="14.28515625" style="58" bestFit="1" customWidth="1"/>
    <col min="7428" max="7428" width="21.140625" style="58" bestFit="1" customWidth="1"/>
    <col min="7429" max="7659" width="11.42578125" style="58"/>
    <col min="7660" max="7660" width="18.42578125" style="58" customWidth="1"/>
    <col min="7661" max="7661" width="11.7109375" style="58" customWidth="1"/>
    <col min="7662" max="7662" width="11.42578125" style="58"/>
    <col min="7663" max="7663" width="30.85546875" style="58" customWidth="1"/>
    <col min="7664" max="7664" width="41.28515625" style="58" customWidth="1"/>
    <col min="7665" max="7665" width="14.85546875" style="58" bestFit="1" customWidth="1"/>
    <col min="7666" max="7666" width="23.7109375" style="58" bestFit="1" customWidth="1"/>
    <col min="7667" max="7667" width="14.85546875" style="58" customWidth="1"/>
    <col min="7668" max="7668" width="18.42578125" style="58" bestFit="1" customWidth="1"/>
    <col min="7669" max="7669" width="14.85546875" style="58" bestFit="1" customWidth="1"/>
    <col min="7670" max="7670" width="18.28515625" style="58" bestFit="1" customWidth="1"/>
    <col min="7671" max="7671" width="18.28515625" style="58" customWidth="1"/>
    <col min="7672" max="7672" width="29" style="58" customWidth="1"/>
    <col min="7673" max="7673" width="21.42578125" style="58" customWidth="1"/>
    <col min="7674" max="7674" width="20.85546875" style="58" customWidth="1"/>
    <col min="7675" max="7675" width="31.42578125" style="58" customWidth="1"/>
    <col min="7676" max="7676" width="23.42578125" style="58" customWidth="1"/>
    <col min="7677" max="7677" width="20.7109375" style="58" customWidth="1"/>
    <col min="7678" max="7678" width="16" style="58" customWidth="1"/>
    <col min="7679" max="7679" width="13.7109375" style="58" customWidth="1"/>
    <col min="7680" max="7680" width="16.28515625" style="58" customWidth="1"/>
    <col min="7681" max="7681" width="14" style="58" bestFit="1" customWidth="1"/>
    <col min="7682" max="7682" width="19.28515625" style="58" bestFit="1" customWidth="1"/>
    <col min="7683" max="7683" width="14.28515625" style="58" bestFit="1" customWidth="1"/>
    <col min="7684" max="7684" width="21.140625" style="58" bestFit="1" customWidth="1"/>
    <col min="7685" max="7915" width="11.42578125" style="58"/>
    <col min="7916" max="7916" width="18.42578125" style="58" customWidth="1"/>
    <col min="7917" max="7917" width="11.7109375" style="58" customWidth="1"/>
    <col min="7918" max="7918" width="11.42578125" style="58"/>
    <col min="7919" max="7919" width="30.85546875" style="58" customWidth="1"/>
    <col min="7920" max="7920" width="41.28515625" style="58" customWidth="1"/>
    <col min="7921" max="7921" width="14.85546875" style="58" bestFit="1" customWidth="1"/>
    <col min="7922" max="7922" width="23.7109375" style="58" bestFit="1" customWidth="1"/>
    <col min="7923" max="7923" width="14.85546875" style="58" customWidth="1"/>
    <col min="7924" max="7924" width="18.42578125" style="58" bestFit="1" customWidth="1"/>
    <col min="7925" max="7925" width="14.85546875" style="58" bestFit="1" customWidth="1"/>
    <col min="7926" max="7926" width="18.28515625" style="58" bestFit="1" customWidth="1"/>
    <col min="7927" max="7927" width="18.28515625" style="58" customWidth="1"/>
    <col min="7928" max="7928" width="29" style="58" customWidth="1"/>
    <col min="7929" max="7929" width="21.42578125" style="58" customWidth="1"/>
    <col min="7930" max="7930" width="20.85546875" style="58" customWidth="1"/>
    <col min="7931" max="7931" width="31.42578125" style="58" customWidth="1"/>
    <col min="7932" max="7932" width="23.42578125" style="58" customWidth="1"/>
    <col min="7933" max="7933" width="20.7109375" style="58" customWidth="1"/>
    <col min="7934" max="7934" width="16" style="58" customWidth="1"/>
    <col min="7935" max="7935" width="13.7109375" style="58" customWidth="1"/>
    <col min="7936" max="7936" width="16.28515625" style="58" customWidth="1"/>
    <col min="7937" max="7937" width="14" style="58" bestFit="1" customWidth="1"/>
    <col min="7938" max="7938" width="19.28515625" style="58" bestFit="1" customWidth="1"/>
    <col min="7939" max="7939" width="14.28515625" style="58" bestFit="1" customWidth="1"/>
    <col min="7940" max="7940" width="21.140625" style="58" bestFit="1" customWidth="1"/>
    <col min="7941" max="8171" width="11.42578125" style="58"/>
    <col min="8172" max="8172" width="18.42578125" style="58" customWidth="1"/>
    <col min="8173" max="8173" width="11.7109375" style="58" customWidth="1"/>
    <col min="8174" max="8174" width="11.42578125" style="58"/>
    <col min="8175" max="8175" width="30.85546875" style="58" customWidth="1"/>
    <col min="8176" max="8176" width="41.28515625" style="58" customWidth="1"/>
    <col min="8177" max="8177" width="14.85546875" style="58" bestFit="1" customWidth="1"/>
    <col min="8178" max="8178" width="23.7109375" style="58" bestFit="1" customWidth="1"/>
    <col min="8179" max="8179" width="14.85546875" style="58" customWidth="1"/>
    <col min="8180" max="8180" width="18.42578125" style="58" bestFit="1" customWidth="1"/>
    <col min="8181" max="8181" width="14.85546875" style="58" bestFit="1" customWidth="1"/>
    <col min="8182" max="8182" width="18.28515625" style="58" bestFit="1" customWidth="1"/>
    <col min="8183" max="8183" width="18.28515625" style="58" customWidth="1"/>
    <col min="8184" max="8184" width="29" style="58" customWidth="1"/>
    <col min="8185" max="8185" width="21.42578125" style="58" customWidth="1"/>
    <col min="8186" max="8186" width="20.85546875" style="58" customWidth="1"/>
    <col min="8187" max="8187" width="31.42578125" style="58" customWidth="1"/>
    <col min="8188" max="8188" width="23.42578125" style="58" customWidth="1"/>
    <col min="8189" max="8189" width="20.7109375" style="58" customWidth="1"/>
    <col min="8190" max="8190" width="16" style="58" customWidth="1"/>
    <col min="8191" max="8191" width="13.7109375" style="58" customWidth="1"/>
    <col min="8192" max="8192" width="16.28515625" style="58" customWidth="1"/>
    <col min="8193" max="8193" width="14" style="58" bestFit="1" customWidth="1"/>
    <col min="8194" max="8194" width="19.28515625" style="58" bestFit="1" customWidth="1"/>
    <col min="8195" max="8195" width="14.28515625" style="58" bestFit="1" customWidth="1"/>
    <col min="8196" max="8196" width="21.140625" style="58" bestFit="1" customWidth="1"/>
    <col min="8197" max="8427" width="11.42578125" style="58"/>
    <col min="8428" max="8428" width="18.42578125" style="58" customWidth="1"/>
    <col min="8429" max="8429" width="11.7109375" style="58" customWidth="1"/>
    <col min="8430" max="8430" width="11.42578125" style="58"/>
    <col min="8431" max="8431" width="30.85546875" style="58" customWidth="1"/>
    <col min="8432" max="8432" width="41.28515625" style="58" customWidth="1"/>
    <col min="8433" max="8433" width="14.85546875" style="58" bestFit="1" customWidth="1"/>
    <col min="8434" max="8434" width="23.7109375" style="58" bestFit="1" customWidth="1"/>
    <col min="8435" max="8435" width="14.85546875" style="58" customWidth="1"/>
    <col min="8436" max="8436" width="18.42578125" style="58" bestFit="1" customWidth="1"/>
    <col min="8437" max="8437" width="14.85546875" style="58" bestFit="1" customWidth="1"/>
    <col min="8438" max="8438" width="18.28515625" style="58" bestFit="1" customWidth="1"/>
    <col min="8439" max="8439" width="18.28515625" style="58" customWidth="1"/>
    <col min="8440" max="8440" width="29" style="58" customWidth="1"/>
    <col min="8441" max="8441" width="21.42578125" style="58" customWidth="1"/>
    <col min="8442" max="8442" width="20.85546875" style="58" customWidth="1"/>
    <col min="8443" max="8443" width="31.42578125" style="58" customWidth="1"/>
    <col min="8444" max="8444" width="23.42578125" style="58" customWidth="1"/>
    <col min="8445" max="8445" width="20.7109375" style="58" customWidth="1"/>
    <col min="8446" max="8446" width="16" style="58" customWidth="1"/>
    <col min="8447" max="8447" width="13.7109375" style="58" customWidth="1"/>
    <col min="8448" max="8448" width="16.28515625" style="58" customWidth="1"/>
    <col min="8449" max="8449" width="14" style="58" bestFit="1" customWidth="1"/>
    <col min="8450" max="8450" width="19.28515625" style="58" bestFit="1" customWidth="1"/>
    <col min="8451" max="8451" width="14.28515625" style="58" bestFit="1" customWidth="1"/>
    <col min="8452" max="8452" width="21.140625" style="58" bestFit="1" customWidth="1"/>
    <col min="8453" max="8683" width="11.42578125" style="58"/>
    <col min="8684" max="8684" width="18.42578125" style="58" customWidth="1"/>
    <col min="8685" max="8685" width="11.7109375" style="58" customWidth="1"/>
    <col min="8686" max="8686" width="11.42578125" style="58"/>
    <col min="8687" max="8687" width="30.85546875" style="58" customWidth="1"/>
    <col min="8688" max="8688" width="41.28515625" style="58" customWidth="1"/>
    <col min="8689" max="8689" width="14.85546875" style="58" bestFit="1" customWidth="1"/>
    <col min="8690" max="8690" width="23.7109375" style="58" bestFit="1" customWidth="1"/>
    <col min="8691" max="8691" width="14.85546875" style="58" customWidth="1"/>
    <col min="8692" max="8692" width="18.42578125" style="58" bestFit="1" customWidth="1"/>
    <col min="8693" max="8693" width="14.85546875" style="58" bestFit="1" customWidth="1"/>
    <col min="8694" max="8694" width="18.28515625" style="58" bestFit="1" customWidth="1"/>
    <col min="8695" max="8695" width="18.28515625" style="58" customWidth="1"/>
    <col min="8696" max="8696" width="29" style="58" customWidth="1"/>
    <col min="8697" max="8697" width="21.42578125" style="58" customWidth="1"/>
    <col min="8698" max="8698" width="20.85546875" style="58" customWidth="1"/>
    <col min="8699" max="8699" width="31.42578125" style="58" customWidth="1"/>
    <col min="8700" max="8700" width="23.42578125" style="58" customWidth="1"/>
    <col min="8701" max="8701" width="20.7109375" style="58" customWidth="1"/>
    <col min="8702" max="8702" width="16" style="58" customWidth="1"/>
    <col min="8703" max="8703" width="13.7109375" style="58" customWidth="1"/>
    <col min="8704" max="8704" width="16.28515625" style="58" customWidth="1"/>
    <col min="8705" max="8705" width="14" style="58" bestFit="1" customWidth="1"/>
    <col min="8706" max="8706" width="19.28515625" style="58" bestFit="1" customWidth="1"/>
    <col min="8707" max="8707" width="14.28515625" style="58" bestFit="1" customWidth="1"/>
    <col min="8708" max="8708" width="21.140625" style="58" bestFit="1" customWidth="1"/>
    <col min="8709" max="8939" width="11.42578125" style="58"/>
    <col min="8940" max="8940" width="18.42578125" style="58" customWidth="1"/>
    <col min="8941" max="8941" width="11.7109375" style="58" customWidth="1"/>
    <col min="8942" max="8942" width="11.42578125" style="58"/>
    <col min="8943" max="8943" width="30.85546875" style="58" customWidth="1"/>
    <col min="8944" max="8944" width="41.28515625" style="58" customWidth="1"/>
    <col min="8945" max="8945" width="14.85546875" style="58" bestFit="1" customWidth="1"/>
    <col min="8946" max="8946" width="23.7109375" style="58" bestFit="1" customWidth="1"/>
    <col min="8947" max="8947" width="14.85546875" style="58" customWidth="1"/>
    <col min="8948" max="8948" width="18.42578125" style="58" bestFit="1" customWidth="1"/>
    <col min="8949" max="8949" width="14.85546875" style="58" bestFit="1" customWidth="1"/>
    <col min="8950" max="8950" width="18.28515625" style="58" bestFit="1" customWidth="1"/>
    <col min="8951" max="8951" width="18.28515625" style="58" customWidth="1"/>
    <col min="8952" max="8952" width="29" style="58" customWidth="1"/>
    <col min="8953" max="8953" width="21.42578125" style="58" customWidth="1"/>
    <col min="8954" max="8954" width="20.85546875" style="58" customWidth="1"/>
    <col min="8955" max="8955" width="31.42578125" style="58" customWidth="1"/>
    <col min="8956" max="8956" width="23.42578125" style="58" customWidth="1"/>
    <col min="8957" max="8957" width="20.7109375" style="58" customWidth="1"/>
    <col min="8958" max="8958" width="16" style="58" customWidth="1"/>
    <col min="8959" max="8959" width="13.7109375" style="58" customWidth="1"/>
    <col min="8960" max="8960" width="16.28515625" style="58" customWidth="1"/>
    <col min="8961" max="8961" width="14" style="58" bestFit="1" customWidth="1"/>
    <col min="8962" max="8962" width="19.28515625" style="58" bestFit="1" customWidth="1"/>
    <col min="8963" max="8963" width="14.28515625" style="58" bestFit="1" customWidth="1"/>
    <col min="8964" max="8964" width="21.140625" style="58" bestFit="1" customWidth="1"/>
    <col min="8965" max="9195" width="11.42578125" style="58"/>
    <col min="9196" max="9196" width="18.42578125" style="58" customWidth="1"/>
    <col min="9197" max="9197" width="11.7109375" style="58" customWidth="1"/>
    <col min="9198" max="9198" width="11.42578125" style="58"/>
    <col min="9199" max="9199" width="30.85546875" style="58" customWidth="1"/>
    <col min="9200" max="9200" width="41.28515625" style="58" customWidth="1"/>
    <col min="9201" max="9201" width="14.85546875" style="58" bestFit="1" customWidth="1"/>
    <col min="9202" max="9202" width="23.7109375" style="58" bestFit="1" customWidth="1"/>
    <col min="9203" max="9203" width="14.85546875" style="58" customWidth="1"/>
    <col min="9204" max="9204" width="18.42578125" style="58" bestFit="1" customWidth="1"/>
    <col min="9205" max="9205" width="14.85546875" style="58" bestFit="1" customWidth="1"/>
    <col min="9206" max="9206" width="18.28515625" style="58" bestFit="1" customWidth="1"/>
    <col min="9207" max="9207" width="18.28515625" style="58" customWidth="1"/>
    <col min="9208" max="9208" width="29" style="58" customWidth="1"/>
    <col min="9209" max="9209" width="21.42578125" style="58" customWidth="1"/>
    <col min="9210" max="9210" width="20.85546875" style="58" customWidth="1"/>
    <col min="9211" max="9211" width="31.42578125" style="58" customWidth="1"/>
    <col min="9212" max="9212" width="23.42578125" style="58" customWidth="1"/>
    <col min="9213" max="9213" width="20.7109375" style="58" customWidth="1"/>
    <col min="9214" max="9214" width="16" style="58" customWidth="1"/>
    <col min="9215" max="9215" width="13.7109375" style="58" customWidth="1"/>
    <col min="9216" max="9216" width="16.28515625" style="58" customWidth="1"/>
    <col min="9217" max="9217" width="14" style="58" bestFit="1" customWidth="1"/>
    <col min="9218" max="9218" width="19.28515625" style="58" bestFit="1" customWidth="1"/>
    <col min="9219" max="9219" width="14.28515625" style="58" bestFit="1" customWidth="1"/>
    <col min="9220" max="9220" width="21.140625" style="58" bestFit="1" customWidth="1"/>
    <col min="9221" max="9451" width="11.42578125" style="58"/>
    <col min="9452" max="9452" width="18.42578125" style="58" customWidth="1"/>
    <col min="9453" max="9453" width="11.7109375" style="58" customWidth="1"/>
    <col min="9454" max="9454" width="11.42578125" style="58"/>
    <col min="9455" max="9455" width="30.85546875" style="58" customWidth="1"/>
    <col min="9456" max="9456" width="41.28515625" style="58" customWidth="1"/>
    <col min="9457" max="9457" width="14.85546875" style="58" bestFit="1" customWidth="1"/>
    <col min="9458" max="9458" width="23.7109375" style="58" bestFit="1" customWidth="1"/>
    <col min="9459" max="9459" width="14.85546875" style="58" customWidth="1"/>
    <col min="9460" max="9460" width="18.42578125" style="58" bestFit="1" customWidth="1"/>
    <col min="9461" max="9461" width="14.85546875" style="58" bestFit="1" customWidth="1"/>
    <col min="9462" max="9462" width="18.28515625" style="58" bestFit="1" customWidth="1"/>
    <col min="9463" max="9463" width="18.28515625" style="58" customWidth="1"/>
    <col min="9464" max="9464" width="29" style="58" customWidth="1"/>
    <col min="9465" max="9465" width="21.42578125" style="58" customWidth="1"/>
    <col min="9466" max="9466" width="20.85546875" style="58" customWidth="1"/>
    <col min="9467" max="9467" width="31.42578125" style="58" customWidth="1"/>
    <col min="9468" max="9468" width="23.42578125" style="58" customWidth="1"/>
    <col min="9469" max="9469" width="20.7109375" style="58" customWidth="1"/>
    <col min="9470" max="9470" width="16" style="58" customWidth="1"/>
    <col min="9471" max="9471" width="13.7109375" style="58" customWidth="1"/>
    <col min="9472" max="9472" width="16.28515625" style="58" customWidth="1"/>
    <col min="9473" max="9473" width="14" style="58" bestFit="1" customWidth="1"/>
    <col min="9474" max="9474" width="19.28515625" style="58" bestFit="1" customWidth="1"/>
    <col min="9475" max="9475" width="14.28515625" style="58" bestFit="1" customWidth="1"/>
    <col min="9476" max="9476" width="21.140625" style="58" bestFit="1" customWidth="1"/>
    <col min="9477" max="9707" width="11.42578125" style="58"/>
    <col min="9708" max="9708" width="18.42578125" style="58" customWidth="1"/>
    <col min="9709" max="9709" width="11.7109375" style="58" customWidth="1"/>
    <col min="9710" max="9710" width="11.42578125" style="58"/>
    <col min="9711" max="9711" width="30.85546875" style="58" customWidth="1"/>
    <col min="9712" max="9712" width="41.28515625" style="58" customWidth="1"/>
    <col min="9713" max="9713" width="14.85546875" style="58" bestFit="1" customWidth="1"/>
    <col min="9714" max="9714" width="23.7109375" style="58" bestFit="1" customWidth="1"/>
    <col min="9715" max="9715" width="14.85546875" style="58" customWidth="1"/>
    <col min="9716" max="9716" width="18.42578125" style="58" bestFit="1" customWidth="1"/>
    <col min="9717" max="9717" width="14.85546875" style="58" bestFit="1" customWidth="1"/>
    <col min="9718" max="9718" width="18.28515625" style="58" bestFit="1" customWidth="1"/>
    <col min="9719" max="9719" width="18.28515625" style="58" customWidth="1"/>
    <col min="9720" max="9720" width="29" style="58" customWidth="1"/>
    <col min="9721" max="9721" width="21.42578125" style="58" customWidth="1"/>
    <col min="9722" max="9722" width="20.85546875" style="58" customWidth="1"/>
    <col min="9723" max="9723" width="31.42578125" style="58" customWidth="1"/>
    <col min="9724" max="9724" width="23.42578125" style="58" customWidth="1"/>
    <col min="9725" max="9725" width="20.7109375" style="58" customWidth="1"/>
    <col min="9726" max="9726" width="16" style="58" customWidth="1"/>
    <col min="9727" max="9727" width="13.7109375" style="58" customWidth="1"/>
    <col min="9728" max="9728" width="16.28515625" style="58" customWidth="1"/>
    <col min="9729" max="9729" width="14" style="58" bestFit="1" customWidth="1"/>
    <col min="9730" max="9730" width="19.28515625" style="58" bestFit="1" customWidth="1"/>
    <col min="9731" max="9731" width="14.28515625" style="58" bestFit="1" customWidth="1"/>
    <col min="9732" max="9732" width="21.140625" style="58" bestFit="1" customWidth="1"/>
    <col min="9733" max="9963" width="11.42578125" style="58"/>
    <col min="9964" max="9964" width="18.42578125" style="58" customWidth="1"/>
    <col min="9965" max="9965" width="11.7109375" style="58" customWidth="1"/>
    <col min="9966" max="9966" width="11.42578125" style="58"/>
    <col min="9967" max="9967" width="30.85546875" style="58" customWidth="1"/>
    <col min="9968" max="9968" width="41.28515625" style="58" customWidth="1"/>
    <col min="9969" max="9969" width="14.85546875" style="58" bestFit="1" customWidth="1"/>
    <col min="9970" max="9970" width="23.7109375" style="58" bestFit="1" customWidth="1"/>
    <col min="9971" max="9971" width="14.85546875" style="58" customWidth="1"/>
    <col min="9972" max="9972" width="18.42578125" style="58" bestFit="1" customWidth="1"/>
    <col min="9973" max="9973" width="14.85546875" style="58" bestFit="1" customWidth="1"/>
    <col min="9974" max="9974" width="18.28515625" style="58" bestFit="1" customWidth="1"/>
    <col min="9975" max="9975" width="18.28515625" style="58" customWidth="1"/>
    <col min="9976" max="9976" width="29" style="58" customWidth="1"/>
    <col min="9977" max="9977" width="21.42578125" style="58" customWidth="1"/>
    <col min="9978" max="9978" width="20.85546875" style="58" customWidth="1"/>
    <col min="9979" max="9979" width="31.42578125" style="58" customWidth="1"/>
    <col min="9980" max="9980" width="23.42578125" style="58" customWidth="1"/>
    <col min="9981" max="9981" width="20.7109375" style="58" customWidth="1"/>
    <col min="9982" max="9982" width="16" style="58" customWidth="1"/>
    <col min="9983" max="9983" width="13.7109375" style="58" customWidth="1"/>
    <col min="9984" max="9984" width="16.28515625" style="58" customWidth="1"/>
    <col min="9985" max="9985" width="14" style="58" bestFit="1" customWidth="1"/>
    <col min="9986" max="9986" width="19.28515625" style="58" bestFit="1" customWidth="1"/>
    <col min="9987" max="9987" width="14.28515625" style="58" bestFit="1" customWidth="1"/>
    <col min="9988" max="9988" width="21.140625" style="58" bestFit="1" customWidth="1"/>
    <col min="9989" max="10219" width="11.42578125" style="58"/>
    <col min="10220" max="10220" width="18.42578125" style="58" customWidth="1"/>
    <col min="10221" max="10221" width="11.7109375" style="58" customWidth="1"/>
    <col min="10222" max="10222" width="11.42578125" style="58"/>
    <col min="10223" max="10223" width="30.85546875" style="58" customWidth="1"/>
    <col min="10224" max="10224" width="41.28515625" style="58" customWidth="1"/>
    <col min="10225" max="10225" width="14.85546875" style="58" bestFit="1" customWidth="1"/>
    <col min="10226" max="10226" width="23.7109375" style="58" bestFit="1" customWidth="1"/>
    <col min="10227" max="10227" width="14.85546875" style="58" customWidth="1"/>
    <col min="10228" max="10228" width="18.42578125" style="58" bestFit="1" customWidth="1"/>
    <col min="10229" max="10229" width="14.85546875" style="58" bestFit="1" customWidth="1"/>
    <col min="10230" max="10230" width="18.28515625" style="58" bestFit="1" customWidth="1"/>
    <col min="10231" max="10231" width="18.28515625" style="58" customWidth="1"/>
    <col min="10232" max="10232" width="29" style="58" customWidth="1"/>
    <col min="10233" max="10233" width="21.42578125" style="58" customWidth="1"/>
    <col min="10234" max="10234" width="20.85546875" style="58" customWidth="1"/>
    <col min="10235" max="10235" width="31.42578125" style="58" customWidth="1"/>
    <col min="10236" max="10236" width="23.42578125" style="58" customWidth="1"/>
    <col min="10237" max="10237" width="20.7109375" style="58" customWidth="1"/>
    <col min="10238" max="10238" width="16" style="58" customWidth="1"/>
    <col min="10239" max="10239" width="13.7109375" style="58" customWidth="1"/>
    <col min="10240" max="10240" width="16.28515625" style="58" customWidth="1"/>
    <col min="10241" max="10241" width="14" style="58" bestFit="1" customWidth="1"/>
    <col min="10242" max="10242" width="19.28515625" style="58" bestFit="1" customWidth="1"/>
    <col min="10243" max="10243" width="14.28515625" style="58" bestFit="1" customWidth="1"/>
    <col min="10244" max="10244" width="21.140625" style="58" bestFit="1" customWidth="1"/>
    <col min="10245" max="10475" width="11.42578125" style="58"/>
    <col min="10476" max="10476" width="18.42578125" style="58" customWidth="1"/>
    <col min="10477" max="10477" width="11.7109375" style="58" customWidth="1"/>
    <col min="10478" max="10478" width="11.42578125" style="58"/>
    <col min="10479" max="10479" width="30.85546875" style="58" customWidth="1"/>
    <col min="10480" max="10480" width="41.28515625" style="58" customWidth="1"/>
    <col min="10481" max="10481" width="14.85546875" style="58" bestFit="1" customWidth="1"/>
    <col min="10482" max="10482" width="23.7109375" style="58" bestFit="1" customWidth="1"/>
    <col min="10483" max="10483" width="14.85546875" style="58" customWidth="1"/>
    <col min="10484" max="10484" width="18.42578125" style="58" bestFit="1" customWidth="1"/>
    <col min="10485" max="10485" width="14.85546875" style="58" bestFit="1" customWidth="1"/>
    <col min="10486" max="10486" width="18.28515625" style="58" bestFit="1" customWidth="1"/>
    <col min="10487" max="10487" width="18.28515625" style="58" customWidth="1"/>
    <col min="10488" max="10488" width="29" style="58" customWidth="1"/>
    <col min="10489" max="10489" width="21.42578125" style="58" customWidth="1"/>
    <col min="10490" max="10490" width="20.85546875" style="58" customWidth="1"/>
    <col min="10491" max="10491" width="31.42578125" style="58" customWidth="1"/>
    <col min="10492" max="10492" width="23.42578125" style="58" customWidth="1"/>
    <col min="10493" max="10493" width="20.7109375" style="58" customWidth="1"/>
    <col min="10494" max="10494" width="16" style="58" customWidth="1"/>
    <col min="10495" max="10495" width="13.7109375" style="58" customWidth="1"/>
    <col min="10496" max="10496" width="16.28515625" style="58" customWidth="1"/>
    <col min="10497" max="10497" width="14" style="58" bestFit="1" customWidth="1"/>
    <col min="10498" max="10498" width="19.28515625" style="58" bestFit="1" customWidth="1"/>
    <col min="10499" max="10499" width="14.28515625" style="58" bestFit="1" customWidth="1"/>
    <col min="10500" max="10500" width="21.140625" style="58" bestFit="1" customWidth="1"/>
    <col min="10501" max="10731" width="11.42578125" style="58"/>
    <col min="10732" max="10732" width="18.42578125" style="58" customWidth="1"/>
    <col min="10733" max="10733" width="11.7109375" style="58" customWidth="1"/>
    <col min="10734" max="10734" width="11.42578125" style="58"/>
    <col min="10735" max="10735" width="30.85546875" style="58" customWidth="1"/>
    <col min="10736" max="10736" width="41.28515625" style="58" customWidth="1"/>
    <col min="10737" max="10737" width="14.85546875" style="58" bestFit="1" customWidth="1"/>
    <col min="10738" max="10738" width="23.7109375" style="58" bestFit="1" customWidth="1"/>
    <col min="10739" max="10739" width="14.85546875" style="58" customWidth="1"/>
    <col min="10740" max="10740" width="18.42578125" style="58" bestFit="1" customWidth="1"/>
    <col min="10741" max="10741" width="14.85546875" style="58" bestFit="1" customWidth="1"/>
    <col min="10742" max="10742" width="18.28515625" style="58" bestFit="1" customWidth="1"/>
    <col min="10743" max="10743" width="18.28515625" style="58" customWidth="1"/>
    <col min="10744" max="10744" width="29" style="58" customWidth="1"/>
    <col min="10745" max="10745" width="21.42578125" style="58" customWidth="1"/>
    <col min="10746" max="10746" width="20.85546875" style="58" customWidth="1"/>
    <col min="10747" max="10747" width="31.42578125" style="58" customWidth="1"/>
    <col min="10748" max="10748" width="23.42578125" style="58" customWidth="1"/>
    <col min="10749" max="10749" width="20.7109375" style="58" customWidth="1"/>
    <col min="10750" max="10750" width="16" style="58" customWidth="1"/>
    <col min="10751" max="10751" width="13.7109375" style="58" customWidth="1"/>
    <col min="10752" max="10752" width="16.28515625" style="58" customWidth="1"/>
    <col min="10753" max="10753" width="14" style="58" bestFit="1" customWidth="1"/>
    <col min="10754" max="10754" width="19.28515625" style="58" bestFit="1" customWidth="1"/>
    <col min="10755" max="10755" width="14.28515625" style="58" bestFit="1" customWidth="1"/>
    <col min="10756" max="10756" width="21.140625" style="58" bestFit="1" customWidth="1"/>
    <col min="10757" max="10987" width="11.42578125" style="58"/>
    <col min="10988" max="10988" width="18.42578125" style="58" customWidth="1"/>
    <col min="10989" max="10989" width="11.7109375" style="58" customWidth="1"/>
    <col min="10990" max="10990" width="11.42578125" style="58"/>
    <col min="10991" max="10991" width="30.85546875" style="58" customWidth="1"/>
    <col min="10992" max="10992" width="41.28515625" style="58" customWidth="1"/>
    <col min="10993" max="10993" width="14.85546875" style="58" bestFit="1" customWidth="1"/>
    <col min="10994" max="10994" width="23.7109375" style="58" bestFit="1" customWidth="1"/>
    <col min="10995" max="10995" width="14.85546875" style="58" customWidth="1"/>
    <col min="10996" max="10996" width="18.42578125" style="58" bestFit="1" customWidth="1"/>
    <col min="10997" max="10997" width="14.85546875" style="58" bestFit="1" customWidth="1"/>
    <col min="10998" max="10998" width="18.28515625" style="58" bestFit="1" customWidth="1"/>
    <col min="10999" max="10999" width="18.28515625" style="58" customWidth="1"/>
    <col min="11000" max="11000" width="29" style="58" customWidth="1"/>
    <col min="11001" max="11001" width="21.42578125" style="58" customWidth="1"/>
    <col min="11002" max="11002" width="20.85546875" style="58" customWidth="1"/>
    <col min="11003" max="11003" width="31.42578125" style="58" customWidth="1"/>
    <col min="11004" max="11004" width="23.42578125" style="58" customWidth="1"/>
    <col min="11005" max="11005" width="20.7109375" style="58" customWidth="1"/>
    <col min="11006" max="11006" width="16" style="58" customWidth="1"/>
    <col min="11007" max="11007" width="13.7109375" style="58" customWidth="1"/>
    <col min="11008" max="11008" width="16.28515625" style="58" customWidth="1"/>
    <col min="11009" max="11009" width="14" style="58" bestFit="1" customWidth="1"/>
    <col min="11010" max="11010" width="19.28515625" style="58" bestFit="1" customWidth="1"/>
    <col min="11011" max="11011" width="14.28515625" style="58" bestFit="1" customWidth="1"/>
    <col min="11012" max="11012" width="21.140625" style="58" bestFit="1" customWidth="1"/>
    <col min="11013" max="11243" width="11.42578125" style="58"/>
    <col min="11244" max="11244" width="18.42578125" style="58" customWidth="1"/>
    <col min="11245" max="11245" width="11.7109375" style="58" customWidth="1"/>
    <col min="11246" max="11246" width="11.42578125" style="58"/>
    <col min="11247" max="11247" width="30.85546875" style="58" customWidth="1"/>
    <col min="11248" max="11248" width="41.28515625" style="58" customWidth="1"/>
    <col min="11249" max="11249" width="14.85546875" style="58" bestFit="1" customWidth="1"/>
    <col min="11250" max="11250" width="23.7109375" style="58" bestFit="1" customWidth="1"/>
    <col min="11251" max="11251" width="14.85546875" style="58" customWidth="1"/>
    <col min="11252" max="11252" width="18.42578125" style="58" bestFit="1" customWidth="1"/>
    <col min="11253" max="11253" width="14.85546875" style="58" bestFit="1" customWidth="1"/>
    <col min="11254" max="11254" width="18.28515625" style="58" bestFit="1" customWidth="1"/>
    <col min="11255" max="11255" width="18.28515625" style="58" customWidth="1"/>
    <col min="11256" max="11256" width="29" style="58" customWidth="1"/>
    <col min="11257" max="11257" width="21.42578125" style="58" customWidth="1"/>
    <col min="11258" max="11258" width="20.85546875" style="58" customWidth="1"/>
    <col min="11259" max="11259" width="31.42578125" style="58" customWidth="1"/>
    <col min="11260" max="11260" width="23.42578125" style="58" customWidth="1"/>
    <col min="11261" max="11261" width="20.7109375" style="58" customWidth="1"/>
    <col min="11262" max="11262" width="16" style="58" customWidth="1"/>
    <col min="11263" max="11263" width="13.7109375" style="58" customWidth="1"/>
    <col min="11264" max="11264" width="16.28515625" style="58" customWidth="1"/>
    <col min="11265" max="11265" width="14" style="58" bestFit="1" customWidth="1"/>
    <col min="11266" max="11266" width="19.28515625" style="58" bestFit="1" customWidth="1"/>
    <col min="11267" max="11267" width="14.28515625" style="58" bestFit="1" customWidth="1"/>
    <col min="11268" max="11268" width="21.140625" style="58" bestFit="1" customWidth="1"/>
    <col min="11269" max="11499" width="11.42578125" style="58"/>
    <col min="11500" max="11500" width="18.42578125" style="58" customWidth="1"/>
    <col min="11501" max="11501" width="11.7109375" style="58" customWidth="1"/>
    <col min="11502" max="11502" width="11.42578125" style="58"/>
    <col min="11503" max="11503" width="30.85546875" style="58" customWidth="1"/>
    <col min="11504" max="11504" width="41.28515625" style="58" customWidth="1"/>
    <col min="11505" max="11505" width="14.85546875" style="58" bestFit="1" customWidth="1"/>
    <col min="11506" max="11506" width="23.7109375" style="58" bestFit="1" customWidth="1"/>
    <col min="11507" max="11507" width="14.85546875" style="58" customWidth="1"/>
    <col min="11508" max="11508" width="18.42578125" style="58" bestFit="1" customWidth="1"/>
    <col min="11509" max="11509" width="14.85546875" style="58" bestFit="1" customWidth="1"/>
    <col min="11510" max="11510" width="18.28515625" style="58" bestFit="1" customWidth="1"/>
    <col min="11511" max="11511" width="18.28515625" style="58" customWidth="1"/>
    <col min="11512" max="11512" width="29" style="58" customWidth="1"/>
    <col min="11513" max="11513" width="21.42578125" style="58" customWidth="1"/>
    <col min="11514" max="11514" width="20.85546875" style="58" customWidth="1"/>
    <col min="11515" max="11515" width="31.42578125" style="58" customWidth="1"/>
    <col min="11516" max="11516" width="23.42578125" style="58" customWidth="1"/>
    <col min="11517" max="11517" width="20.7109375" style="58" customWidth="1"/>
    <col min="11518" max="11518" width="16" style="58" customWidth="1"/>
    <col min="11519" max="11519" width="13.7109375" style="58" customWidth="1"/>
    <col min="11520" max="11520" width="16.28515625" style="58" customWidth="1"/>
    <col min="11521" max="11521" width="14" style="58" bestFit="1" customWidth="1"/>
    <col min="11522" max="11522" width="19.28515625" style="58" bestFit="1" customWidth="1"/>
    <col min="11523" max="11523" width="14.28515625" style="58" bestFit="1" customWidth="1"/>
    <col min="11524" max="11524" width="21.140625" style="58" bestFit="1" customWidth="1"/>
    <col min="11525" max="11755" width="11.42578125" style="58"/>
    <col min="11756" max="11756" width="18.42578125" style="58" customWidth="1"/>
    <col min="11757" max="11757" width="11.7109375" style="58" customWidth="1"/>
    <col min="11758" max="11758" width="11.42578125" style="58"/>
    <col min="11759" max="11759" width="30.85546875" style="58" customWidth="1"/>
    <col min="11760" max="11760" width="41.28515625" style="58" customWidth="1"/>
    <col min="11761" max="11761" width="14.85546875" style="58" bestFit="1" customWidth="1"/>
    <col min="11762" max="11762" width="23.7109375" style="58" bestFit="1" customWidth="1"/>
    <col min="11763" max="11763" width="14.85546875" style="58" customWidth="1"/>
    <col min="11764" max="11764" width="18.42578125" style="58" bestFit="1" customWidth="1"/>
    <col min="11765" max="11765" width="14.85546875" style="58" bestFit="1" customWidth="1"/>
    <col min="11766" max="11766" width="18.28515625" style="58" bestFit="1" customWidth="1"/>
    <col min="11767" max="11767" width="18.28515625" style="58" customWidth="1"/>
    <col min="11768" max="11768" width="29" style="58" customWidth="1"/>
    <col min="11769" max="11769" width="21.42578125" style="58" customWidth="1"/>
    <col min="11770" max="11770" width="20.85546875" style="58" customWidth="1"/>
    <col min="11771" max="11771" width="31.42578125" style="58" customWidth="1"/>
    <col min="11772" max="11772" width="23.42578125" style="58" customWidth="1"/>
    <col min="11773" max="11773" width="20.7109375" style="58" customWidth="1"/>
    <col min="11774" max="11774" width="16" style="58" customWidth="1"/>
    <col min="11775" max="11775" width="13.7109375" style="58" customWidth="1"/>
    <col min="11776" max="11776" width="16.28515625" style="58" customWidth="1"/>
    <col min="11777" max="11777" width="14" style="58" bestFit="1" customWidth="1"/>
    <col min="11778" max="11778" width="19.28515625" style="58" bestFit="1" customWidth="1"/>
    <col min="11779" max="11779" width="14.28515625" style="58" bestFit="1" customWidth="1"/>
    <col min="11780" max="11780" width="21.140625" style="58" bestFit="1" customWidth="1"/>
    <col min="11781" max="12011" width="11.42578125" style="58"/>
    <col min="12012" max="12012" width="18.42578125" style="58" customWidth="1"/>
    <col min="12013" max="12013" width="11.7109375" style="58" customWidth="1"/>
    <col min="12014" max="12014" width="11.42578125" style="58"/>
    <col min="12015" max="12015" width="30.85546875" style="58" customWidth="1"/>
    <col min="12016" max="12016" width="41.28515625" style="58" customWidth="1"/>
    <col min="12017" max="12017" width="14.85546875" style="58" bestFit="1" customWidth="1"/>
    <col min="12018" max="12018" width="23.7109375" style="58" bestFit="1" customWidth="1"/>
    <col min="12019" max="12019" width="14.85546875" style="58" customWidth="1"/>
    <col min="12020" max="12020" width="18.42578125" style="58" bestFit="1" customWidth="1"/>
    <col min="12021" max="12021" width="14.85546875" style="58" bestFit="1" customWidth="1"/>
    <col min="12022" max="12022" width="18.28515625" style="58" bestFit="1" customWidth="1"/>
    <col min="12023" max="12023" width="18.28515625" style="58" customWidth="1"/>
    <col min="12024" max="12024" width="29" style="58" customWidth="1"/>
    <col min="12025" max="12025" width="21.42578125" style="58" customWidth="1"/>
    <col min="12026" max="12026" width="20.85546875" style="58" customWidth="1"/>
    <col min="12027" max="12027" width="31.42578125" style="58" customWidth="1"/>
    <col min="12028" max="12028" width="23.42578125" style="58" customWidth="1"/>
    <col min="12029" max="12029" width="20.7109375" style="58" customWidth="1"/>
    <col min="12030" max="12030" width="16" style="58" customWidth="1"/>
    <col min="12031" max="12031" width="13.7109375" style="58" customWidth="1"/>
    <col min="12032" max="12032" width="16.28515625" style="58" customWidth="1"/>
    <col min="12033" max="12033" width="14" style="58" bestFit="1" customWidth="1"/>
    <col min="12034" max="12034" width="19.28515625" style="58" bestFit="1" customWidth="1"/>
    <col min="12035" max="12035" width="14.28515625" style="58" bestFit="1" customWidth="1"/>
    <col min="12036" max="12036" width="21.140625" style="58" bestFit="1" customWidth="1"/>
    <col min="12037" max="12267" width="11.42578125" style="58"/>
    <col min="12268" max="12268" width="18.42578125" style="58" customWidth="1"/>
    <col min="12269" max="12269" width="11.7109375" style="58" customWidth="1"/>
    <col min="12270" max="12270" width="11.42578125" style="58"/>
    <col min="12271" max="12271" width="30.85546875" style="58" customWidth="1"/>
    <col min="12272" max="12272" width="41.28515625" style="58" customWidth="1"/>
    <col min="12273" max="12273" width="14.85546875" style="58" bestFit="1" customWidth="1"/>
    <col min="12274" max="12274" width="23.7109375" style="58" bestFit="1" customWidth="1"/>
    <col min="12275" max="12275" width="14.85546875" style="58" customWidth="1"/>
    <col min="12276" max="12276" width="18.42578125" style="58" bestFit="1" customWidth="1"/>
    <col min="12277" max="12277" width="14.85546875" style="58" bestFit="1" customWidth="1"/>
    <col min="12278" max="12278" width="18.28515625" style="58" bestFit="1" customWidth="1"/>
    <col min="12279" max="12279" width="18.28515625" style="58" customWidth="1"/>
    <col min="12280" max="12280" width="29" style="58" customWidth="1"/>
    <col min="12281" max="12281" width="21.42578125" style="58" customWidth="1"/>
    <col min="12282" max="12282" width="20.85546875" style="58" customWidth="1"/>
    <col min="12283" max="12283" width="31.42578125" style="58" customWidth="1"/>
    <col min="12284" max="12284" width="23.42578125" style="58" customWidth="1"/>
    <col min="12285" max="12285" width="20.7109375" style="58" customWidth="1"/>
    <col min="12286" max="12286" width="16" style="58" customWidth="1"/>
    <col min="12287" max="12287" width="13.7109375" style="58" customWidth="1"/>
    <col min="12288" max="12288" width="16.28515625" style="58" customWidth="1"/>
    <col min="12289" max="12289" width="14" style="58" bestFit="1" customWidth="1"/>
    <col min="12290" max="12290" width="19.28515625" style="58" bestFit="1" customWidth="1"/>
    <col min="12291" max="12291" width="14.28515625" style="58" bestFit="1" customWidth="1"/>
    <col min="12292" max="12292" width="21.140625" style="58" bestFit="1" customWidth="1"/>
    <col min="12293" max="12523" width="11.42578125" style="58"/>
    <col min="12524" max="12524" width="18.42578125" style="58" customWidth="1"/>
    <col min="12525" max="12525" width="11.7109375" style="58" customWidth="1"/>
    <col min="12526" max="12526" width="11.42578125" style="58"/>
    <col min="12527" max="12527" width="30.85546875" style="58" customWidth="1"/>
    <col min="12528" max="12528" width="41.28515625" style="58" customWidth="1"/>
    <col min="12529" max="12529" width="14.85546875" style="58" bestFit="1" customWidth="1"/>
    <col min="12530" max="12530" width="23.7109375" style="58" bestFit="1" customWidth="1"/>
    <col min="12531" max="12531" width="14.85546875" style="58" customWidth="1"/>
    <col min="12532" max="12532" width="18.42578125" style="58" bestFit="1" customWidth="1"/>
    <col min="12533" max="12533" width="14.85546875" style="58" bestFit="1" customWidth="1"/>
    <col min="12534" max="12534" width="18.28515625" style="58" bestFit="1" customWidth="1"/>
    <col min="12535" max="12535" width="18.28515625" style="58" customWidth="1"/>
    <col min="12536" max="12536" width="29" style="58" customWidth="1"/>
    <col min="12537" max="12537" width="21.42578125" style="58" customWidth="1"/>
    <col min="12538" max="12538" width="20.85546875" style="58" customWidth="1"/>
    <col min="12539" max="12539" width="31.42578125" style="58" customWidth="1"/>
    <col min="12540" max="12540" width="23.42578125" style="58" customWidth="1"/>
    <col min="12541" max="12541" width="20.7109375" style="58" customWidth="1"/>
    <col min="12542" max="12542" width="16" style="58" customWidth="1"/>
    <col min="12543" max="12543" width="13.7109375" style="58" customWidth="1"/>
    <col min="12544" max="12544" width="16.28515625" style="58" customWidth="1"/>
    <col min="12545" max="12545" width="14" style="58" bestFit="1" customWidth="1"/>
    <col min="12546" max="12546" width="19.28515625" style="58" bestFit="1" customWidth="1"/>
    <col min="12547" max="12547" width="14.28515625" style="58" bestFit="1" customWidth="1"/>
    <col min="12548" max="12548" width="21.140625" style="58" bestFit="1" customWidth="1"/>
    <col min="12549" max="12779" width="11.42578125" style="58"/>
    <col min="12780" max="12780" width="18.42578125" style="58" customWidth="1"/>
    <col min="12781" max="12781" width="11.7109375" style="58" customWidth="1"/>
    <col min="12782" max="12782" width="11.42578125" style="58"/>
    <col min="12783" max="12783" width="30.85546875" style="58" customWidth="1"/>
    <col min="12784" max="12784" width="41.28515625" style="58" customWidth="1"/>
    <col min="12785" max="12785" width="14.85546875" style="58" bestFit="1" customWidth="1"/>
    <col min="12786" max="12786" width="23.7109375" style="58" bestFit="1" customWidth="1"/>
    <col min="12787" max="12787" width="14.85546875" style="58" customWidth="1"/>
    <col min="12788" max="12788" width="18.42578125" style="58" bestFit="1" customWidth="1"/>
    <col min="12789" max="12789" width="14.85546875" style="58" bestFit="1" customWidth="1"/>
    <col min="12790" max="12790" width="18.28515625" style="58" bestFit="1" customWidth="1"/>
    <col min="12791" max="12791" width="18.28515625" style="58" customWidth="1"/>
    <col min="12792" max="12792" width="29" style="58" customWidth="1"/>
    <col min="12793" max="12793" width="21.42578125" style="58" customWidth="1"/>
    <col min="12794" max="12794" width="20.85546875" style="58" customWidth="1"/>
    <col min="12795" max="12795" width="31.42578125" style="58" customWidth="1"/>
    <col min="12796" max="12796" width="23.42578125" style="58" customWidth="1"/>
    <col min="12797" max="12797" width="20.7109375" style="58" customWidth="1"/>
    <col min="12798" max="12798" width="16" style="58" customWidth="1"/>
    <col min="12799" max="12799" width="13.7109375" style="58" customWidth="1"/>
    <col min="12800" max="12800" width="16.28515625" style="58" customWidth="1"/>
    <col min="12801" max="12801" width="14" style="58" bestFit="1" customWidth="1"/>
    <col min="12802" max="12802" width="19.28515625" style="58" bestFit="1" customWidth="1"/>
    <col min="12803" max="12803" width="14.28515625" style="58" bestFit="1" customWidth="1"/>
    <col min="12804" max="12804" width="21.140625" style="58" bestFit="1" customWidth="1"/>
    <col min="12805" max="13035" width="11.42578125" style="58"/>
    <col min="13036" max="13036" width="18.42578125" style="58" customWidth="1"/>
    <col min="13037" max="13037" width="11.7109375" style="58" customWidth="1"/>
    <col min="13038" max="13038" width="11.42578125" style="58"/>
    <col min="13039" max="13039" width="30.85546875" style="58" customWidth="1"/>
    <col min="13040" max="13040" width="41.28515625" style="58" customWidth="1"/>
    <col min="13041" max="13041" width="14.85546875" style="58" bestFit="1" customWidth="1"/>
    <col min="13042" max="13042" width="23.7109375" style="58" bestFit="1" customWidth="1"/>
    <col min="13043" max="13043" width="14.85546875" style="58" customWidth="1"/>
    <col min="13044" max="13044" width="18.42578125" style="58" bestFit="1" customWidth="1"/>
    <col min="13045" max="13045" width="14.85546875" style="58" bestFit="1" customWidth="1"/>
    <col min="13046" max="13046" width="18.28515625" style="58" bestFit="1" customWidth="1"/>
    <col min="13047" max="13047" width="18.28515625" style="58" customWidth="1"/>
    <col min="13048" max="13048" width="29" style="58" customWidth="1"/>
    <col min="13049" max="13049" width="21.42578125" style="58" customWidth="1"/>
    <col min="13050" max="13050" width="20.85546875" style="58" customWidth="1"/>
    <col min="13051" max="13051" width="31.42578125" style="58" customWidth="1"/>
    <col min="13052" max="13052" width="23.42578125" style="58" customWidth="1"/>
    <col min="13053" max="13053" width="20.7109375" style="58" customWidth="1"/>
    <col min="13054" max="13054" width="16" style="58" customWidth="1"/>
    <col min="13055" max="13055" width="13.7109375" style="58" customWidth="1"/>
    <col min="13056" max="13056" width="16.28515625" style="58" customWidth="1"/>
    <col min="13057" max="13057" width="14" style="58" bestFit="1" customWidth="1"/>
    <col min="13058" max="13058" width="19.28515625" style="58" bestFit="1" customWidth="1"/>
    <col min="13059" max="13059" width="14.28515625" style="58" bestFit="1" customWidth="1"/>
    <col min="13060" max="13060" width="21.140625" style="58" bestFit="1" customWidth="1"/>
    <col min="13061" max="13291" width="11.42578125" style="58"/>
    <col min="13292" max="13292" width="18.42578125" style="58" customWidth="1"/>
    <col min="13293" max="13293" width="11.7109375" style="58" customWidth="1"/>
    <col min="13294" max="13294" width="11.42578125" style="58"/>
    <col min="13295" max="13295" width="30.85546875" style="58" customWidth="1"/>
    <col min="13296" max="13296" width="41.28515625" style="58" customWidth="1"/>
    <col min="13297" max="13297" width="14.85546875" style="58" bestFit="1" customWidth="1"/>
    <col min="13298" max="13298" width="23.7109375" style="58" bestFit="1" customWidth="1"/>
    <col min="13299" max="13299" width="14.85546875" style="58" customWidth="1"/>
    <col min="13300" max="13300" width="18.42578125" style="58" bestFit="1" customWidth="1"/>
    <col min="13301" max="13301" width="14.85546875" style="58" bestFit="1" customWidth="1"/>
    <col min="13302" max="13302" width="18.28515625" style="58" bestFit="1" customWidth="1"/>
    <col min="13303" max="13303" width="18.28515625" style="58" customWidth="1"/>
    <col min="13304" max="13304" width="29" style="58" customWidth="1"/>
    <col min="13305" max="13305" width="21.42578125" style="58" customWidth="1"/>
    <col min="13306" max="13306" width="20.85546875" style="58" customWidth="1"/>
    <col min="13307" max="13307" width="31.42578125" style="58" customWidth="1"/>
    <col min="13308" max="13308" width="23.42578125" style="58" customWidth="1"/>
    <col min="13309" max="13309" width="20.7109375" style="58" customWidth="1"/>
    <col min="13310" max="13310" width="16" style="58" customWidth="1"/>
    <col min="13311" max="13311" width="13.7109375" style="58" customWidth="1"/>
    <col min="13312" max="13312" width="16.28515625" style="58" customWidth="1"/>
    <col min="13313" max="13313" width="14" style="58" bestFit="1" customWidth="1"/>
    <col min="13314" max="13314" width="19.28515625" style="58" bestFit="1" customWidth="1"/>
    <col min="13315" max="13315" width="14.28515625" style="58" bestFit="1" customWidth="1"/>
    <col min="13316" max="13316" width="21.140625" style="58" bestFit="1" customWidth="1"/>
    <col min="13317" max="13547" width="11.42578125" style="58"/>
    <col min="13548" max="13548" width="18.42578125" style="58" customWidth="1"/>
    <col min="13549" max="13549" width="11.7109375" style="58" customWidth="1"/>
    <col min="13550" max="13550" width="11.42578125" style="58"/>
    <col min="13551" max="13551" width="30.85546875" style="58" customWidth="1"/>
    <col min="13552" max="13552" width="41.28515625" style="58" customWidth="1"/>
    <col min="13553" max="13553" width="14.85546875" style="58" bestFit="1" customWidth="1"/>
    <col min="13554" max="13554" width="23.7109375" style="58" bestFit="1" customWidth="1"/>
    <col min="13555" max="13555" width="14.85546875" style="58" customWidth="1"/>
    <col min="13556" max="13556" width="18.42578125" style="58" bestFit="1" customWidth="1"/>
    <col min="13557" max="13557" width="14.85546875" style="58" bestFit="1" customWidth="1"/>
    <col min="13558" max="13558" width="18.28515625" style="58" bestFit="1" customWidth="1"/>
    <col min="13559" max="13559" width="18.28515625" style="58" customWidth="1"/>
    <col min="13560" max="13560" width="29" style="58" customWidth="1"/>
    <col min="13561" max="13561" width="21.42578125" style="58" customWidth="1"/>
    <col min="13562" max="13562" width="20.85546875" style="58" customWidth="1"/>
    <col min="13563" max="13563" width="31.42578125" style="58" customWidth="1"/>
    <col min="13564" max="13564" width="23.42578125" style="58" customWidth="1"/>
    <col min="13565" max="13565" width="20.7109375" style="58" customWidth="1"/>
    <col min="13566" max="13566" width="16" style="58" customWidth="1"/>
    <col min="13567" max="13567" width="13.7109375" style="58" customWidth="1"/>
    <col min="13568" max="13568" width="16.28515625" style="58" customWidth="1"/>
    <col min="13569" max="13569" width="14" style="58" bestFit="1" customWidth="1"/>
    <col min="13570" max="13570" width="19.28515625" style="58" bestFit="1" customWidth="1"/>
    <col min="13571" max="13571" width="14.28515625" style="58" bestFit="1" customWidth="1"/>
    <col min="13572" max="13572" width="21.140625" style="58" bestFit="1" customWidth="1"/>
    <col min="13573" max="13803" width="11.42578125" style="58"/>
    <col min="13804" max="13804" width="18.42578125" style="58" customWidth="1"/>
    <col min="13805" max="13805" width="11.7109375" style="58" customWidth="1"/>
    <col min="13806" max="13806" width="11.42578125" style="58"/>
    <col min="13807" max="13807" width="30.85546875" style="58" customWidth="1"/>
    <col min="13808" max="13808" width="41.28515625" style="58" customWidth="1"/>
    <col min="13809" max="13809" width="14.85546875" style="58" bestFit="1" customWidth="1"/>
    <col min="13810" max="13810" width="23.7109375" style="58" bestFit="1" customWidth="1"/>
    <col min="13811" max="13811" width="14.85546875" style="58" customWidth="1"/>
    <col min="13812" max="13812" width="18.42578125" style="58" bestFit="1" customWidth="1"/>
    <col min="13813" max="13813" width="14.85546875" style="58" bestFit="1" customWidth="1"/>
    <col min="13814" max="13814" width="18.28515625" style="58" bestFit="1" customWidth="1"/>
    <col min="13815" max="13815" width="18.28515625" style="58" customWidth="1"/>
    <col min="13816" max="13816" width="29" style="58" customWidth="1"/>
    <col min="13817" max="13817" width="21.42578125" style="58" customWidth="1"/>
    <col min="13818" max="13818" width="20.85546875" style="58" customWidth="1"/>
    <col min="13819" max="13819" width="31.42578125" style="58" customWidth="1"/>
    <col min="13820" max="13820" width="23.42578125" style="58" customWidth="1"/>
    <col min="13821" max="13821" width="20.7109375" style="58" customWidth="1"/>
    <col min="13822" max="13822" width="16" style="58" customWidth="1"/>
    <col min="13823" max="13823" width="13.7109375" style="58" customWidth="1"/>
    <col min="13824" max="13824" width="16.28515625" style="58" customWidth="1"/>
    <col min="13825" max="13825" width="14" style="58" bestFit="1" customWidth="1"/>
    <col min="13826" max="13826" width="19.28515625" style="58" bestFit="1" customWidth="1"/>
    <col min="13827" max="13827" width="14.28515625" style="58" bestFit="1" customWidth="1"/>
    <col min="13828" max="13828" width="21.140625" style="58" bestFit="1" customWidth="1"/>
    <col min="13829" max="14059" width="11.42578125" style="58"/>
    <col min="14060" max="14060" width="18.42578125" style="58" customWidth="1"/>
    <col min="14061" max="14061" width="11.7109375" style="58" customWidth="1"/>
    <col min="14062" max="14062" width="11.42578125" style="58"/>
    <col min="14063" max="14063" width="30.85546875" style="58" customWidth="1"/>
    <col min="14064" max="14064" width="41.28515625" style="58" customWidth="1"/>
    <col min="14065" max="14065" width="14.85546875" style="58" bestFit="1" customWidth="1"/>
    <col min="14066" max="14066" width="23.7109375" style="58" bestFit="1" customWidth="1"/>
    <col min="14067" max="14067" width="14.85546875" style="58" customWidth="1"/>
    <col min="14068" max="14068" width="18.42578125" style="58" bestFit="1" customWidth="1"/>
    <col min="14069" max="14069" width="14.85546875" style="58" bestFit="1" customWidth="1"/>
    <col min="14070" max="14070" width="18.28515625" style="58" bestFit="1" customWidth="1"/>
    <col min="14071" max="14071" width="18.28515625" style="58" customWidth="1"/>
    <col min="14072" max="14072" width="29" style="58" customWidth="1"/>
    <col min="14073" max="14073" width="21.42578125" style="58" customWidth="1"/>
    <col min="14074" max="14074" width="20.85546875" style="58" customWidth="1"/>
    <col min="14075" max="14075" width="31.42578125" style="58" customWidth="1"/>
    <col min="14076" max="14076" width="23.42578125" style="58" customWidth="1"/>
    <col min="14077" max="14077" width="20.7109375" style="58" customWidth="1"/>
    <col min="14078" max="14078" width="16" style="58" customWidth="1"/>
    <col min="14079" max="14079" width="13.7109375" style="58" customWidth="1"/>
    <col min="14080" max="14080" width="16.28515625" style="58" customWidth="1"/>
    <col min="14081" max="14081" width="14" style="58" bestFit="1" customWidth="1"/>
    <col min="14082" max="14082" width="19.28515625" style="58" bestFit="1" customWidth="1"/>
    <col min="14083" max="14083" width="14.28515625" style="58" bestFit="1" customWidth="1"/>
    <col min="14084" max="14084" width="21.140625" style="58" bestFit="1" customWidth="1"/>
    <col min="14085" max="14315" width="11.42578125" style="58"/>
    <col min="14316" max="14316" width="18.42578125" style="58" customWidth="1"/>
    <col min="14317" max="14317" width="11.7109375" style="58" customWidth="1"/>
    <col min="14318" max="14318" width="11.42578125" style="58"/>
    <col min="14319" max="14319" width="30.85546875" style="58" customWidth="1"/>
    <col min="14320" max="14320" width="41.28515625" style="58" customWidth="1"/>
    <col min="14321" max="14321" width="14.85546875" style="58" bestFit="1" customWidth="1"/>
    <col min="14322" max="14322" width="23.7109375" style="58" bestFit="1" customWidth="1"/>
    <col min="14323" max="14323" width="14.85546875" style="58" customWidth="1"/>
    <col min="14324" max="14324" width="18.42578125" style="58" bestFit="1" customWidth="1"/>
    <col min="14325" max="14325" width="14.85546875" style="58" bestFit="1" customWidth="1"/>
    <col min="14326" max="14326" width="18.28515625" style="58" bestFit="1" customWidth="1"/>
    <col min="14327" max="14327" width="18.28515625" style="58" customWidth="1"/>
    <col min="14328" max="14328" width="29" style="58" customWidth="1"/>
    <col min="14329" max="14329" width="21.42578125" style="58" customWidth="1"/>
    <col min="14330" max="14330" width="20.85546875" style="58" customWidth="1"/>
    <col min="14331" max="14331" width="31.42578125" style="58" customWidth="1"/>
    <col min="14332" max="14332" width="23.42578125" style="58" customWidth="1"/>
    <col min="14333" max="14333" width="20.7109375" style="58" customWidth="1"/>
    <col min="14334" max="14334" width="16" style="58" customWidth="1"/>
    <col min="14335" max="14335" width="13.7109375" style="58" customWidth="1"/>
    <col min="14336" max="14336" width="16.28515625" style="58" customWidth="1"/>
    <col min="14337" max="14337" width="14" style="58" bestFit="1" customWidth="1"/>
    <col min="14338" max="14338" width="19.28515625" style="58" bestFit="1" customWidth="1"/>
    <col min="14339" max="14339" width="14.28515625" style="58" bestFit="1" customWidth="1"/>
    <col min="14340" max="14340" width="21.140625" style="58" bestFit="1" customWidth="1"/>
    <col min="14341" max="14571" width="11.42578125" style="58"/>
    <col min="14572" max="14572" width="18.42578125" style="58" customWidth="1"/>
    <col min="14573" max="14573" width="11.7109375" style="58" customWidth="1"/>
    <col min="14574" max="14574" width="11.42578125" style="58"/>
    <col min="14575" max="14575" width="30.85546875" style="58" customWidth="1"/>
    <col min="14576" max="14576" width="41.28515625" style="58" customWidth="1"/>
    <col min="14577" max="14577" width="14.85546875" style="58" bestFit="1" customWidth="1"/>
    <col min="14578" max="14578" width="23.7109375" style="58" bestFit="1" customWidth="1"/>
    <col min="14579" max="14579" width="14.85546875" style="58" customWidth="1"/>
    <col min="14580" max="14580" width="18.42578125" style="58" bestFit="1" customWidth="1"/>
    <col min="14581" max="14581" width="14.85546875" style="58" bestFit="1" customWidth="1"/>
    <col min="14582" max="14582" width="18.28515625" style="58" bestFit="1" customWidth="1"/>
    <col min="14583" max="14583" width="18.28515625" style="58" customWidth="1"/>
    <col min="14584" max="14584" width="29" style="58" customWidth="1"/>
    <col min="14585" max="14585" width="21.42578125" style="58" customWidth="1"/>
    <col min="14586" max="14586" width="20.85546875" style="58" customWidth="1"/>
    <col min="14587" max="14587" width="31.42578125" style="58" customWidth="1"/>
    <col min="14588" max="14588" width="23.42578125" style="58" customWidth="1"/>
    <col min="14589" max="14589" width="20.7109375" style="58" customWidth="1"/>
    <col min="14590" max="14590" width="16" style="58" customWidth="1"/>
    <col min="14591" max="14591" width="13.7109375" style="58" customWidth="1"/>
    <col min="14592" max="14592" width="16.28515625" style="58" customWidth="1"/>
    <col min="14593" max="14593" width="14" style="58" bestFit="1" customWidth="1"/>
    <col min="14594" max="14594" width="19.28515625" style="58" bestFit="1" customWidth="1"/>
    <col min="14595" max="14595" width="14.28515625" style="58" bestFit="1" customWidth="1"/>
    <col min="14596" max="14596" width="21.140625" style="58" bestFit="1" customWidth="1"/>
    <col min="14597" max="14827" width="11.42578125" style="58"/>
    <col min="14828" max="14828" width="18.42578125" style="58" customWidth="1"/>
    <col min="14829" max="14829" width="11.7109375" style="58" customWidth="1"/>
    <col min="14830" max="14830" width="11.42578125" style="58"/>
    <col min="14831" max="14831" width="30.85546875" style="58" customWidth="1"/>
    <col min="14832" max="14832" width="41.28515625" style="58" customWidth="1"/>
    <col min="14833" max="14833" width="14.85546875" style="58" bestFit="1" customWidth="1"/>
    <col min="14834" max="14834" width="23.7109375" style="58" bestFit="1" customWidth="1"/>
    <col min="14835" max="14835" width="14.85546875" style="58" customWidth="1"/>
    <col min="14836" max="14836" width="18.42578125" style="58" bestFit="1" customWidth="1"/>
    <col min="14837" max="14837" width="14.85546875" style="58" bestFit="1" customWidth="1"/>
    <col min="14838" max="14838" width="18.28515625" style="58" bestFit="1" customWidth="1"/>
    <col min="14839" max="14839" width="18.28515625" style="58" customWidth="1"/>
    <col min="14840" max="14840" width="29" style="58" customWidth="1"/>
    <col min="14841" max="14841" width="21.42578125" style="58" customWidth="1"/>
    <col min="14842" max="14842" width="20.85546875" style="58" customWidth="1"/>
    <col min="14843" max="14843" width="31.42578125" style="58" customWidth="1"/>
    <col min="14844" max="14844" width="23.42578125" style="58" customWidth="1"/>
    <col min="14845" max="14845" width="20.7109375" style="58" customWidth="1"/>
    <col min="14846" max="14846" width="16" style="58" customWidth="1"/>
    <col min="14847" max="14847" width="13.7109375" style="58" customWidth="1"/>
    <col min="14848" max="14848" width="16.28515625" style="58" customWidth="1"/>
    <col min="14849" max="14849" width="14" style="58" bestFit="1" customWidth="1"/>
    <col min="14850" max="14850" width="19.28515625" style="58" bestFit="1" customWidth="1"/>
    <col min="14851" max="14851" width="14.28515625" style="58" bestFit="1" customWidth="1"/>
    <col min="14852" max="14852" width="21.140625" style="58" bestFit="1" customWidth="1"/>
    <col min="14853" max="15083" width="11.42578125" style="58"/>
    <col min="15084" max="15084" width="18.42578125" style="58" customWidth="1"/>
    <col min="15085" max="15085" width="11.7109375" style="58" customWidth="1"/>
    <col min="15086" max="15086" width="11.42578125" style="58"/>
    <col min="15087" max="15087" width="30.85546875" style="58" customWidth="1"/>
    <col min="15088" max="15088" width="41.28515625" style="58" customWidth="1"/>
    <col min="15089" max="15089" width="14.85546875" style="58" bestFit="1" customWidth="1"/>
    <col min="15090" max="15090" width="23.7109375" style="58" bestFit="1" customWidth="1"/>
    <col min="15091" max="15091" width="14.85546875" style="58" customWidth="1"/>
    <col min="15092" max="15092" width="18.42578125" style="58" bestFit="1" customWidth="1"/>
    <col min="15093" max="15093" width="14.85546875" style="58" bestFit="1" customWidth="1"/>
    <col min="15094" max="15094" width="18.28515625" style="58" bestFit="1" customWidth="1"/>
    <col min="15095" max="15095" width="18.28515625" style="58" customWidth="1"/>
    <col min="15096" max="15096" width="29" style="58" customWidth="1"/>
    <col min="15097" max="15097" width="21.42578125" style="58" customWidth="1"/>
    <col min="15098" max="15098" width="20.85546875" style="58" customWidth="1"/>
    <col min="15099" max="15099" width="31.42578125" style="58" customWidth="1"/>
    <col min="15100" max="15100" width="23.42578125" style="58" customWidth="1"/>
    <col min="15101" max="15101" width="20.7109375" style="58" customWidth="1"/>
    <col min="15102" max="15102" width="16" style="58" customWidth="1"/>
    <col min="15103" max="15103" width="13.7109375" style="58" customWidth="1"/>
    <col min="15104" max="15104" width="16.28515625" style="58" customWidth="1"/>
    <col min="15105" max="15105" width="14" style="58" bestFit="1" customWidth="1"/>
    <col min="15106" max="15106" width="19.28515625" style="58" bestFit="1" customWidth="1"/>
    <col min="15107" max="15107" width="14.28515625" style="58" bestFit="1" customWidth="1"/>
    <col min="15108" max="15108" width="21.140625" style="58" bestFit="1" customWidth="1"/>
    <col min="15109" max="15339" width="11.42578125" style="58"/>
    <col min="15340" max="15340" width="18.42578125" style="58" customWidth="1"/>
    <col min="15341" max="15341" width="11.7109375" style="58" customWidth="1"/>
    <col min="15342" max="15342" width="11.42578125" style="58"/>
    <col min="15343" max="15343" width="30.85546875" style="58" customWidth="1"/>
    <col min="15344" max="15344" width="41.28515625" style="58" customWidth="1"/>
    <col min="15345" max="15345" width="14.85546875" style="58" bestFit="1" customWidth="1"/>
    <col min="15346" max="15346" width="23.7109375" style="58" bestFit="1" customWidth="1"/>
    <col min="15347" max="15347" width="14.85546875" style="58" customWidth="1"/>
    <col min="15348" max="15348" width="18.42578125" style="58" bestFit="1" customWidth="1"/>
    <col min="15349" max="15349" width="14.85546875" style="58" bestFit="1" customWidth="1"/>
    <col min="15350" max="15350" width="18.28515625" style="58" bestFit="1" customWidth="1"/>
    <col min="15351" max="15351" width="18.28515625" style="58" customWidth="1"/>
    <col min="15352" max="15352" width="29" style="58" customWidth="1"/>
    <col min="15353" max="15353" width="21.42578125" style="58" customWidth="1"/>
    <col min="15354" max="15354" width="20.85546875" style="58" customWidth="1"/>
    <col min="15355" max="15355" width="31.42578125" style="58" customWidth="1"/>
    <col min="15356" max="15356" width="23.42578125" style="58" customWidth="1"/>
    <col min="15357" max="15357" width="20.7109375" style="58" customWidth="1"/>
    <col min="15358" max="15358" width="16" style="58" customWidth="1"/>
    <col min="15359" max="15359" width="13.7109375" style="58" customWidth="1"/>
    <col min="15360" max="15360" width="16.28515625" style="58" customWidth="1"/>
    <col min="15361" max="15361" width="14" style="58" bestFit="1" customWidth="1"/>
    <col min="15362" max="15362" width="19.28515625" style="58" bestFit="1" customWidth="1"/>
    <col min="15363" max="15363" width="14.28515625" style="58" bestFit="1" customWidth="1"/>
    <col min="15364" max="15364" width="21.140625" style="58" bestFit="1" customWidth="1"/>
    <col min="15365" max="15595" width="11.42578125" style="58"/>
    <col min="15596" max="15596" width="18.42578125" style="58" customWidth="1"/>
    <col min="15597" max="15597" width="11.7109375" style="58" customWidth="1"/>
    <col min="15598" max="15598" width="11.42578125" style="58"/>
    <col min="15599" max="15599" width="30.85546875" style="58" customWidth="1"/>
    <col min="15600" max="15600" width="41.28515625" style="58" customWidth="1"/>
    <col min="15601" max="15601" width="14.85546875" style="58" bestFit="1" customWidth="1"/>
    <col min="15602" max="15602" width="23.7109375" style="58" bestFit="1" customWidth="1"/>
    <col min="15603" max="15603" width="14.85546875" style="58" customWidth="1"/>
    <col min="15604" max="15604" width="18.42578125" style="58" bestFit="1" customWidth="1"/>
    <col min="15605" max="15605" width="14.85546875" style="58" bestFit="1" customWidth="1"/>
    <col min="15606" max="15606" width="18.28515625" style="58" bestFit="1" customWidth="1"/>
    <col min="15607" max="15607" width="18.28515625" style="58" customWidth="1"/>
    <col min="15608" max="15608" width="29" style="58" customWidth="1"/>
    <col min="15609" max="15609" width="21.42578125" style="58" customWidth="1"/>
    <col min="15610" max="15610" width="20.85546875" style="58" customWidth="1"/>
    <col min="15611" max="15611" width="31.42578125" style="58" customWidth="1"/>
    <col min="15612" max="15612" width="23.42578125" style="58" customWidth="1"/>
    <col min="15613" max="15613" width="20.7109375" style="58" customWidth="1"/>
    <col min="15614" max="15614" width="16" style="58" customWidth="1"/>
    <col min="15615" max="15615" width="13.7109375" style="58" customWidth="1"/>
    <col min="15616" max="15616" width="16.28515625" style="58" customWidth="1"/>
    <col min="15617" max="15617" width="14" style="58" bestFit="1" customWidth="1"/>
    <col min="15618" max="15618" width="19.28515625" style="58" bestFit="1" customWidth="1"/>
    <col min="15619" max="15619" width="14.28515625" style="58" bestFit="1" customWidth="1"/>
    <col min="15620" max="15620" width="21.140625" style="58" bestFit="1" customWidth="1"/>
    <col min="15621" max="15851" width="11.42578125" style="58"/>
    <col min="15852" max="15852" width="18.42578125" style="58" customWidth="1"/>
    <col min="15853" max="15853" width="11.7109375" style="58" customWidth="1"/>
    <col min="15854" max="15854" width="11.42578125" style="58"/>
    <col min="15855" max="15855" width="30.85546875" style="58" customWidth="1"/>
    <col min="15856" max="15856" width="41.28515625" style="58" customWidth="1"/>
    <col min="15857" max="15857" width="14.85546875" style="58" bestFit="1" customWidth="1"/>
    <col min="15858" max="15858" width="23.7109375" style="58" bestFit="1" customWidth="1"/>
    <col min="15859" max="15859" width="14.85546875" style="58" customWidth="1"/>
    <col min="15860" max="15860" width="18.42578125" style="58" bestFit="1" customWidth="1"/>
    <col min="15861" max="15861" width="14.85546875" style="58" bestFit="1" customWidth="1"/>
    <col min="15862" max="15862" width="18.28515625" style="58" bestFit="1" customWidth="1"/>
    <col min="15863" max="15863" width="18.28515625" style="58" customWidth="1"/>
    <col min="15864" max="15864" width="29" style="58" customWidth="1"/>
    <col min="15865" max="15865" width="21.42578125" style="58" customWidth="1"/>
    <col min="15866" max="15866" width="20.85546875" style="58" customWidth="1"/>
    <col min="15867" max="15867" width="31.42578125" style="58" customWidth="1"/>
    <col min="15868" max="15868" width="23.42578125" style="58" customWidth="1"/>
    <col min="15869" max="15869" width="20.7109375" style="58" customWidth="1"/>
    <col min="15870" max="15870" width="16" style="58" customWidth="1"/>
    <col min="15871" max="15871" width="13.7109375" style="58" customWidth="1"/>
    <col min="15872" max="15872" width="16.28515625" style="58" customWidth="1"/>
    <col min="15873" max="15873" width="14" style="58" bestFit="1" customWidth="1"/>
    <col min="15874" max="15874" width="19.28515625" style="58" bestFit="1" customWidth="1"/>
    <col min="15875" max="15875" width="14.28515625" style="58" bestFit="1" customWidth="1"/>
    <col min="15876" max="15876" width="21.140625" style="58" bestFit="1" customWidth="1"/>
    <col min="15877" max="16107" width="11.42578125" style="58"/>
    <col min="16108" max="16108" width="18.42578125" style="58" customWidth="1"/>
    <col min="16109" max="16109" width="11.7109375" style="58" customWidth="1"/>
    <col min="16110" max="16110" width="11.42578125" style="58"/>
    <col min="16111" max="16111" width="30.85546875" style="58" customWidth="1"/>
    <col min="16112" max="16112" width="41.28515625" style="58" customWidth="1"/>
    <col min="16113" max="16113" width="14.85546875" style="58" bestFit="1" customWidth="1"/>
    <col min="16114" max="16114" width="23.7109375" style="58" bestFit="1" customWidth="1"/>
    <col min="16115" max="16115" width="14.85546875" style="58" customWidth="1"/>
    <col min="16116" max="16116" width="18.42578125" style="58" bestFit="1" customWidth="1"/>
    <col min="16117" max="16117" width="14.85546875" style="58" bestFit="1" customWidth="1"/>
    <col min="16118" max="16118" width="18.28515625" style="58" bestFit="1" customWidth="1"/>
    <col min="16119" max="16119" width="18.28515625" style="58" customWidth="1"/>
    <col min="16120" max="16120" width="29" style="58" customWidth="1"/>
    <col min="16121" max="16121" width="21.42578125" style="58" customWidth="1"/>
    <col min="16122" max="16122" width="20.85546875" style="58" customWidth="1"/>
    <col min="16123" max="16123" width="31.42578125" style="58" customWidth="1"/>
    <col min="16124" max="16124" width="23.42578125" style="58" customWidth="1"/>
    <col min="16125" max="16125" width="20.7109375" style="58" customWidth="1"/>
    <col min="16126" max="16126" width="16" style="58" customWidth="1"/>
    <col min="16127" max="16127" width="13.7109375" style="58" customWidth="1"/>
    <col min="16128" max="16128" width="16.28515625" style="58" customWidth="1"/>
    <col min="16129" max="16129" width="14" style="58" bestFit="1" customWidth="1"/>
    <col min="16130" max="16130" width="19.28515625" style="58" bestFit="1" customWidth="1"/>
    <col min="16131" max="16131" width="14.28515625" style="58" bestFit="1" customWidth="1"/>
    <col min="16132" max="16132" width="21.140625" style="58" bestFit="1" customWidth="1"/>
    <col min="16133" max="16384" width="11.42578125" style="58"/>
  </cols>
  <sheetData>
    <row r="1" spans="1:17" ht="15.75" customHeight="1" x14ac:dyDescent="0.2">
      <c r="B1" s="377" t="s">
        <v>0</v>
      </c>
      <c r="C1" s="377"/>
      <c r="D1" s="377"/>
      <c r="E1" s="377"/>
      <c r="F1" s="377"/>
      <c r="G1" s="377"/>
      <c r="H1" s="377"/>
      <c r="I1" s="377"/>
      <c r="J1" s="377"/>
      <c r="K1" s="377"/>
      <c r="L1" s="377"/>
      <c r="M1" s="377"/>
      <c r="N1" s="377"/>
      <c r="O1" s="377"/>
      <c r="P1" s="377"/>
      <c r="Q1" s="377"/>
    </row>
    <row r="2" spans="1:17" ht="15.75" x14ac:dyDescent="0.2">
      <c r="B2" s="378" t="s">
        <v>94</v>
      </c>
      <c r="C2" s="378"/>
      <c r="D2" s="378"/>
      <c r="E2" s="378"/>
      <c r="F2" s="378"/>
      <c r="G2" s="378"/>
      <c r="H2" s="378"/>
      <c r="I2" s="378"/>
      <c r="J2" s="378"/>
      <c r="K2" s="378"/>
      <c r="L2" s="378"/>
      <c r="M2" s="378"/>
      <c r="N2" s="378"/>
      <c r="O2" s="378"/>
      <c r="P2" s="378"/>
      <c r="Q2" s="378"/>
    </row>
    <row r="4" spans="1:17" ht="15.75" x14ac:dyDescent="0.2">
      <c r="B4" s="378" t="s">
        <v>124</v>
      </c>
      <c r="C4" s="378"/>
      <c r="D4" s="378"/>
      <c r="E4" s="378"/>
      <c r="F4" s="378"/>
      <c r="G4" s="378"/>
      <c r="H4" s="378"/>
      <c r="I4" s="378"/>
      <c r="J4" s="378"/>
      <c r="K4" s="378"/>
      <c r="L4" s="378"/>
      <c r="M4" s="378"/>
      <c r="N4" s="378"/>
      <c r="O4" s="378"/>
      <c r="P4" s="378"/>
      <c r="Q4" s="378"/>
    </row>
    <row r="5" spans="1:17" ht="15.75" x14ac:dyDescent="0.2">
      <c r="A5" s="207"/>
      <c r="B5" s="207"/>
      <c r="C5" s="207"/>
      <c r="D5" s="207"/>
      <c r="E5" s="207"/>
    </row>
    <row r="6" spans="1:17" ht="15.75" x14ac:dyDescent="0.2">
      <c r="A6" s="207"/>
      <c r="B6" s="207"/>
      <c r="C6" s="207"/>
      <c r="D6" s="207"/>
      <c r="E6" s="207"/>
    </row>
    <row r="7" spans="1:17" ht="15.75" x14ac:dyDescent="0.2">
      <c r="A7" s="207" t="s">
        <v>95</v>
      </c>
      <c r="B7" s="388" t="s">
        <v>96</v>
      </c>
      <c r="C7" s="388"/>
      <c r="D7" s="388"/>
      <c r="E7" s="207"/>
    </row>
    <row r="8" spans="1:17" ht="15.75" x14ac:dyDescent="0.2">
      <c r="A8" s="207" t="s">
        <v>97</v>
      </c>
      <c r="B8" s="389">
        <v>43889</v>
      </c>
      <c r="C8" s="388"/>
      <c r="D8" s="208"/>
      <c r="E8" s="207"/>
    </row>
    <row r="9" spans="1:17" ht="13.5" thickBot="1" x14ac:dyDescent="0.25"/>
    <row r="10" spans="1:17" ht="29.25" customHeight="1" thickBot="1" x14ac:dyDescent="0.25">
      <c r="A10" s="390" t="s">
        <v>1</v>
      </c>
      <c r="B10" s="390" t="s">
        <v>98</v>
      </c>
      <c r="C10" s="391" t="s">
        <v>99</v>
      </c>
      <c r="D10" s="391" t="s">
        <v>2</v>
      </c>
      <c r="E10" s="390" t="s">
        <v>100</v>
      </c>
      <c r="F10" s="379" t="s">
        <v>122</v>
      </c>
      <c r="G10" s="380"/>
      <c r="H10" s="381"/>
      <c r="I10" s="379" t="s">
        <v>123</v>
      </c>
      <c r="J10" s="380"/>
      <c r="K10" s="381"/>
      <c r="L10" s="379" t="s">
        <v>9</v>
      </c>
      <c r="M10" s="380"/>
      <c r="N10" s="381"/>
      <c r="O10" s="379" t="s">
        <v>121</v>
      </c>
      <c r="P10" s="380"/>
      <c r="Q10" s="381"/>
    </row>
    <row r="11" spans="1:17" ht="43.5" customHeight="1" thickBot="1" x14ac:dyDescent="0.25">
      <c r="A11" s="390"/>
      <c r="B11" s="390"/>
      <c r="C11" s="392"/>
      <c r="D11" s="392"/>
      <c r="E11" s="390"/>
      <c r="F11" s="218" t="s">
        <v>10</v>
      </c>
      <c r="G11" s="219" t="s">
        <v>11</v>
      </c>
      <c r="H11" s="220" t="s">
        <v>3</v>
      </c>
      <c r="I11" s="218" t="s">
        <v>10</v>
      </c>
      <c r="J11" s="219" t="s">
        <v>11</v>
      </c>
      <c r="K11" s="220" t="s">
        <v>3</v>
      </c>
      <c r="L11" s="218" t="s">
        <v>10</v>
      </c>
      <c r="M11" s="219" t="s">
        <v>11</v>
      </c>
      <c r="N11" s="220" t="s">
        <v>3</v>
      </c>
      <c r="O11" s="218" t="s">
        <v>10</v>
      </c>
      <c r="P11" s="219" t="s">
        <v>11</v>
      </c>
      <c r="Q11" s="220" t="s">
        <v>3</v>
      </c>
    </row>
    <row r="12" spans="1:17" s="206" customFormat="1" ht="12.75" hidden="1" customHeight="1" x14ac:dyDescent="0.25">
      <c r="A12" s="382" t="s">
        <v>7</v>
      </c>
      <c r="B12" s="385">
        <v>1</v>
      </c>
      <c r="C12" s="209">
        <v>4510</v>
      </c>
      <c r="D12" s="209" t="s">
        <v>101</v>
      </c>
      <c r="E12" s="209" t="s">
        <v>102</v>
      </c>
      <c r="H12" s="221"/>
      <c r="K12" s="221"/>
      <c r="N12" s="221"/>
      <c r="Q12" s="221"/>
    </row>
    <row r="13" spans="1:17" ht="12.75" hidden="1" customHeight="1" x14ac:dyDescent="0.2">
      <c r="A13" s="383"/>
      <c r="B13" s="386"/>
      <c r="C13" s="210">
        <v>4511</v>
      </c>
      <c r="D13" s="210" t="s">
        <v>103</v>
      </c>
      <c r="E13" s="210" t="s">
        <v>104</v>
      </c>
      <c r="H13" s="222"/>
      <c r="K13" s="222"/>
      <c r="N13" s="222"/>
      <c r="Q13" s="222"/>
    </row>
    <row r="14" spans="1:17" ht="12.75" hidden="1" customHeight="1" x14ac:dyDescent="0.2">
      <c r="A14" s="383"/>
      <c r="B14" s="386"/>
      <c r="C14" s="210"/>
      <c r="D14" s="210"/>
      <c r="E14" s="210"/>
      <c r="H14" s="222"/>
      <c r="K14" s="222"/>
      <c r="N14" s="222"/>
      <c r="Q14" s="222"/>
    </row>
    <row r="15" spans="1:17" ht="12.75" hidden="1" customHeight="1" x14ac:dyDescent="0.2">
      <c r="A15" s="383"/>
      <c r="B15" s="386"/>
      <c r="C15" s="210"/>
      <c r="D15" s="210"/>
      <c r="E15" s="210"/>
      <c r="H15" s="222"/>
      <c r="K15" s="222"/>
      <c r="N15" s="222"/>
      <c r="Q15" s="222"/>
    </row>
    <row r="16" spans="1:17" ht="12.75" hidden="1" customHeight="1" x14ac:dyDescent="0.2">
      <c r="A16" s="383"/>
      <c r="B16" s="386"/>
      <c r="C16" s="210"/>
      <c r="D16" s="210"/>
      <c r="E16" s="210"/>
      <c r="H16" s="222"/>
      <c r="K16" s="222"/>
      <c r="N16" s="222"/>
      <c r="Q16" s="222"/>
    </row>
    <row r="17" spans="1:17" ht="13.5" hidden="1" customHeight="1" thickBot="1" x14ac:dyDescent="0.25">
      <c r="A17" s="384"/>
      <c r="B17" s="387"/>
      <c r="C17" s="393" t="s">
        <v>105</v>
      </c>
      <c r="D17" s="394"/>
      <c r="E17" s="2">
        <v>162.53</v>
      </c>
      <c r="F17" s="5" t="e">
        <f>ROUND(H17/1.19,0)</f>
        <v>#REF!</v>
      </c>
      <c r="G17" s="5" t="e">
        <f>H17-F17</f>
        <v>#REF!</v>
      </c>
      <c r="H17" s="6" t="e">
        <f>+'Long. &gt;126 km y &lt; ó = 190 km '!#REF!</f>
        <v>#REF!</v>
      </c>
      <c r="I17" s="5" t="e">
        <f>ROUND(K17/1.19,0)</f>
        <v>#REF!</v>
      </c>
      <c r="J17" s="5" t="e">
        <f>K17-I17</f>
        <v>#REF!</v>
      </c>
      <c r="K17" s="6" t="e">
        <f>+'Long. &gt;126 km y &lt; ó = 190 km '!#REF!</f>
        <v>#REF!</v>
      </c>
      <c r="L17" s="4">
        <f>ROUND(N17/1.19,0)</f>
        <v>3513643901</v>
      </c>
      <c r="M17" s="5">
        <f>N17-L17</f>
        <v>667592341</v>
      </c>
      <c r="N17" s="6">
        <f>+'Long. &gt;126 km y &lt; ó = 190 km '!F61</f>
        <v>4181236242</v>
      </c>
      <c r="O17" s="4">
        <f>ROUND(Q17/1.19,0)</f>
        <v>959156780</v>
      </c>
      <c r="P17" s="5">
        <f>Q17-O17</f>
        <v>182239788</v>
      </c>
      <c r="Q17" s="6">
        <f>+'Long. &gt;126 km y &lt; ó = 190 km '!F134</f>
        <v>1141396568</v>
      </c>
    </row>
    <row r="18" spans="1:17" ht="12.75" hidden="1" customHeight="1" x14ac:dyDescent="0.2">
      <c r="A18" s="382" t="s">
        <v>6</v>
      </c>
      <c r="B18" s="385">
        <v>2</v>
      </c>
      <c r="C18" s="209">
        <v>4511</v>
      </c>
      <c r="D18" s="209" t="s">
        <v>106</v>
      </c>
      <c r="E18" s="209" t="s">
        <v>107</v>
      </c>
      <c r="H18" s="222"/>
      <c r="K18" s="222"/>
      <c r="N18" s="222"/>
      <c r="Q18" s="222"/>
    </row>
    <row r="19" spans="1:17" ht="12.75" hidden="1" customHeight="1" x14ac:dyDescent="0.2">
      <c r="A19" s="383"/>
      <c r="B19" s="386"/>
      <c r="C19" s="210">
        <v>4513</v>
      </c>
      <c r="D19" s="210" t="s">
        <v>108</v>
      </c>
      <c r="E19" s="210" t="s">
        <v>109</v>
      </c>
      <c r="H19" s="222"/>
      <c r="K19" s="222"/>
      <c r="N19" s="222"/>
      <c r="Q19" s="222"/>
    </row>
    <row r="20" spans="1:17" ht="12.75" hidden="1" customHeight="1" x14ac:dyDescent="0.2">
      <c r="A20" s="383"/>
      <c r="B20" s="386"/>
      <c r="C20" s="210"/>
      <c r="D20" s="210"/>
      <c r="E20" s="210"/>
      <c r="H20" s="222"/>
      <c r="K20" s="222"/>
      <c r="N20" s="222"/>
      <c r="Q20" s="222"/>
    </row>
    <row r="21" spans="1:17" ht="12.75" hidden="1" customHeight="1" x14ac:dyDescent="0.2">
      <c r="A21" s="383"/>
      <c r="B21" s="386"/>
      <c r="C21" s="210"/>
      <c r="D21" s="210"/>
      <c r="E21" s="210"/>
      <c r="H21" s="222"/>
      <c r="K21" s="222"/>
      <c r="N21" s="222"/>
      <c r="Q21" s="222"/>
    </row>
    <row r="22" spans="1:17" ht="12.75" hidden="1" customHeight="1" x14ac:dyDescent="0.2">
      <c r="A22" s="383"/>
      <c r="B22" s="386"/>
      <c r="C22" s="210"/>
      <c r="D22" s="210"/>
      <c r="E22" s="210"/>
      <c r="H22" s="222"/>
      <c r="K22" s="222"/>
      <c r="N22" s="222"/>
      <c r="Q22" s="222"/>
    </row>
    <row r="23" spans="1:17" ht="13.5" hidden="1" customHeight="1" thickBot="1" x14ac:dyDescent="0.25">
      <c r="A23" s="384"/>
      <c r="B23" s="387"/>
      <c r="C23" s="393" t="s">
        <v>105</v>
      </c>
      <c r="D23" s="394"/>
      <c r="E23" s="2">
        <v>179.48</v>
      </c>
      <c r="F23" s="5" t="e">
        <f>ROUND(H23/1.19,0)</f>
        <v>#REF!</v>
      </c>
      <c r="G23" s="5" t="e">
        <f>H23-F23</f>
        <v>#REF!</v>
      </c>
      <c r="H23" s="6" t="e">
        <f>+'Long. &gt;126 km y &lt; ó = 190 km '!#REF!</f>
        <v>#REF!</v>
      </c>
      <c r="I23" s="5" t="e">
        <f>ROUND(K23/1.19,0)</f>
        <v>#REF!</v>
      </c>
      <c r="J23" s="5" t="e">
        <f>K23-I23</f>
        <v>#REF!</v>
      </c>
      <c r="K23" s="6" t="e">
        <f>+'Long. &gt;126 km y &lt; ó = 190 km '!#REF!</f>
        <v>#REF!</v>
      </c>
      <c r="L23" s="4">
        <f>ROUND(N23/1.19,0)</f>
        <v>3513643901</v>
      </c>
      <c r="M23" s="5">
        <f>N23-L23</f>
        <v>667592341</v>
      </c>
      <c r="N23" s="6">
        <f>+'Long. &gt;126 km y &lt; ó = 190 km '!F61</f>
        <v>4181236242</v>
      </c>
      <c r="O23" s="4">
        <f>ROUND(Q23/1.19,0)</f>
        <v>959156780</v>
      </c>
      <c r="P23" s="5">
        <f>Q23-O23</f>
        <v>182239788</v>
      </c>
      <c r="Q23" s="6">
        <f>+'Long. &gt;126 km y &lt; ó = 190 km '!F134</f>
        <v>1141396568</v>
      </c>
    </row>
    <row r="24" spans="1:17" ht="12.75" hidden="1" customHeight="1" x14ac:dyDescent="0.2">
      <c r="A24" s="382" t="s">
        <v>4</v>
      </c>
      <c r="B24" s="385">
        <v>3</v>
      </c>
      <c r="C24" s="212">
        <v>4514</v>
      </c>
      <c r="D24" s="212" t="s">
        <v>110</v>
      </c>
      <c r="E24" s="212" t="s">
        <v>111</v>
      </c>
      <c r="H24" s="222"/>
      <c r="K24" s="222"/>
      <c r="N24" s="222"/>
      <c r="Q24" s="222"/>
    </row>
    <row r="25" spans="1:17" ht="12.75" hidden="1" customHeight="1" x14ac:dyDescent="0.2">
      <c r="A25" s="383"/>
      <c r="B25" s="386"/>
      <c r="C25" s="213">
        <v>4515</v>
      </c>
      <c r="D25" s="213" t="s">
        <v>112</v>
      </c>
      <c r="E25" s="213" t="s">
        <v>113</v>
      </c>
      <c r="H25" s="222"/>
      <c r="K25" s="222"/>
      <c r="N25" s="222"/>
      <c r="Q25" s="222"/>
    </row>
    <row r="26" spans="1:17" ht="12.75" hidden="1" customHeight="1" x14ac:dyDescent="0.2">
      <c r="A26" s="383"/>
      <c r="B26" s="386"/>
      <c r="C26" s="213"/>
      <c r="D26" s="213"/>
      <c r="E26" s="213"/>
      <c r="H26" s="222"/>
      <c r="K26" s="222"/>
      <c r="N26" s="222"/>
      <c r="Q26" s="222"/>
    </row>
    <row r="27" spans="1:17" ht="12.75" hidden="1" customHeight="1" x14ac:dyDescent="0.2">
      <c r="A27" s="383"/>
      <c r="B27" s="386"/>
      <c r="C27" s="213"/>
      <c r="D27" s="213"/>
      <c r="E27" s="213"/>
      <c r="H27" s="222"/>
      <c r="K27" s="222"/>
      <c r="N27" s="222"/>
      <c r="Q27" s="222"/>
    </row>
    <row r="28" spans="1:17" ht="12.75" hidden="1" customHeight="1" x14ac:dyDescent="0.2">
      <c r="A28" s="383"/>
      <c r="B28" s="386"/>
      <c r="C28" s="213"/>
      <c r="D28" s="213"/>
      <c r="E28" s="213"/>
      <c r="H28" s="222"/>
      <c r="K28" s="222"/>
      <c r="N28" s="222"/>
      <c r="Q28" s="222"/>
    </row>
    <row r="29" spans="1:17" ht="13.5" hidden="1" customHeight="1" thickBot="1" x14ac:dyDescent="0.25">
      <c r="A29" s="384"/>
      <c r="B29" s="387"/>
      <c r="C29" s="393" t="s">
        <v>105</v>
      </c>
      <c r="D29" s="394"/>
      <c r="E29" s="1">
        <v>203.94</v>
      </c>
      <c r="F29" s="5" t="e">
        <f>ROUND(H29/1.19,0)</f>
        <v>#REF!</v>
      </c>
      <c r="G29" s="5" t="e">
        <f>H29-F29</f>
        <v>#REF!</v>
      </c>
      <c r="H29" s="6" t="e">
        <f>+#REF!</f>
        <v>#REF!</v>
      </c>
      <c r="I29" s="5" t="e">
        <f>ROUND(K29/1.19,0)</f>
        <v>#REF!</v>
      </c>
      <c r="J29" s="5" t="e">
        <f>K29-I29</f>
        <v>#REF!</v>
      </c>
      <c r="K29" s="6" t="e">
        <f>+#REF!</f>
        <v>#REF!</v>
      </c>
      <c r="L29" s="4" t="e">
        <f>ROUND(N29/1.19,0)</f>
        <v>#REF!</v>
      </c>
      <c r="M29" s="5" t="e">
        <f>N29-L29</f>
        <v>#REF!</v>
      </c>
      <c r="N29" s="6" t="e">
        <f>+#REF!</f>
        <v>#REF!</v>
      </c>
      <c r="O29" s="4" t="e">
        <f>ROUND(Q29/1.19,0)</f>
        <v>#REF!</v>
      </c>
      <c r="P29" s="5" t="e">
        <f>Q29-O29</f>
        <v>#REF!</v>
      </c>
      <c r="Q29" s="6" t="e">
        <f>+#REF!</f>
        <v>#REF!</v>
      </c>
    </row>
    <row r="30" spans="1:17" ht="12.75" hidden="1" customHeight="1" x14ac:dyDescent="0.2">
      <c r="A30" s="382" t="s">
        <v>5</v>
      </c>
      <c r="B30" s="385">
        <v>4</v>
      </c>
      <c r="C30" s="209" t="s">
        <v>114</v>
      </c>
      <c r="D30" s="209" t="s">
        <v>115</v>
      </c>
      <c r="E30" s="209" t="s">
        <v>116</v>
      </c>
      <c r="F30" s="214"/>
      <c r="H30" s="222"/>
      <c r="K30" s="223"/>
      <c r="N30" s="223"/>
      <c r="Q30" s="223"/>
    </row>
    <row r="31" spans="1:17" ht="12.75" hidden="1" customHeight="1" x14ac:dyDescent="0.2">
      <c r="A31" s="383"/>
      <c r="B31" s="386"/>
      <c r="C31" s="210">
        <v>7006</v>
      </c>
      <c r="D31" s="210" t="s">
        <v>117</v>
      </c>
      <c r="E31" s="210" t="s">
        <v>118</v>
      </c>
      <c r="F31" s="214"/>
      <c r="H31" s="222"/>
      <c r="K31" s="222"/>
      <c r="N31" s="222"/>
      <c r="Q31" s="222"/>
    </row>
    <row r="32" spans="1:17" ht="12.75" hidden="1" customHeight="1" x14ac:dyDescent="0.2">
      <c r="A32" s="383"/>
      <c r="B32" s="386"/>
      <c r="C32" s="210"/>
      <c r="D32" s="210"/>
      <c r="E32" s="210"/>
      <c r="F32" s="214"/>
      <c r="H32" s="222"/>
      <c r="K32" s="222"/>
      <c r="N32" s="222"/>
      <c r="Q32" s="222"/>
    </row>
    <row r="33" spans="1:18" ht="12.75" hidden="1" customHeight="1" x14ac:dyDescent="0.2">
      <c r="A33" s="383"/>
      <c r="B33" s="386"/>
      <c r="C33" s="210"/>
      <c r="D33" s="210"/>
      <c r="E33" s="210"/>
      <c r="F33" s="214"/>
      <c r="H33" s="222"/>
      <c r="K33" s="222"/>
      <c r="N33" s="222"/>
      <c r="Q33" s="222"/>
    </row>
    <row r="34" spans="1:18" ht="12.75" hidden="1" customHeight="1" x14ac:dyDescent="0.2">
      <c r="A34" s="383"/>
      <c r="B34" s="386"/>
      <c r="C34" s="210"/>
      <c r="D34" s="210"/>
      <c r="E34" s="210"/>
      <c r="F34" s="214"/>
      <c r="H34" s="222"/>
      <c r="K34" s="222"/>
      <c r="N34" s="222"/>
      <c r="Q34" s="222"/>
    </row>
    <row r="35" spans="1:18" ht="13.5" hidden="1" customHeight="1" thickBot="1" x14ac:dyDescent="0.25">
      <c r="A35" s="384"/>
      <c r="B35" s="387"/>
      <c r="C35" s="393" t="s">
        <v>105</v>
      </c>
      <c r="D35" s="394"/>
      <c r="E35" s="3">
        <v>17.059999999999999</v>
      </c>
      <c r="F35" s="5" t="e">
        <f>ROUND(H35/1.19,0)</f>
        <v>#REF!</v>
      </c>
      <c r="G35" s="5" t="e">
        <f>H35-F35</f>
        <v>#REF!</v>
      </c>
      <c r="H35" s="6" t="e">
        <f>+#REF!</f>
        <v>#REF!</v>
      </c>
      <c r="I35" s="5" t="e">
        <f>ROUND(K35/1.19,0)</f>
        <v>#REF!</v>
      </c>
      <c r="J35" s="5" t="e">
        <f>K35-I35</f>
        <v>#REF!</v>
      </c>
      <c r="K35" s="6" t="e">
        <f>+#REF!</f>
        <v>#REF!</v>
      </c>
      <c r="L35" s="4" t="e">
        <f>ROUND(N35/1.19,0)</f>
        <v>#REF!</v>
      </c>
      <c r="M35" s="5" t="e">
        <f>N35-L35</f>
        <v>#REF!</v>
      </c>
      <c r="N35" s="6" t="e">
        <f>+#REF!</f>
        <v>#REF!</v>
      </c>
      <c r="O35" s="4" t="e">
        <f>ROUND(Q35/1.19,0)</f>
        <v>#REF!</v>
      </c>
      <c r="P35" s="5" t="e">
        <f>Q35-O35</f>
        <v>#REF!</v>
      </c>
      <c r="Q35" s="6" t="e">
        <f>+#REF!</f>
        <v>#REF!</v>
      </c>
    </row>
    <row r="36" spans="1:18" ht="12.75" customHeight="1" x14ac:dyDescent="0.2">
      <c r="A36" s="382" t="s">
        <v>5</v>
      </c>
      <c r="B36" s="395">
        <v>5</v>
      </c>
      <c r="C36" s="398">
        <v>7007</v>
      </c>
      <c r="D36" s="398" t="s">
        <v>119</v>
      </c>
      <c r="E36" s="400" t="s">
        <v>120</v>
      </c>
      <c r="F36" s="214"/>
      <c r="H36" s="222"/>
      <c r="K36" s="222"/>
      <c r="N36" s="222"/>
      <c r="Q36" s="222"/>
    </row>
    <row r="37" spans="1:18" ht="12.75" customHeight="1" x14ac:dyDescent="0.2">
      <c r="A37" s="383"/>
      <c r="B37" s="396"/>
      <c r="C37" s="399"/>
      <c r="D37" s="399"/>
      <c r="E37" s="401"/>
      <c r="F37" s="214"/>
      <c r="H37" s="222"/>
      <c r="K37" s="222"/>
      <c r="N37" s="222"/>
      <c r="Q37" s="222"/>
    </row>
    <row r="38" spans="1:18" ht="12.75" customHeight="1" x14ac:dyDescent="0.2">
      <c r="A38" s="383"/>
      <c r="B38" s="396"/>
      <c r="C38" s="399"/>
      <c r="D38" s="399"/>
      <c r="E38" s="401"/>
      <c r="F38" s="214"/>
      <c r="H38" s="222"/>
      <c r="K38" s="222"/>
      <c r="N38" s="222"/>
      <c r="Q38" s="222"/>
    </row>
    <row r="39" spans="1:18" ht="12.75" customHeight="1" x14ac:dyDescent="0.2">
      <c r="A39" s="383"/>
      <c r="B39" s="396"/>
      <c r="C39" s="399"/>
      <c r="D39" s="399"/>
      <c r="E39" s="401"/>
      <c r="F39" s="214"/>
      <c r="H39" s="222"/>
      <c r="K39" s="222"/>
      <c r="N39" s="222"/>
      <c r="Q39" s="222"/>
    </row>
    <row r="40" spans="1:18" ht="12.75" customHeight="1" x14ac:dyDescent="0.2">
      <c r="A40" s="383"/>
      <c r="B40" s="396"/>
      <c r="C40" s="399"/>
      <c r="D40" s="399"/>
      <c r="E40" s="401"/>
      <c r="F40" s="214"/>
      <c r="H40" s="222"/>
      <c r="K40" s="222"/>
      <c r="N40" s="222"/>
      <c r="Q40" s="222"/>
    </row>
    <row r="41" spans="1:18" ht="13.5" customHeight="1" thickBot="1" x14ac:dyDescent="0.25">
      <c r="A41" s="384"/>
      <c r="B41" s="397"/>
      <c r="C41" s="393" t="s">
        <v>105</v>
      </c>
      <c r="D41" s="394"/>
      <c r="E41" s="3">
        <v>43.14</v>
      </c>
      <c r="F41" s="5" t="e">
        <f>ROUND(H41/1.19,0)</f>
        <v>#REF!</v>
      </c>
      <c r="G41" s="5" t="e">
        <f>H41-F41</f>
        <v>#REF!</v>
      </c>
      <c r="H41" s="6" t="e">
        <f>+#REF!</f>
        <v>#REF!</v>
      </c>
      <c r="I41" s="5" t="e">
        <f>ROUND(K41/1.19,0)</f>
        <v>#REF!</v>
      </c>
      <c r="J41" s="5" t="e">
        <f>K41-I41</f>
        <v>#REF!</v>
      </c>
      <c r="K41" s="6" t="e">
        <f>+#REF!</f>
        <v>#REF!</v>
      </c>
      <c r="L41" s="4" t="e">
        <f>ROUND(N41/1.19,0)</f>
        <v>#REF!</v>
      </c>
      <c r="M41" s="5" t="e">
        <f>N41-L41</f>
        <v>#REF!</v>
      </c>
      <c r="N41" s="6" t="e">
        <f>+#REF!</f>
        <v>#REF!</v>
      </c>
      <c r="O41" s="4" t="e">
        <f>ROUND(Q41/1.19,0)</f>
        <v>#REF!</v>
      </c>
      <c r="P41" s="5" t="e">
        <f>Q41-O41</f>
        <v>#REF!</v>
      </c>
      <c r="Q41" s="6" t="e">
        <f>+#REF!</f>
        <v>#REF!</v>
      </c>
    </row>
    <row r="42" spans="1:18" ht="13.5" hidden="1" thickBot="1" x14ac:dyDescent="0.25">
      <c r="C42" s="393" t="s">
        <v>8</v>
      </c>
      <c r="D42" s="394"/>
      <c r="E42" s="211">
        <f>+E17+E23+E29+E35+E41</f>
        <v>606.15</v>
      </c>
      <c r="F42" s="225" t="e">
        <f>SUM(F12:F41)</f>
        <v>#REF!</v>
      </c>
      <c r="G42" s="224" t="e">
        <f t="shared" ref="G42:H42" si="0">SUM(G12:G41)</f>
        <v>#REF!</v>
      </c>
      <c r="H42" s="226" t="e">
        <f t="shared" si="0"/>
        <v>#REF!</v>
      </c>
      <c r="I42" s="224" t="e">
        <f>SUM(I12:I41)</f>
        <v>#REF!</v>
      </c>
      <c r="J42" s="224" t="e">
        <f t="shared" ref="J42:Q42" si="1">SUM(J12:J41)</f>
        <v>#REF!</v>
      </c>
      <c r="K42" s="227" t="e">
        <f t="shared" si="1"/>
        <v>#REF!</v>
      </c>
      <c r="L42" s="224" t="e">
        <f t="shared" si="1"/>
        <v>#REF!</v>
      </c>
      <c r="M42" s="224" t="e">
        <f t="shared" si="1"/>
        <v>#REF!</v>
      </c>
      <c r="N42" s="227" t="e">
        <f t="shared" si="1"/>
        <v>#REF!</v>
      </c>
      <c r="O42" s="224" t="e">
        <f t="shared" si="1"/>
        <v>#REF!</v>
      </c>
      <c r="P42" s="224" t="e">
        <f t="shared" si="1"/>
        <v>#REF!</v>
      </c>
      <c r="Q42" s="227" t="e">
        <f t="shared" si="1"/>
        <v>#REF!</v>
      </c>
      <c r="R42" s="227" t="e">
        <f>+H42+K42+N42+Q42</f>
        <v>#REF!</v>
      </c>
    </row>
    <row r="43" spans="1:18" ht="18.75" hidden="1" thickBot="1" x14ac:dyDescent="0.25">
      <c r="A43" s="215"/>
      <c r="B43" s="216"/>
      <c r="C43" s="217"/>
      <c r="D43" s="217"/>
      <c r="E43" s="228" t="s">
        <v>93</v>
      </c>
      <c r="F43" s="229" t="e">
        <f>+F42*1.04</f>
        <v>#REF!</v>
      </c>
      <c r="G43" s="229" t="e">
        <f t="shared" ref="G43:Q43" si="2">+G42*1.04</f>
        <v>#REF!</v>
      </c>
      <c r="H43" s="230" t="e">
        <f t="shared" si="2"/>
        <v>#REF!</v>
      </c>
      <c r="I43" s="229" t="e">
        <f t="shared" si="2"/>
        <v>#REF!</v>
      </c>
      <c r="J43" s="229" t="e">
        <f t="shared" si="2"/>
        <v>#REF!</v>
      </c>
      <c r="K43" s="230" t="e">
        <f t="shared" si="2"/>
        <v>#REF!</v>
      </c>
      <c r="L43" s="229" t="e">
        <f t="shared" si="2"/>
        <v>#REF!</v>
      </c>
      <c r="M43" s="229" t="e">
        <f t="shared" si="2"/>
        <v>#REF!</v>
      </c>
      <c r="N43" s="230" t="e">
        <f t="shared" si="2"/>
        <v>#REF!</v>
      </c>
      <c r="O43" s="229" t="e">
        <f t="shared" si="2"/>
        <v>#REF!</v>
      </c>
      <c r="P43" s="229" t="e">
        <f t="shared" si="2"/>
        <v>#REF!</v>
      </c>
      <c r="Q43" s="230" t="e">
        <f t="shared" si="2"/>
        <v>#REF!</v>
      </c>
      <c r="R43" s="231" t="e">
        <f>+H43+K43+N43+Q43</f>
        <v>#REF!</v>
      </c>
    </row>
    <row r="44" spans="1:18" ht="18" x14ac:dyDescent="0.2">
      <c r="A44" s="217"/>
      <c r="B44" s="216"/>
      <c r="C44" s="217"/>
      <c r="D44" s="217"/>
    </row>
  </sheetData>
  <mergeCells count="33">
    <mergeCell ref="C42:D42"/>
    <mergeCell ref="F10:H10"/>
    <mergeCell ref="I10:K10"/>
    <mergeCell ref="L10:N10"/>
    <mergeCell ref="C35:D35"/>
    <mergeCell ref="C29:D29"/>
    <mergeCell ref="E10:E11"/>
    <mergeCell ref="A30:A35"/>
    <mergeCell ref="B30:B35"/>
    <mergeCell ref="C23:D23"/>
    <mergeCell ref="A24:A29"/>
    <mergeCell ref="B24:B29"/>
    <mergeCell ref="A18:A23"/>
    <mergeCell ref="B18:B23"/>
    <mergeCell ref="A36:A41"/>
    <mergeCell ref="B36:B41"/>
    <mergeCell ref="C36:C40"/>
    <mergeCell ref="D36:D40"/>
    <mergeCell ref="E36:E40"/>
    <mergeCell ref="C41:D41"/>
    <mergeCell ref="B1:Q1"/>
    <mergeCell ref="B2:Q2"/>
    <mergeCell ref="B4:Q4"/>
    <mergeCell ref="O10:Q10"/>
    <mergeCell ref="A12:A17"/>
    <mergeCell ref="B12:B17"/>
    <mergeCell ref="B7:D7"/>
    <mergeCell ref="B8:C8"/>
    <mergeCell ref="A10:A11"/>
    <mergeCell ref="B10:B11"/>
    <mergeCell ref="C10:C11"/>
    <mergeCell ref="D10:D11"/>
    <mergeCell ref="C17:D17"/>
  </mergeCells>
  <pageMargins left="0.75" right="0.75" top="1" bottom="1" header="0" footer="0"/>
  <pageSetup scale="89" orientation="landscape" r:id="rId1"/>
  <headerFooter alignWithMargins="0"/>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0</xdr:col>
                <xdr:colOff>76200</xdr:colOff>
                <xdr:row>0</xdr:row>
                <xdr:rowOff>85725</xdr:rowOff>
              </from>
              <to>
                <xdr:col>0</xdr:col>
                <xdr:colOff>904875</xdr:colOff>
                <xdr:row>5</xdr:row>
                <xdr:rowOff>76200</xdr:rowOff>
              </to>
            </anchor>
          </objectPr>
        </oleObject>
      </mc:Choice>
      <mc:Fallback>
        <oleObject progId="PBrush" shapeId="10241"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Long. &gt;126 km y &lt; ó = 190 km </vt:lpstr>
      <vt:lpstr>Long. &gt;126 km y &lt; ó = 190 km OK</vt:lpstr>
      <vt:lpstr>GV- TMM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Fabio Mojica Fernandez</dc:creator>
  <cp:lastModifiedBy>Juan Gabriel Medina Parra</cp:lastModifiedBy>
  <dcterms:created xsi:type="dcterms:W3CDTF">2020-02-26T18:43:20Z</dcterms:created>
  <dcterms:modified xsi:type="dcterms:W3CDTF">2023-05-03T23:34:19Z</dcterms:modified>
</cp:coreProperties>
</file>