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15.xml" ContentType="application/vnd.openxmlformats-officedocument.drawing+xml"/>
  <Override PartName="/xl/tables/table2.xml" ContentType="application/vnd.openxmlformats-officedocument.spreadsheetml.table+xml"/>
  <Override PartName="/xl/drawings/drawing16.xml" ContentType="application/vnd.openxmlformats-officedocument.drawing+xml"/>
  <Override PartName="/xl/tables/table3.xml" ContentType="application/vnd.openxmlformats-officedocument.spreadsheetml.table+xml"/>
  <Override PartName="/xl/comments4.xml" ContentType="application/vnd.openxmlformats-officedocument.spreadsheetml.comments+xml"/>
  <Override PartName="/xl/drawings/drawing17.xml" ContentType="application/vnd.openxmlformats-officedocument.drawing+xml"/>
  <Override PartName="/xl/tables/table4.xml" ContentType="application/vnd.openxmlformats-officedocument.spreadsheetml.table+xml"/>
  <Override PartName="/xl/comments5.xml" ContentType="application/vnd.openxmlformats-officedocument.spreadsheetml.comment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Escritorio 03 03 2022\ALCALDIAS\ALCALDIA DE SAMPUES\PAE 2023\"/>
    </mc:Choice>
  </mc:AlternateContent>
  <bookViews>
    <workbookView xWindow="0" yWindow="0" windowWidth="7155" windowHeight="4095" firstSheet="10" activeTab="11"/>
  </bookViews>
  <sheets>
    <sheet name="PROMEDIO COTIZACION" sheetId="21" r:id="rId1"/>
    <sheet name="COMPLEMENTO AM-PM NIVEL PREESC" sheetId="97" r:id="rId2"/>
    <sheet name="COMPLEMENTO AM-PM NP GDOS 1-3" sheetId="98" r:id="rId3"/>
    <sheet name="COMPLEMENTO AM-PM NP GDOS 4-5" sheetId="99" r:id="rId4"/>
    <sheet name="COMPLEMENTO RI NI PREESC" sheetId="100" r:id="rId5"/>
    <sheet name="COMPLEMENTO RI NP GDOS 1-3" sheetId="101" r:id="rId6"/>
    <sheet name="COMPLEMENTO RI NP GDOS 4-5" sheetId="102" r:id="rId7"/>
    <sheet name="N° LITROS" sheetId="92" r:id="rId8"/>
    <sheet name="ASEO RPS" sheetId="76" r:id="rId9"/>
    <sheet name="ASEO RI" sheetId="103" r:id="rId10"/>
    <sheet name="COMBUSTIBLE-SEDES" sheetId="75" r:id="rId11"/>
    <sheet name="N°MANIPULADORES" sheetId="79" r:id="rId12"/>
    <sheet name="SMMLV 2023" sheetId="39" r:id="rId13"/>
    <sheet name="TRANSPORTE" sheetId="56" r:id="rId14"/>
    <sheet name="SALARIOS RECURSO HUMANO" sheetId="38" r:id="rId15"/>
    <sheet name="DOTACION" sheetId="54" r:id="rId16"/>
    <sheet name="EXAMEN" sheetId="55" r:id="rId17"/>
    <sheet name="EQUIPO PAE" sheetId="29" r:id="rId18"/>
    <sheet name="CALENDARIO 2023" sheetId="30" r:id="rId19"/>
    <sheet name="IMPUESTO Y ESTAMPILLAS" sheetId="31" r:id="rId20"/>
    <sheet name="RESUMEN CUPOS" sheetId="82" r:id="rId21"/>
    <sheet name="VALOR RACIÓN 2023" sheetId="32" r:id="rId22"/>
    <sheet name="PRESUPUESTO 2023" sheetId="33" r:id="rId23"/>
    <sheet name="GASTOS ADMINISTRATIVOS" sheetId="80"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____PJ50" localSheetId="9">#REF!</definedName>
    <definedName name="_____PJ50" localSheetId="18">#REF!</definedName>
    <definedName name="_____PJ50" localSheetId="5">#REF!</definedName>
    <definedName name="_____PJ50" localSheetId="6">#REF!</definedName>
    <definedName name="_____PJ50" localSheetId="7">#REF!</definedName>
    <definedName name="_____PJ50" localSheetId="11">#REF!</definedName>
    <definedName name="_____PJ50" localSheetId="22">#REF!</definedName>
    <definedName name="_____PJ50" localSheetId="20">#REF!</definedName>
    <definedName name="_____PJ50" localSheetId="13">#REF!</definedName>
    <definedName name="_____PJ50">#REF!</definedName>
    <definedName name="_____pj51" localSheetId="9">#REF!</definedName>
    <definedName name="_____pj51" localSheetId="18">#REF!</definedName>
    <definedName name="_____pj51" localSheetId="5">#REF!</definedName>
    <definedName name="_____pj51" localSheetId="6">#REF!</definedName>
    <definedName name="_____pj51" localSheetId="7">#REF!</definedName>
    <definedName name="_____pj51" localSheetId="11">#REF!</definedName>
    <definedName name="_____pj51" localSheetId="22">#REF!</definedName>
    <definedName name="_____pj51" localSheetId="20">#REF!</definedName>
    <definedName name="_____pj51" localSheetId="13">#REF!</definedName>
    <definedName name="_____pj51">#REF!</definedName>
    <definedName name="____PJ50" localSheetId="9">#REF!</definedName>
    <definedName name="____PJ50" localSheetId="18">#REF!</definedName>
    <definedName name="____PJ50" localSheetId="5">#REF!</definedName>
    <definedName name="____PJ50" localSheetId="6">#REF!</definedName>
    <definedName name="____PJ50" localSheetId="7">#REF!</definedName>
    <definedName name="____PJ50" localSheetId="11">#REF!</definedName>
    <definedName name="____PJ50" localSheetId="22">#REF!</definedName>
    <definedName name="____PJ50" localSheetId="20">#REF!</definedName>
    <definedName name="____PJ50" localSheetId="13">#REF!</definedName>
    <definedName name="____PJ50">#REF!</definedName>
    <definedName name="____pj51" localSheetId="9">#REF!</definedName>
    <definedName name="____pj51" localSheetId="18">#REF!</definedName>
    <definedName name="____pj51" localSheetId="5">#REF!</definedName>
    <definedName name="____pj51" localSheetId="6">#REF!</definedName>
    <definedName name="____pj51" localSheetId="7">#REF!</definedName>
    <definedName name="____pj51" localSheetId="11">#REF!</definedName>
    <definedName name="____pj51" localSheetId="22">#REF!</definedName>
    <definedName name="____pj51" localSheetId="20">#REF!</definedName>
    <definedName name="____pj51" localSheetId="13">#REF!</definedName>
    <definedName name="____pj51">#REF!</definedName>
    <definedName name="___PJ50" localSheetId="9">#REF!</definedName>
    <definedName name="___PJ50" localSheetId="18">#REF!</definedName>
    <definedName name="___PJ50" localSheetId="5">#REF!</definedName>
    <definedName name="___PJ50" localSheetId="6">#REF!</definedName>
    <definedName name="___PJ50" localSheetId="7">#REF!</definedName>
    <definedName name="___PJ50" localSheetId="11">#REF!</definedName>
    <definedName name="___PJ50" localSheetId="22">#REF!</definedName>
    <definedName name="___PJ50" localSheetId="20">#REF!</definedName>
    <definedName name="___PJ50" localSheetId="13">#REF!</definedName>
    <definedName name="___PJ50">#REF!</definedName>
    <definedName name="___pj51" localSheetId="9">#REF!</definedName>
    <definedName name="___pj51" localSheetId="18">#REF!</definedName>
    <definedName name="___pj51" localSheetId="5">#REF!</definedName>
    <definedName name="___pj51" localSheetId="6">#REF!</definedName>
    <definedName name="___pj51" localSheetId="7">#REF!</definedName>
    <definedName name="___pj51" localSheetId="11">#REF!</definedName>
    <definedName name="___pj51" localSheetId="22">#REF!</definedName>
    <definedName name="___pj51" localSheetId="20">#REF!</definedName>
    <definedName name="___pj51" localSheetId="13">#REF!</definedName>
    <definedName name="___pj51">#REF!</definedName>
    <definedName name="__PJ50" localSheetId="9">#REF!</definedName>
    <definedName name="__PJ50" localSheetId="18">#REF!</definedName>
    <definedName name="__PJ50" localSheetId="5">#REF!</definedName>
    <definedName name="__PJ50" localSheetId="6">#REF!</definedName>
    <definedName name="__PJ50" localSheetId="7">#REF!</definedName>
    <definedName name="__PJ50" localSheetId="11">#REF!</definedName>
    <definedName name="__PJ50" localSheetId="22">#REF!</definedName>
    <definedName name="__PJ50" localSheetId="20">#REF!</definedName>
    <definedName name="__PJ50" localSheetId="13">#REF!</definedName>
    <definedName name="__PJ50">#REF!</definedName>
    <definedName name="__pj51" localSheetId="9">#REF!</definedName>
    <definedName name="__pj51" localSheetId="18">#REF!</definedName>
    <definedName name="__pj51" localSheetId="5">#REF!</definedName>
    <definedName name="__pj51" localSheetId="6">#REF!</definedName>
    <definedName name="__pj51" localSheetId="7">#REF!</definedName>
    <definedName name="__pj51" localSheetId="11">#REF!</definedName>
    <definedName name="__pj51" localSheetId="22">#REF!</definedName>
    <definedName name="__pj51" localSheetId="20">#REF!</definedName>
    <definedName name="__pj51" localSheetId="13">#REF!</definedName>
    <definedName name="__pj51">#REF!</definedName>
    <definedName name="_APU221" localSheetId="9">#REF!</definedName>
    <definedName name="_APU221" localSheetId="18">#REF!</definedName>
    <definedName name="_APU221" localSheetId="5">#REF!</definedName>
    <definedName name="_APU221" localSheetId="6">#REF!</definedName>
    <definedName name="_APU221" localSheetId="7">#REF!</definedName>
    <definedName name="_APU221" localSheetId="11">#REF!</definedName>
    <definedName name="_APU221" localSheetId="22">#REF!</definedName>
    <definedName name="_APU221" localSheetId="20">#REF!</definedName>
    <definedName name="_APU221" localSheetId="13">#REF!</definedName>
    <definedName name="_APU221">#REF!</definedName>
    <definedName name="_APU465" localSheetId="9">[1]!absc</definedName>
    <definedName name="_APU465" localSheetId="18">[1]!absc</definedName>
    <definedName name="_APU465" localSheetId="5">[1]!absc</definedName>
    <definedName name="_APU465" localSheetId="6">[1]!absc</definedName>
    <definedName name="_APU465" localSheetId="7">[1]!absc</definedName>
    <definedName name="_APU465" localSheetId="11">[1]!absc</definedName>
    <definedName name="_APU465" localSheetId="22">[1]!absc</definedName>
    <definedName name="_APU465">[1]!absc</definedName>
    <definedName name="_xlnm._FilterDatabase" localSheetId="10" hidden="1">'COMBUSTIBLE-SEDES'!$A$8:$M$15</definedName>
    <definedName name="_xlnm._FilterDatabase" localSheetId="15" hidden="1">DOTACION!$A$5:$G$6</definedName>
    <definedName name="_xlnm._FilterDatabase" localSheetId="7" hidden="1">'N° LITROS'!$A$8:$J$22</definedName>
    <definedName name="_xlnm._FilterDatabase" localSheetId="11" hidden="1">N°MANIPULADORES!$A$8:$S$23</definedName>
    <definedName name="_xlnm._FilterDatabase" localSheetId="0" hidden="1">'PROMEDIO COTIZACION'!$A$8:$I$84</definedName>
    <definedName name="_PJ50" localSheetId="9">#REF!</definedName>
    <definedName name="_PJ50" localSheetId="18">#REF!</definedName>
    <definedName name="_PJ50" localSheetId="5">#REF!</definedName>
    <definedName name="_PJ50" localSheetId="6">#REF!</definedName>
    <definedName name="_PJ50" localSheetId="7">#REF!</definedName>
    <definedName name="_PJ50" localSheetId="11">#REF!</definedName>
    <definedName name="_PJ50" localSheetId="22">#REF!</definedName>
    <definedName name="_PJ50" localSheetId="20">#REF!</definedName>
    <definedName name="_PJ50" localSheetId="13">#REF!</definedName>
    <definedName name="_PJ50">#REF!</definedName>
    <definedName name="_pj51" localSheetId="9">#REF!</definedName>
    <definedName name="_pj51" localSheetId="18">#REF!</definedName>
    <definedName name="_pj51" localSheetId="5">#REF!</definedName>
    <definedName name="_pj51" localSheetId="6">#REF!</definedName>
    <definedName name="_pj51" localSheetId="7">#REF!</definedName>
    <definedName name="_pj51" localSheetId="11">#REF!</definedName>
    <definedName name="_pj51" localSheetId="22">#REF!</definedName>
    <definedName name="_pj51" localSheetId="20">#REF!</definedName>
    <definedName name="_pj51" localSheetId="13">#REF!</definedName>
    <definedName name="_pj51">#REF!</definedName>
    <definedName name="A" localSheetId="9">#REF!</definedName>
    <definedName name="A" localSheetId="18">#REF!</definedName>
    <definedName name="A" localSheetId="5">#REF!</definedName>
    <definedName name="A" localSheetId="6">#REF!</definedName>
    <definedName name="A" localSheetId="7">#REF!</definedName>
    <definedName name="A" localSheetId="11">#REF!</definedName>
    <definedName name="A" localSheetId="22">#REF!</definedName>
    <definedName name="A" localSheetId="20">#REF!</definedName>
    <definedName name="A" localSheetId="13">#REF!</definedName>
    <definedName name="A">#REF!</definedName>
    <definedName name="A_impresión_IM" localSheetId="9">#REF!</definedName>
    <definedName name="A_impresión_IM" localSheetId="18">#REF!</definedName>
    <definedName name="A_impresión_IM" localSheetId="5">#REF!</definedName>
    <definedName name="A_impresión_IM" localSheetId="6">#REF!</definedName>
    <definedName name="A_impresión_IM" localSheetId="7">#REF!</definedName>
    <definedName name="A_impresión_IM" localSheetId="11">#REF!</definedName>
    <definedName name="A_impresión_IM" localSheetId="22">#REF!</definedName>
    <definedName name="A_impresión_IM" localSheetId="20">#REF!</definedName>
    <definedName name="A_impresión_IM" localSheetId="13">#REF!</definedName>
    <definedName name="A_impresión_IM">#REF!</definedName>
    <definedName name="absc">#N/A</definedName>
    <definedName name="adoq" localSheetId="9">[2]!absc</definedName>
    <definedName name="adoq" localSheetId="18">[2]!absc</definedName>
    <definedName name="adoq" localSheetId="5">[2]!absc</definedName>
    <definedName name="adoq" localSheetId="6">[2]!absc</definedName>
    <definedName name="adoq" localSheetId="7">[2]!absc</definedName>
    <definedName name="adoq" localSheetId="11">[2]!absc</definedName>
    <definedName name="adoq" localSheetId="22">[2]!absc</definedName>
    <definedName name="adoq">[2]!absc</definedName>
    <definedName name="alc" localSheetId="9">[3]!absc</definedName>
    <definedName name="alc" localSheetId="18">[3]!absc</definedName>
    <definedName name="alc" localSheetId="5">[3]!absc</definedName>
    <definedName name="alc" localSheetId="6">[3]!absc</definedName>
    <definedName name="alc" localSheetId="7">[3]!absc</definedName>
    <definedName name="alc" localSheetId="11">[3]!absc</definedName>
    <definedName name="alc" localSheetId="22">[3]!absc</definedName>
    <definedName name="alc">[3]!absc</definedName>
    <definedName name="AÑOWUIE" localSheetId="20">'[4]Res-Accide-10'!$R$2:$R$7</definedName>
    <definedName name="AÑOWUIE">'[5]Res-Accide-10'!$R$2:$R$7</definedName>
    <definedName name="APU" localSheetId="9">[6]!absc</definedName>
    <definedName name="APU" localSheetId="18">[6]!absc</definedName>
    <definedName name="APU" localSheetId="5">[6]!absc</definedName>
    <definedName name="APU" localSheetId="6">[6]!absc</definedName>
    <definedName name="APU" localSheetId="7">[6]!absc</definedName>
    <definedName name="APU" localSheetId="11">[6]!absc</definedName>
    <definedName name="APU" localSheetId="22">[6]!absc</definedName>
    <definedName name="APU" localSheetId="20">[7]!absc</definedName>
    <definedName name="APU" localSheetId="13">[7]!absc</definedName>
    <definedName name="APU">[6]!absc</definedName>
    <definedName name="APU221.1" localSheetId="9">#REF!</definedName>
    <definedName name="APU221.1" localSheetId="18">#REF!</definedName>
    <definedName name="APU221.1" localSheetId="5">#REF!</definedName>
    <definedName name="APU221.1" localSheetId="6">#REF!</definedName>
    <definedName name="APU221.1" localSheetId="7">#REF!</definedName>
    <definedName name="APU221.1" localSheetId="11">#REF!</definedName>
    <definedName name="APU221.1" localSheetId="22">#REF!</definedName>
    <definedName name="APU221.1" localSheetId="20">#REF!</definedName>
    <definedName name="APU221.1" localSheetId="13">#REF!</definedName>
    <definedName name="APU221.1">#REF!</definedName>
    <definedName name="APU221.2" localSheetId="9">#REF!</definedName>
    <definedName name="APU221.2" localSheetId="18">#REF!</definedName>
    <definedName name="APU221.2" localSheetId="5">#REF!</definedName>
    <definedName name="APU221.2" localSheetId="6">#REF!</definedName>
    <definedName name="APU221.2" localSheetId="7">#REF!</definedName>
    <definedName name="APU221.2" localSheetId="11">#REF!</definedName>
    <definedName name="APU221.2" localSheetId="22">#REF!</definedName>
    <definedName name="APU221.2" localSheetId="20">#REF!</definedName>
    <definedName name="APU221.2" localSheetId="13">#REF!</definedName>
    <definedName name="APU221.2">#REF!</definedName>
    <definedName name="_xlnm.Print_Area" localSheetId="9">#REF!</definedName>
    <definedName name="_xlnm.Print_Area" localSheetId="18">'CALENDARIO 2023'!$A$1:$B$31</definedName>
    <definedName name="_xlnm.Print_Area" localSheetId="10">'COMBUSTIBLE-SEDES'!$A$1:$M$26</definedName>
    <definedName name="_xlnm.Print_Area" localSheetId="1">'COMPLEMENTO AM-PM NIVEL PREESC'!$A$1:$F$389</definedName>
    <definedName name="_xlnm.Print_Area" localSheetId="2">'COMPLEMENTO AM-PM NP GDOS 1-3'!$A$1:$F$389</definedName>
    <definedName name="_xlnm.Print_Area" localSheetId="3">'COMPLEMENTO AM-PM NP GDOS 4-5'!$A$1:$F$389</definedName>
    <definedName name="_xlnm.Print_Area" localSheetId="4">'COMPLEMENTO RI NI PREESC'!$A$1:$F$117</definedName>
    <definedName name="_xlnm.Print_Area" localSheetId="5">'COMPLEMENTO RI NP GDOS 1-3'!$A$1:$F$117</definedName>
    <definedName name="_xlnm.Print_Area" localSheetId="6">'COMPLEMENTO RI NP GDOS 4-5'!$A$1:$F$117</definedName>
    <definedName name="_xlnm.Print_Area" localSheetId="15">DOTACION!$A$1:$G$27</definedName>
    <definedName name="_xlnm.Print_Area" localSheetId="16">EXAMEN!$A$1:$G$26</definedName>
    <definedName name="_xlnm.Print_Area" localSheetId="7">'N° LITROS'!$A$1:$J$28</definedName>
    <definedName name="_xlnm.Print_Area" localSheetId="11">N°MANIPULADORES!$A$1:$S$32</definedName>
    <definedName name="_xlnm.Print_Area" localSheetId="22">'PRESUPUESTO 2023'!$A$1:$F$38</definedName>
    <definedName name="_xlnm.Print_Area" localSheetId="20">#REF!</definedName>
    <definedName name="_xlnm.Print_Area" localSheetId="14">'SALARIOS RECURSO HUMANO'!$A$1:$E$18</definedName>
    <definedName name="_xlnm.Print_Area" localSheetId="13">TRANSPORTE!$A$1:$J$29</definedName>
    <definedName name="_xlnm.Print_Area">#REF!</definedName>
    <definedName name="asdfñk" localSheetId="9">[8]!absc</definedName>
    <definedName name="asdfñk" localSheetId="18">[8]!absc</definedName>
    <definedName name="asdfñk" localSheetId="5">[8]!absc</definedName>
    <definedName name="asdfñk" localSheetId="6">[8]!absc</definedName>
    <definedName name="asdfñk" localSheetId="7">[8]!absc</definedName>
    <definedName name="asdfñk" localSheetId="11">[8]!absc</definedName>
    <definedName name="asdfñk" localSheetId="22">[8]!absc</definedName>
    <definedName name="asdfñk" localSheetId="20">[9]!absc</definedName>
    <definedName name="asdfñk">[8]!absc</definedName>
    <definedName name="auto1" localSheetId="9">#REF!</definedName>
    <definedName name="auto1" localSheetId="18">#REF!</definedName>
    <definedName name="auto1" localSheetId="5">#REF!</definedName>
    <definedName name="auto1" localSheetId="6">#REF!</definedName>
    <definedName name="auto1" localSheetId="7">#REF!</definedName>
    <definedName name="auto1" localSheetId="11">#REF!</definedName>
    <definedName name="auto1" localSheetId="22">#REF!</definedName>
    <definedName name="auto1" localSheetId="20">#REF!</definedName>
    <definedName name="auto1" localSheetId="13">#REF!</definedName>
    <definedName name="auto1">#REF!</definedName>
    <definedName name="auto2" localSheetId="9">#REF!</definedName>
    <definedName name="auto2" localSheetId="18">#REF!</definedName>
    <definedName name="auto2" localSheetId="5">#REF!</definedName>
    <definedName name="auto2" localSheetId="6">#REF!</definedName>
    <definedName name="auto2" localSheetId="7">#REF!</definedName>
    <definedName name="auto2" localSheetId="11">#REF!</definedName>
    <definedName name="auto2" localSheetId="22">#REF!</definedName>
    <definedName name="auto2" localSheetId="20">#REF!</definedName>
    <definedName name="auto2" localSheetId="13">#REF!</definedName>
    <definedName name="auto2">#REF!</definedName>
    <definedName name="b" localSheetId="9">#REF!</definedName>
    <definedName name="b" localSheetId="18">#REF!</definedName>
    <definedName name="b" localSheetId="5">#REF!</definedName>
    <definedName name="b" localSheetId="6">#REF!</definedName>
    <definedName name="b" localSheetId="7">#REF!</definedName>
    <definedName name="b" localSheetId="11">#REF!</definedName>
    <definedName name="b" localSheetId="22">#REF!</definedName>
    <definedName name="b" localSheetId="20">#REF!</definedName>
    <definedName name="b" localSheetId="13">#REF!</definedName>
    <definedName name="b">#REF!</definedName>
    <definedName name="_xlnm.Database" localSheetId="9">#REF!</definedName>
    <definedName name="_xlnm.Database" localSheetId="18">#REF!</definedName>
    <definedName name="_xlnm.Database" localSheetId="5">#REF!</definedName>
    <definedName name="_xlnm.Database" localSheetId="6">#REF!</definedName>
    <definedName name="_xlnm.Database" localSheetId="7">#REF!</definedName>
    <definedName name="_xlnm.Database" localSheetId="11">#REF!</definedName>
    <definedName name="_xlnm.Database" localSheetId="22">#REF!</definedName>
    <definedName name="_xlnm.Database" localSheetId="20">#REF!</definedName>
    <definedName name="_xlnm.Database" localSheetId="13">#REF!</definedName>
    <definedName name="_xlnm.Database">#REF!</definedName>
    <definedName name="C_" localSheetId="9">#REF!</definedName>
    <definedName name="C_" localSheetId="18">#REF!</definedName>
    <definedName name="C_" localSheetId="5">#REF!</definedName>
    <definedName name="C_" localSheetId="6">#REF!</definedName>
    <definedName name="C_" localSheetId="7">#REF!</definedName>
    <definedName name="C_" localSheetId="11">#REF!</definedName>
    <definedName name="C_" localSheetId="22">#REF!</definedName>
    <definedName name="C_" localSheetId="20">#REF!</definedName>
    <definedName name="C_" localSheetId="13">#REF!</definedName>
    <definedName name="C_">#REF!</definedName>
    <definedName name="CANT" localSheetId="9">#REF!</definedName>
    <definedName name="CANT" localSheetId="18">#REF!</definedName>
    <definedName name="CANT" localSheetId="5">#REF!</definedName>
    <definedName name="CANT" localSheetId="6">#REF!</definedName>
    <definedName name="CANT" localSheetId="7">#REF!</definedName>
    <definedName name="CANT" localSheetId="11">#REF!</definedName>
    <definedName name="CANT" localSheetId="22">#REF!</definedName>
    <definedName name="CANT" localSheetId="20">#REF!</definedName>
    <definedName name="CANT" localSheetId="13">#REF!</definedName>
    <definedName name="CANT">#REF!</definedName>
    <definedName name="CCCCCC" localSheetId="9">'[10]A. P. U.'!#REF!</definedName>
    <definedName name="CCCCCC" localSheetId="18">'[10]A. P. U.'!#REF!</definedName>
    <definedName name="CCCCCC" localSheetId="5">'[10]A. P. U.'!#REF!</definedName>
    <definedName name="CCCCCC" localSheetId="6">'[10]A. P. U.'!#REF!</definedName>
    <definedName name="CCCCCC" localSheetId="7">'[10]A. P. U.'!#REF!</definedName>
    <definedName name="CCCCCC" localSheetId="11">'[10]A. P. U.'!#REF!</definedName>
    <definedName name="CCCCCC" localSheetId="22">'[10]A. P. U.'!#REF!</definedName>
    <definedName name="CCCCCC" localSheetId="20">'[11]A. P. U.'!#REF!</definedName>
    <definedName name="CCCCCC" localSheetId="13">'[10]A. P. U.'!#REF!</definedName>
    <definedName name="CCCCCC">'[10]A. P. U.'!#REF!</definedName>
    <definedName name="ccto210" localSheetId="9">#REF!</definedName>
    <definedName name="ccto210" localSheetId="18">#REF!</definedName>
    <definedName name="ccto210" localSheetId="5">#REF!</definedName>
    <definedName name="ccto210" localSheetId="6">#REF!</definedName>
    <definedName name="ccto210" localSheetId="7">#REF!</definedName>
    <definedName name="ccto210" localSheetId="11">#REF!</definedName>
    <definedName name="ccto210" localSheetId="22">#REF!</definedName>
    <definedName name="ccto210" localSheetId="20">#REF!</definedName>
    <definedName name="ccto210" localSheetId="13">#REF!</definedName>
    <definedName name="ccto210">#REF!</definedName>
    <definedName name="consultoria" localSheetId="9">#REF!</definedName>
    <definedName name="consultoria" localSheetId="18">#REF!</definedName>
    <definedName name="consultoria" localSheetId="5">#REF!</definedName>
    <definedName name="consultoria" localSheetId="6">#REF!</definedName>
    <definedName name="consultoria" localSheetId="7">#REF!</definedName>
    <definedName name="consultoria" localSheetId="11">#REF!</definedName>
    <definedName name="consultoria" localSheetId="22">#REF!</definedName>
    <definedName name="consultoria" localSheetId="20">#REF!</definedName>
    <definedName name="consultoria" localSheetId="13">#REF!</definedName>
    <definedName name="consultoria">#REF!</definedName>
    <definedName name="DD" localSheetId="9">#REF!</definedName>
    <definedName name="DD" localSheetId="18">#REF!</definedName>
    <definedName name="DD" localSheetId="5">#REF!</definedName>
    <definedName name="DD" localSheetId="6">#REF!</definedName>
    <definedName name="DD" localSheetId="7">#REF!</definedName>
    <definedName name="DD" localSheetId="11">#REF!</definedName>
    <definedName name="DD" localSheetId="22">#REF!</definedName>
    <definedName name="DD" localSheetId="20">#REF!</definedName>
    <definedName name="DD" localSheetId="13">#REF!</definedName>
    <definedName name="DD">#REF!</definedName>
    <definedName name="diego" localSheetId="9">#REF!</definedName>
    <definedName name="diego" localSheetId="18">#REF!</definedName>
    <definedName name="diego" localSheetId="5">#REF!</definedName>
    <definedName name="diego" localSheetId="6">#REF!</definedName>
    <definedName name="diego" localSheetId="7">#REF!</definedName>
    <definedName name="diego" localSheetId="11">#REF!</definedName>
    <definedName name="diego" localSheetId="22">#REF!</definedName>
    <definedName name="diego" localSheetId="20">#REF!</definedName>
    <definedName name="diego" localSheetId="13">#REF!</definedName>
    <definedName name="diego">#REF!</definedName>
    <definedName name="diego1" localSheetId="9">#REF!</definedName>
    <definedName name="diego1" localSheetId="18">#REF!</definedName>
    <definedName name="diego1" localSheetId="5">#REF!</definedName>
    <definedName name="diego1" localSheetId="6">#REF!</definedName>
    <definedName name="diego1" localSheetId="7">#REF!</definedName>
    <definedName name="diego1" localSheetId="11">#REF!</definedName>
    <definedName name="diego1" localSheetId="22">#REF!</definedName>
    <definedName name="diego1" localSheetId="20">#REF!</definedName>
    <definedName name="diego1" localSheetId="13">#REF!</definedName>
    <definedName name="diego1">#REF!</definedName>
    <definedName name="EQUIPO" localSheetId="9">#REF!</definedName>
    <definedName name="EQUIPO" localSheetId="18">#REF!</definedName>
    <definedName name="EQUIPO" localSheetId="5">#REF!</definedName>
    <definedName name="EQUIPO" localSheetId="6">#REF!</definedName>
    <definedName name="EQUIPO" localSheetId="7">#REF!</definedName>
    <definedName name="EQUIPO" localSheetId="11">#REF!</definedName>
    <definedName name="EQUIPO" localSheetId="22">#REF!</definedName>
    <definedName name="EQUIPO" localSheetId="20">#REF!</definedName>
    <definedName name="EQUIPO" localSheetId="13">#REF!</definedName>
    <definedName name="EQUIPO">#REF!</definedName>
    <definedName name="EXCROC" localSheetId="20">'[12]Análisis de precios'!$H$52</definedName>
    <definedName name="EXCROC">'[13]Análisis de precios'!$H$52</definedName>
    <definedName name="fd" localSheetId="9">'[10]A. P. U.'!#REF!</definedName>
    <definedName name="fd" localSheetId="18">'[10]A. P. U.'!#REF!</definedName>
    <definedName name="fd" localSheetId="5">'[10]A. P. U.'!#REF!</definedName>
    <definedName name="fd" localSheetId="6">'[10]A. P. U.'!#REF!</definedName>
    <definedName name="fd" localSheetId="7">'[10]A. P. U.'!#REF!</definedName>
    <definedName name="fd" localSheetId="11">'[10]A. P. U.'!#REF!</definedName>
    <definedName name="fd" localSheetId="22">'[10]A. P. U.'!#REF!</definedName>
    <definedName name="fd" localSheetId="20">'[11]A. P. U.'!#REF!</definedName>
    <definedName name="fd" localSheetId="13">'[10]A. P. U.'!#REF!</definedName>
    <definedName name="fd">'[10]A. P. U.'!#REF!</definedName>
    <definedName name="fm" localSheetId="9">#REF!</definedName>
    <definedName name="fm" localSheetId="18">#REF!</definedName>
    <definedName name="fm" localSheetId="5">#REF!</definedName>
    <definedName name="fm" localSheetId="6">#REF!</definedName>
    <definedName name="fm" localSheetId="7">#REF!</definedName>
    <definedName name="fm" localSheetId="11">#REF!</definedName>
    <definedName name="fm" localSheetId="22">#REF!</definedName>
    <definedName name="fm" localSheetId="20">#REF!</definedName>
    <definedName name="fm" localSheetId="13">#REF!</definedName>
    <definedName name="fm">#REF!</definedName>
    <definedName name="GKJDGDIJZ">"Imagen 3"</definedName>
    <definedName name="GRUPO1" localSheetId="9">#REF!</definedName>
    <definedName name="GRUPO1" localSheetId="18">#REF!</definedName>
    <definedName name="GRUPO1" localSheetId="5">#REF!</definedName>
    <definedName name="GRUPO1" localSheetId="6">#REF!</definedName>
    <definedName name="GRUPO1" localSheetId="7">#REF!</definedName>
    <definedName name="GRUPO1" localSheetId="11">#REF!</definedName>
    <definedName name="GRUPO1" localSheetId="22">#REF!</definedName>
    <definedName name="GRUPO1" localSheetId="20">#REF!</definedName>
    <definedName name="GRUPO1" localSheetId="13">#REF!</definedName>
    <definedName name="GRUPO1">#REF!</definedName>
    <definedName name="GRUPO2" localSheetId="9">#REF!</definedName>
    <definedName name="GRUPO2" localSheetId="18">#REF!</definedName>
    <definedName name="GRUPO2" localSheetId="5">#REF!</definedName>
    <definedName name="GRUPO2" localSheetId="6">#REF!</definedName>
    <definedName name="GRUPO2" localSheetId="7">#REF!</definedName>
    <definedName name="GRUPO2" localSheetId="11">#REF!</definedName>
    <definedName name="GRUPO2" localSheetId="22">#REF!</definedName>
    <definedName name="GRUPO2" localSheetId="20">#REF!</definedName>
    <definedName name="GRUPO2" localSheetId="13">#REF!</definedName>
    <definedName name="GRUPO2">#REF!</definedName>
    <definedName name="HOJA1" localSheetId="9">#REF!</definedName>
    <definedName name="HOJA1" localSheetId="18">#REF!</definedName>
    <definedName name="HOJA1" localSheetId="5">#REF!</definedName>
    <definedName name="HOJA1" localSheetId="6">#REF!</definedName>
    <definedName name="HOJA1" localSheetId="7">#REF!</definedName>
    <definedName name="HOJA1" localSheetId="11">#REF!</definedName>
    <definedName name="HOJA1" localSheetId="22">#REF!</definedName>
    <definedName name="HOJA1" localSheetId="20">#REF!</definedName>
    <definedName name="HOJA1" localSheetId="13">#REF!</definedName>
    <definedName name="HOJA1">#REF!</definedName>
    <definedName name="I" localSheetId="9">#REF!</definedName>
    <definedName name="I" localSheetId="18">#REF!</definedName>
    <definedName name="I" localSheetId="5">#REF!</definedName>
    <definedName name="I" localSheetId="6">#REF!</definedName>
    <definedName name="I" localSheetId="7">#REF!</definedName>
    <definedName name="I" localSheetId="11">#REF!</definedName>
    <definedName name="I" localSheetId="22">#REF!</definedName>
    <definedName name="I" localSheetId="20">#REF!</definedName>
    <definedName name="I" localSheetId="13">#REF!</definedName>
    <definedName name="I">#REF!</definedName>
    <definedName name="IF" localSheetId="9">'[10]A. P. U.'!#REF!</definedName>
    <definedName name="IF" localSheetId="18">'[10]A. P. U.'!#REF!</definedName>
    <definedName name="IF" localSheetId="5">'[10]A. P. U.'!#REF!</definedName>
    <definedName name="IF" localSheetId="6">'[10]A. P. U.'!#REF!</definedName>
    <definedName name="IF" localSheetId="7">'[10]A. P. U.'!#REF!</definedName>
    <definedName name="IF" localSheetId="11">'[10]A. P. U.'!#REF!</definedName>
    <definedName name="IF" localSheetId="22">'[10]A. P. U.'!#REF!</definedName>
    <definedName name="IF" localSheetId="20">'[11]A. P. U.'!#REF!</definedName>
    <definedName name="IF" localSheetId="13">'[10]A. P. U.'!#REF!</definedName>
    <definedName name="IF">'[10]A. P. U.'!#REF!</definedName>
    <definedName name="inf" localSheetId="9">#REF!</definedName>
    <definedName name="inf" localSheetId="18">#REF!</definedName>
    <definedName name="inf" localSheetId="5">#REF!</definedName>
    <definedName name="inf" localSheetId="6">#REF!</definedName>
    <definedName name="inf" localSheetId="7">#REF!</definedName>
    <definedName name="inf" localSheetId="11">#REF!</definedName>
    <definedName name="inf" localSheetId="22">#REF!</definedName>
    <definedName name="inf" localSheetId="20">#REF!</definedName>
    <definedName name="inf" localSheetId="13">#REF!</definedName>
    <definedName name="inf">#REF!</definedName>
    <definedName name="INFG" localSheetId="9">#REF!</definedName>
    <definedName name="INFG" localSheetId="18">#REF!</definedName>
    <definedName name="INFG" localSheetId="5">#REF!</definedName>
    <definedName name="INFG" localSheetId="6">#REF!</definedName>
    <definedName name="INFG" localSheetId="7">#REF!</definedName>
    <definedName name="INFG" localSheetId="11">#REF!</definedName>
    <definedName name="INFG" localSheetId="22">#REF!</definedName>
    <definedName name="INFG" localSheetId="20">#REF!</definedName>
    <definedName name="INFG" localSheetId="13">#REF!</definedName>
    <definedName name="INFG">#REF!</definedName>
    <definedName name="inter" localSheetId="9">#REF!</definedName>
    <definedName name="inter" localSheetId="18">#REF!</definedName>
    <definedName name="inter" localSheetId="5">#REF!</definedName>
    <definedName name="inter" localSheetId="6">#REF!</definedName>
    <definedName name="inter" localSheetId="7">#REF!</definedName>
    <definedName name="inter" localSheetId="11">#REF!</definedName>
    <definedName name="inter" localSheetId="22">#REF!</definedName>
    <definedName name="inter" localSheetId="20">#REF!</definedName>
    <definedName name="inter" localSheetId="13">#REF!</definedName>
    <definedName name="inter">#REF!</definedName>
    <definedName name="INTERV" localSheetId="9">#REF!</definedName>
    <definedName name="INTERV" localSheetId="18">#REF!</definedName>
    <definedName name="INTERV" localSheetId="5">#REF!</definedName>
    <definedName name="INTERV" localSheetId="6">#REF!</definedName>
    <definedName name="INTERV" localSheetId="7">#REF!</definedName>
    <definedName name="INTERV" localSheetId="11">#REF!</definedName>
    <definedName name="INTERV" localSheetId="22">#REF!</definedName>
    <definedName name="INTERV" localSheetId="20">#REF!</definedName>
    <definedName name="INTERV" localSheetId="13">#REF!</definedName>
    <definedName name="INTERV">#REF!</definedName>
    <definedName name="INV_11" localSheetId="20">'[14]PR 1'!$A$2:$N$655</definedName>
    <definedName name="INV_11" localSheetId="13">'[14]PR 1'!$A$2:$N$655</definedName>
    <definedName name="INV_11">'[15]PR 1'!$A$2:$N$655</definedName>
    <definedName name="ITEM" localSheetId="9">#REF!</definedName>
    <definedName name="ITEM" localSheetId="18">#REF!</definedName>
    <definedName name="ITEM" localSheetId="5">#REF!</definedName>
    <definedName name="ITEM" localSheetId="6">#REF!</definedName>
    <definedName name="ITEM" localSheetId="7">#REF!</definedName>
    <definedName name="ITEM" localSheetId="11">#REF!</definedName>
    <definedName name="ITEM" localSheetId="22">#REF!</definedName>
    <definedName name="ITEM" localSheetId="20">#REF!</definedName>
    <definedName name="ITEM" localSheetId="13">#REF!</definedName>
    <definedName name="ITEM">#REF!</definedName>
    <definedName name="LIBRO1" localSheetId="9">#REF!</definedName>
    <definedName name="LIBRO1" localSheetId="18">#REF!</definedName>
    <definedName name="LIBRO1" localSheetId="5">#REF!</definedName>
    <definedName name="LIBRO1" localSheetId="6">#REF!</definedName>
    <definedName name="LIBRO1" localSheetId="7">#REF!</definedName>
    <definedName name="LIBRO1" localSheetId="11">#REF!</definedName>
    <definedName name="LIBRO1" localSheetId="22">#REF!</definedName>
    <definedName name="LIBRO1" localSheetId="20">#REF!</definedName>
    <definedName name="LIBRO1" localSheetId="13">#REF!</definedName>
    <definedName name="LIBRO1">#REF!</definedName>
    <definedName name="LICITACION" localSheetId="9">#REF!</definedName>
    <definedName name="LICITACION" localSheetId="18">#REF!</definedName>
    <definedName name="LICITACION" localSheetId="5">#REF!</definedName>
    <definedName name="LICITACION" localSheetId="6">#REF!</definedName>
    <definedName name="LICITACION" localSheetId="7">#REF!</definedName>
    <definedName name="LICITACION" localSheetId="11">#REF!</definedName>
    <definedName name="LICITACION" localSheetId="22">#REF!</definedName>
    <definedName name="LICITACION" localSheetId="20">#REF!</definedName>
    <definedName name="LICITACION" localSheetId="13">#REF!</definedName>
    <definedName name="LICITACION">#REF!</definedName>
    <definedName name="LOCA" localSheetId="9">[6]!absc</definedName>
    <definedName name="LOCA" localSheetId="18">[6]!absc</definedName>
    <definedName name="LOCA" localSheetId="5">[6]!absc</definedName>
    <definedName name="LOCA" localSheetId="6">[6]!absc</definedName>
    <definedName name="LOCA" localSheetId="7">[6]!absc</definedName>
    <definedName name="LOCA" localSheetId="11">[6]!absc</definedName>
    <definedName name="LOCA" localSheetId="22">[6]!absc</definedName>
    <definedName name="LOCA">[6]!absc</definedName>
    <definedName name="LOCA1" localSheetId="9">[6]!absc</definedName>
    <definedName name="LOCA1" localSheetId="18">[6]!absc</definedName>
    <definedName name="LOCA1" localSheetId="5">[6]!absc</definedName>
    <definedName name="LOCA1" localSheetId="6">[6]!absc</definedName>
    <definedName name="LOCA1" localSheetId="7">[6]!absc</definedName>
    <definedName name="LOCA1" localSheetId="11">[6]!absc</definedName>
    <definedName name="LOCA1" localSheetId="22">[6]!absc</definedName>
    <definedName name="LOCA1" localSheetId="20">[7]!absc</definedName>
    <definedName name="LOCA1" localSheetId="13">[7]!absc</definedName>
    <definedName name="LOCA1">[6]!absc</definedName>
    <definedName name="MAL" localSheetId="9">'[16]Estado Resumen'!#REF!&lt;2.5</definedName>
    <definedName name="MAL" localSheetId="18">'[16]Estado Resumen'!#REF!&lt;2.5</definedName>
    <definedName name="MAL" localSheetId="5">'[16]Estado Resumen'!#REF!&lt;2.5</definedName>
    <definedName name="MAL" localSheetId="6">'[16]Estado Resumen'!#REF!&lt;2.5</definedName>
    <definedName name="MAL" localSheetId="7">'[16]Estado Resumen'!#REF!&lt;2.5</definedName>
    <definedName name="MAL" localSheetId="11">'[16]Estado Resumen'!#REF!&lt;2.5</definedName>
    <definedName name="MAL" localSheetId="22">'[16]Estado Resumen'!#REF!&lt;2.5</definedName>
    <definedName name="MAL" localSheetId="20">'[17]Estado Resumen'!#REF!&lt;2.5</definedName>
    <definedName name="MAL" localSheetId="13">'[17]Estado Resumen'!#REF!&lt;2.5</definedName>
    <definedName name="MAL">'[16]Estado Resumen'!#REF!&lt;2.5</definedName>
    <definedName name="MALO" localSheetId="9">'[18]ESTADO VÍA-CRIT.TECNICO'!#REF!&lt;2.5</definedName>
    <definedName name="MALO" localSheetId="18">'[18]ESTADO VÍA-CRIT.TECNICO'!#REF!&lt;2.5</definedName>
    <definedName name="MALO" localSheetId="5">'[18]ESTADO VÍA-CRIT.TECNICO'!#REF!&lt;2.5</definedName>
    <definedName name="MALO" localSheetId="6">'[18]ESTADO VÍA-CRIT.TECNICO'!#REF!&lt;2.5</definedName>
    <definedName name="MALO" localSheetId="7">'[18]ESTADO VÍA-CRIT.TECNICO'!#REF!&lt;2.5</definedName>
    <definedName name="MALO" localSheetId="11">'[18]ESTADO VÍA-CRIT.TECNICO'!#REF!&lt;2.5</definedName>
    <definedName name="MALO" localSheetId="22">'[18]ESTADO VÍA-CRIT.TECNICO'!#REF!&lt;2.5</definedName>
    <definedName name="MALO" localSheetId="20">'[19]ESTADO VÍA-CRIT.TECNICO'!#REF!&lt;2.5</definedName>
    <definedName name="MALO" localSheetId="13">'[19]ESTADO VÍA-CRIT.TECNICO'!#REF!&lt;2.5</definedName>
    <definedName name="MALO">'[18]ESTADO VÍA-CRIT.TECNICO'!#REF!&lt;2.5</definedName>
    <definedName name="MAT" localSheetId="9">#REF!</definedName>
    <definedName name="MAT" localSheetId="18">#REF!</definedName>
    <definedName name="MAT" localSheetId="5">#REF!</definedName>
    <definedName name="MAT" localSheetId="6">#REF!</definedName>
    <definedName name="MAT" localSheetId="7">#REF!</definedName>
    <definedName name="MAT" localSheetId="11">#REF!</definedName>
    <definedName name="MAT" localSheetId="22">#REF!</definedName>
    <definedName name="MAT" localSheetId="20">#REF!</definedName>
    <definedName name="MAT" localSheetId="13">#REF!</definedName>
    <definedName name="MAT">#REF!</definedName>
    <definedName name="NM" localSheetId="9">#REF!</definedName>
    <definedName name="NM" localSheetId="18">#REF!</definedName>
    <definedName name="NM" localSheetId="5">#REF!</definedName>
    <definedName name="NM" localSheetId="6">#REF!</definedName>
    <definedName name="NM" localSheetId="7">#REF!</definedName>
    <definedName name="NM" localSheetId="11">#REF!</definedName>
    <definedName name="NM" localSheetId="22">#REF!</definedName>
    <definedName name="NM" localSheetId="20">#REF!</definedName>
    <definedName name="NM" localSheetId="13">#REF!</definedName>
    <definedName name="NM">#REF!</definedName>
    <definedName name="NNN" localSheetId="9">[1]!absc</definedName>
    <definedName name="NNN" localSheetId="18">[1]!absc</definedName>
    <definedName name="NNN" localSheetId="5">[1]!absc</definedName>
    <definedName name="NNN" localSheetId="6">[1]!absc</definedName>
    <definedName name="NNN" localSheetId="7">[1]!absc</definedName>
    <definedName name="NNN" localSheetId="11">[1]!absc</definedName>
    <definedName name="NNN" localSheetId="22">[1]!absc</definedName>
    <definedName name="NNN">[1]!absc</definedName>
    <definedName name="NOMBRE" localSheetId="9">#REF!</definedName>
    <definedName name="NOMBRE" localSheetId="18">#REF!</definedName>
    <definedName name="NOMBRE" localSheetId="5">#REF!</definedName>
    <definedName name="NOMBRE" localSheetId="6">#REF!</definedName>
    <definedName name="NOMBRE" localSheetId="7">#REF!</definedName>
    <definedName name="NOMBRE" localSheetId="11">#REF!</definedName>
    <definedName name="NOMBRE" localSheetId="22">#REF!</definedName>
    <definedName name="NOMBRE" localSheetId="20">#REF!</definedName>
    <definedName name="NOMBRE" localSheetId="13">#REF!</definedName>
    <definedName name="NOMBRE">#REF!</definedName>
    <definedName name="ooo" localSheetId="9">#REF!</definedName>
    <definedName name="ooo" localSheetId="18">#REF!</definedName>
    <definedName name="ooo" localSheetId="5">#REF!</definedName>
    <definedName name="ooo" localSheetId="6">#REF!</definedName>
    <definedName name="ooo" localSheetId="7">#REF!</definedName>
    <definedName name="ooo" localSheetId="11">#REF!</definedName>
    <definedName name="ooo" localSheetId="22">#REF!</definedName>
    <definedName name="ooo" localSheetId="20">#REF!</definedName>
    <definedName name="ooo" localSheetId="13">#REF!</definedName>
    <definedName name="ooo">#REF!</definedName>
    <definedName name="PRE" localSheetId="9">#REF!</definedName>
    <definedName name="PRE" localSheetId="18">#REF!</definedName>
    <definedName name="PRE" localSheetId="5">#REF!</definedName>
    <definedName name="PRE" localSheetId="6">#REF!</definedName>
    <definedName name="PRE" localSheetId="7">#REF!</definedName>
    <definedName name="PRE" localSheetId="11">#REF!</definedName>
    <definedName name="PRE" localSheetId="22">#REF!</definedName>
    <definedName name="PRE" localSheetId="20">#REF!</definedName>
    <definedName name="PRE" localSheetId="13">#REF!</definedName>
    <definedName name="PRE">#REF!</definedName>
    <definedName name="Print_Area_MI" localSheetId="9">#REF!</definedName>
    <definedName name="Print_Area_MI" localSheetId="18">#REF!</definedName>
    <definedName name="Print_Area_MI" localSheetId="5">#REF!</definedName>
    <definedName name="Print_Area_MI" localSheetId="6">#REF!</definedName>
    <definedName name="Print_Area_MI" localSheetId="7">#REF!</definedName>
    <definedName name="Print_Area_MI" localSheetId="11">#REF!</definedName>
    <definedName name="Print_Area_MI" localSheetId="22">#REF!</definedName>
    <definedName name="Print_Area_MI" localSheetId="20">#REF!</definedName>
    <definedName name="Print_Area_MI" localSheetId="13">#REF!</definedName>
    <definedName name="Print_Area_MI">#REF!</definedName>
    <definedName name="PRUEBA2" localSheetId="9">#REF!</definedName>
    <definedName name="PRUEBA2" localSheetId="18">#REF!</definedName>
    <definedName name="PRUEBA2" localSheetId="5">#REF!</definedName>
    <definedName name="PRUEBA2" localSheetId="6">#REF!</definedName>
    <definedName name="PRUEBA2" localSheetId="7">#REF!</definedName>
    <definedName name="PRUEBA2" localSheetId="11">#REF!</definedName>
    <definedName name="PRUEBA2" localSheetId="22">#REF!</definedName>
    <definedName name="PRUEBA2" localSheetId="20">#REF!</definedName>
    <definedName name="PRUEBA2" localSheetId="13">#REF!</definedName>
    <definedName name="PRUEBA2">#REF!</definedName>
    <definedName name="REG" localSheetId="20">'[17]Estado Resumen'!XFC1&gt;2.5</definedName>
    <definedName name="REG" localSheetId="13">'[17]Estado Resumen'!XFC1&gt;2.5</definedName>
    <definedName name="REG">'[16]Estado Resumen'!XFC1&gt;2.5</definedName>
    <definedName name="REGULAR" localSheetId="20">'[19]ESTADO VÍA-CRIT.TECNICO'!XFC1&gt;2.5</definedName>
    <definedName name="REGULAR" localSheetId="13">'[19]ESTADO VÍA-CRIT.TECNICO'!XFC1&gt;2.5</definedName>
    <definedName name="REGULAR">'[18]ESTADO VÍA-CRIT.TECNICO'!XFC1&gt;2.5</definedName>
    <definedName name="rell" localSheetId="9">#REF!</definedName>
    <definedName name="rell" localSheetId="18">#REF!</definedName>
    <definedName name="rell" localSheetId="5">#REF!</definedName>
    <definedName name="rell" localSheetId="6">#REF!</definedName>
    <definedName name="rell" localSheetId="7">#REF!</definedName>
    <definedName name="rell" localSheetId="11">#REF!</definedName>
    <definedName name="rell" localSheetId="22">#REF!</definedName>
    <definedName name="rell" localSheetId="20">#REF!</definedName>
    <definedName name="rell" localSheetId="13">#REF!</definedName>
    <definedName name="rell">#REF!</definedName>
    <definedName name="RELLG" localSheetId="9">#REF!</definedName>
    <definedName name="RELLG" localSheetId="18">#REF!</definedName>
    <definedName name="RELLG" localSheetId="5">#REF!</definedName>
    <definedName name="RELLG" localSheetId="6">#REF!</definedName>
    <definedName name="RELLG" localSheetId="7">#REF!</definedName>
    <definedName name="RELLG" localSheetId="11">#REF!</definedName>
    <definedName name="RELLG" localSheetId="22">#REF!</definedName>
    <definedName name="RELLG" localSheetId="20">#REF!</definedName>
    <definedName name="RELLG" localSheetId="13">#REF!</definedName>
    <definedName name="RELLG">#REF!</definedName>
    <definedName name="SS" localSheetId="9">#REF!</definedName>
    <definedName name="SS" localSheetId="5">#REF!</definedName>
    <definedName name="SS" localSheetId="6">#REF!</definedName>
    <definedName name="SS" localSheetId="7">#REF!</definedName>
    <definedName name="SS" localSheetId="11">#REF!</definedName>
    <definedName name="SS" localSheetId="20">#REF!</definedName>
    <definedName name="SS">#REF!</definedName>
    <definedName name="t" localSheetId="9">[1]!absc</definedName>
    <definedName name="t" localSheetId="18">[1]!absc</definedName>
    <definedName name="t" localSheetId="5">[1]!absc</definedName>
    <definedName name="t" localSheetId="6">[1]!absc</definedName>
    <definedName name="t" localSheetId="7">[1]!absc</definedName>
    <definedName name="t" localSheetId="11">[1]!absc</definedName>
    <definedName name="t" localSheetId="22">[1]!absc</definedName>
    <definedName name="t">[1]!absc</definedName>
    <definedName name="TABLA" localSheetId="9">#REF!</definedName>
    <definedName name="TABLA" localSheetId="18">#REF!</definedName>
    <definedName name="TABLA" localSheetId="5">#REF!</definedName>
    <definedName name="TABLA" localSheetId="6">#REF!</definedName>
    <definedName name="TABLA" localSheetId="7">#REF!</definedName>
    <definedName name="TABLA" localSheetId="11">#REF!</definedName>
    <definedName name="TABLA" localSheetId="22">#REF!</definedName>
    <definedName name="TABLA" localSheetId="20">#REF!</definedName>
    <definedName name="TABLA" localSheetId="13">#REF!</definedName>
    <definedName name="TABLA">#REF!</definedName>
    <definedName name="TITULO" localSheetId="9">#REF!</definedName>
    <definedName name="TITULO" localSheetId="18">#REF!</definedName>
    <definedName name="TITULO" localSheetId="5">#REF!</definedName>
    <definedName name="TITULO" localSheetId="6">#REF!</definedName>
    <definedName name="TITULO" localSheetId="7">#REF!</definedName>
    <definedName name="TITULO" localSheetId="11">#REF!</definedName>
    <definedName name="TITULO" localSheetId="22">#REF!</definedName>
    <definedName name="TITULO" localSheetId="20">#REF!</definedName>
    <definedName name="TITULO" localSheetId="13">#REF!</definedName>
    <definedName name="TITULO">#REF!</definedName>
    <definedName name="_xlnm.Print_Titles" localSheetId="10">'COMBUSTIBLE-SEDES'!$5:$8</definedName>
    <definedName name="_xlnm.Print_Titles" localSheetId="1">'COMPLEMENTO AM-PM NIVEL PREESC'!$6:$17</definedName>
    <definedName name="_xlnm.Print_Titles" localSheetId="2">'COMPLEMENTO AM-PM NP GDOS 1-3'!$5:$17</definedName>
    <definedName name="_xlnm.Print_Titles" localSheetId="3">'COMPLEMENTO AM-PM NP GDOS 4-5'!$6:$17</definedName>
    <definedName name="_xlnm.Print_Titles" localSheetId="4">'COMPLEMENTO RI NI PREESC'!$5:$17</definedName>
    <definedName name="_xlnm.Print_Titles" localSheetId="5">'COMPLEMENTO RI NP GDOS 1-3'!$5:$17</definedName>
    <definedName name="_xlnm.Print_Titles" localSheetId="6">'COMPLEMENTO RI NP GDOS 4-5'!$5:$17</definedName>
    <definedName name="_xlnm.Print_Titles" localSheetId="7">'N° LITROS'!$5:$8</definedName>
    <definedName name="_xlnm.Print_Titles" localSheetId="11">N°MANIPULADORES!$1:$8</definedName>
    <definedName name="_xlnm.Print_Titles" localSheetId="0">'PROMEDIO COTIZACION'!$1:$8</definedName>
    <definedName name="TOTAL" localSheetId="9">#REF!</definedName>
    <definedName name="TOTAL" localSheetId="18">#REF!</definedName>
    <definedName name="TOTAL" localSheetId="5">#REF!</definedName>
    <definedName name="TOTAL" localSheetId="6">#REF!</definedName>
    <definedName name="TOTAL" localSheetId="7">#REF!</definedName>
    <definedName name="TOTAL" localSheetId="11">#REF!</definedName>
    <definedName name="TOTAL" localSheetId="22">#REF!</definedName>
    <definedName name="TOTAL" localSheetId="20">#REF!</definedName>
    <definedName name="TOTAL" localSheetId="13">#REF!</definedName>
    <definedName name="TOTAL">#REF!</definedName>
    <definedName name="TRAT">[20]desmonte!$E$48</definedName>
    <definedName name="U" localSheetId="9">#REF!</definedName>
    <definedName name="U" localSheetId="18">#REF!</definedName>
    <definedName name="U" localSheetId="5">#REF!</definedName>
    <definedName name="U" localSheetId="6">#REF!</definedName>
    <definedName name="U" localSheetId="7">#REF!</definedName>
    <definedName name="U" localSheetId="11">#REF!</definedName>
    <definedName name="U" localSheetId="22">#REF!</definedName>
    <definedName name="U" localSheetId="20">#REF!</definedName>
    <definedName name="U" localSheetId="13">#REF!</definedName>
    <definedName name="U">#REF!</definedName>
    <definedName name="valor1" localSheetId="9">#REF!</definedName>
    <definedName name="valor1" localSheetId="18">#REF!</definedName>
    <definedName name="valor1" localSheetId="5">#REF!</definedName>
    <definedName name="valor1" localSheetId="6">#REF!</definedName>
    <definedName name="valor1" localSheetId="7">#REF!</definedName>
    <definedName name="valor1" localSheetId="11">#REF!</definedName>
    <definedName name="valor1" localSheetId="22">#REF!</definedName>
    <definedName name="valor1" localSheetId="20">#REF!</definedName>
    <definedName name="valor1" localSheetId="13">#REF!</definedName>
    <definedName name="valor1">#REF!</definedName>
    <definedName name="valor2" localSheetId="9">#REF!</definedName>
    <definedName name="valor2" localSheetId="18">#REF!</definedName>
    <definedName name="valor2" localSheetId="5">#REF!</definedName>
    <definedName name="valor2" localSheetId="6">#REF!</definedName>
    <definedName name="valor2" localSheetId="7">#REF!</definedName>
    <definedName name="valor2" localSheetId="11">#REF!</definedName>
    <definedName name="valor2" localSheetId="22">#REF!</definedName>
    <definedName name="valor2" localSheetId="20">#REF!</definedName>
    <definedName name="valor2" localSheetId="13">#REF!</definedName>
    <definedName name="valor2">#REF!</definedName>
    <definedName name="VALOR3" localSheetId="9">#REF!</definedName>
    <definedName name="VALOR3" localSheetId="18">#REF!</definedName>
    <definedName name="VALOR3" localSheetId="5">#REF!</definedName>
    <definedName name="VALOR3" localSheetId="6">#REF!</definedName>
    <definedName name="VALOR3" localSheetId="7">#REF!</definedName>
    <definedName name="VALOR3" localSheetId="11">#REF!</definedName>
    <definedName name="VALOR3" localSheetId="22">#REF!</definedName>
    <definedName name="VALOR3" localSheetId="20">#REF!</definedName>
    <definedName name="VALOR3" localSheetId="13">#REF!</definedName>
    <definedName name="VALOR3">#REF!</definedName>
    <definedName name="VVV" localSheetId="9">#REF!</definedName>
    <definedName name="VVV" localSheetId="18">#REF!</definedName>
    <definedName name="VVV" localSheetId="5">#REF!</definedName>
    <definedName name="VVV" localSheetId="6">#REF!</definedName>
    <definedName name="VVV" localSheetId="7">#REF!</definedName>
    <definedName name="VVV" localSheetId="11">#REF!</definedName>
    <definedName name="VVV" localSheetId="22">#REF!</definedName>
    <definedName name="VVV" localSheetId="20">#REF!</definedName>
    <definedName name="VVV" localSheetId="13">#REF!</definedName>
    <definedName name="VVV">#REF!</definedName>
    <definedName name="WER" localSheetId="20">'[4]Res-Accide-10'!$S$2:$S$7</definedName>
    <definedName name="WER">'[5]Res-Accide-10'!$S$2:$S$7</definedName>
    <definedName name="WILSON" localSheetId="9">'[5]Res-Accide-10'!#REF!</definedName>
    <definedName name="WILSON" localSheetId="18">'[5]Res-Accide-10'!#REF!</definedName>
    <definedName name="WILSON" localSheetId="5">'[5]Res-Accide-10'!#REF!</definedName>
    <definedName name="WILSON" localSheetId="6">'[5]Res-Accide-10'!#REF!</definedName>
    <definedName name="WILSON" localSheetId="7">'[5]Res-Accide-10'!#REF!</definedName>
    <definedName name="WILSON" localSheetId="11">'[5]Res-Accide-10'!#REF!</definedName>
    <definedName name="WILSON" localSheetId="22">'[5]Res-Accide-10'!#REF!</definedName>
    <definedName name="WILSON" localSheetId="20">'[4]Res-Accide-10'!#REF!</definedName>
    <definedName name="WILSON" localSheetId="13">'[5]Res-Accide-10'!#REF!</definedName>
    <definedName name="WILSON">'[5]Res-Accide-10'!#REF!</definedName>
    <definedName name="XXXXXXXXXX" localSheetId="9">#REF!</definedName>
    <definedName name="XXXXXXXXXX" localSheetId="18">#REF!</definedName>
    <definedName name="XXXXXXXXXX" localSheetId="5">#REF!</definedName>
    <definedName name="XXXXXXXXXX" localSheetId="6">#REF!</definedName>
    <definedName name="XXXXXXXXXX" localSheetId="7">#REF!</definedName>
    <definedName name="XXXXXXXXXX" localSheetId="11">#REF!</definedName>
    <definedName name="XXXXXXXXXX" localSheetId="22">#REF!</definedName>
    <definedName name="XXXXXXXXXX" localSheetId="20">#REF!</definedName>
    <definedName name="XXXXXXXXXX" localSheetId="13">#REF!</definedName>
    <definedName name="XXXXXXXXXX">#REF!</definedName>
    <definedName name="XXXXXXXXXXXX" localSheetId="9">#REF!</definedName>
    <definedName name="XXXXXXXXXXXX" localSheetId="18">#REF!</definedName>
    <definedName name="XXXXXXXXXXXX" localSheetId="5">#REF!</definedName>
    <definedName name="XXXXXXXXXXXX" localSheetId="6">#REF!</definedName>
    <definedName name="XXXXXXXXXXXX" localSheetId="7">#REF!</definedName>
    <definedName name="XXXXXXXXXXXX" localSheetId="11">#REF!</definedName>
    <definedName name="XXXXXXXXXXXX" localSheetId="22">#REF!</definedName>
    <definedName name="XXXXXXXXXXXX" localSheetId="20">#REF!</definedName>
    <definedName name="XXXXXXXXXXXX" localSheetId="13">#REF!</definedName>
    <definedName name="XXXXXXXXXXXX">#REF!</definedName>
    <definedName name="ZZZZZZZZZZZ" localSheetId="9">'[10]A. P. U.'!#REF!</definedName>
    <definedName name="ZZZZZZZZZZZ" localSheetId="18">'[10]A. P. U.'!#REF!</definedName>
    <definedName name="ZZZZZZZZZZZ" localSheetId="5">'[10]A. P. U.'!#REF!</definedName>
    <definedName name="ZZZZZZZZZZZ" localSheetId="6">'[10]A. P. U.'!#REF!</definedName>
    <definedName name="ZZZZZZZZZZZ" localSheetId="7">'[10]A. P. U.'!#REF!</definedName>
    <definedName name="ZZZZZZZZZZZ" localSheetId="11">'[10]A. P. U.'!#REF!</definedName>
    <definedName name="ZZZZZZZZZZZ" localSheetId="22">'[10]A. P. U.'!#REF!</definedName>
    <definedName name="ZZZZZZZZZZZ" localSheetId="20">'[11]A. P. U.'!#REF!</definedName>
    <definedName name="ZZZZZZZZZZZ" localSheetId="13">'[10]A. P. U.'!#REF!</definedName>
    <definedName name="ZZZZZZZZZZZ">'[10]A. P. U.'!#REF!</definedName>
  </definedNames>
  <calcPr calcId="152511"/>
  <fileRecoveryPr autoRecover="0"/>
</workbook>
</file>

<file path=xl/calcChain.xml><?xml version="1.0" encoding="utf-8"?>
<calcChain xmlns="http://schemas.openxmlformats.org/spreadsheetml/2006/main">
  <c r="F32" i="33" l="1"/>
  <c r="K33" i="33"/>
  <c r="K35" i="33" l="1"/>
  <c r="I10" i="56" l="1"/>
  <c r="H40" i="21" l="1"/>
  <c r="H75" i="21"/>
  <c r="H71" i="21"/>
  <c r="H64" i="21"/>
  <c r="H60" i="21"/>
  <c r="I22" i="79"/>
  <c r="L10" i="79" l="1"/>
  <c r="M10" i="79"/>
  <c r="N10" i="79"/>
  <c r="O10" i="79"/>
  <c r="P10" i="79"/>
  <c r="Q10" i="79"/>
  <c r="R10" i="79"/>
  <c r="L11" i="79"/>
  <c r="M11" i="79"/>
  <c r="N11" i="79"/>
  <c r="O11" i="79"/>
  <c r="P11" i="79"/>
  <c r="Q11" i="79"/>
  <c r="R11" i="79"/>
  <c r="L12" i="79"/>
  <c r="M12" i="79"/>
  <c r="N12" i="79"/>
  <c r="O12" i="79"/>
  <c r="P12" i="79"/>
  <c r="Q12" i="79"/>
  <c r="R12" i="79"/>
  <c r="L13" i="79"/>
  <c r="M13" i="79"/>
  <c r="N13" i="79"/>
  <c r="O13" i="79"/>
  <c r="P13" i="79"/>
  <c r="Q13" i="79"/>
  <c r="R13" i="79"/>
  <c r="L14" i="79"/>
  <c r="M14" i="79"/>
  <c r="N14" i="79"/>
  <c r="O14" i="79"/>
  <c r="P14" i="79"/>
  <c r="Q14" i="79"/>
  <c r="R14" i="79"/>
  <c r="L15" i="79"/>
  <c r="M15" i="79"/>
  <c r="N15" i="79"/>
  <c r="O15" i="79"/>
  <c r="P15" i="79"/>
  <c r="Q15" i="79"/>
  <c r="R15" i="79"/>
  <c r="L16" i="79"/>
  <c r="M16" i="79"/>
  <c r="N16" i="79"/>
  <c r="O16" i="79"/>
  <c r="P16" i="79"/>
  <c r="Q16" i="79"/>
  <c r="R16" i="79"/>
  <c r="L17" i="79"/>
  <c r="M17" i="79"/>
  <c r="N17" i="79"/>
  <c r="O17" i="79"/>
  <c r="P17" i="79"/>
  <c r="Q17" i="79"/>
  <c r="R17" i="79"/>
  <c r="L18" i="79"/>
  <c r="M18" i="79"/>
  <c r="N18" i="79"/>
  <c r="O18" i="79"/>
  <c r="P18" i="79"/>
  <c r="Q18" i="79"/>
  <c r="R18" i="79"/>
  <c r="L19" i="79"/>
  <c r="M19" i="79"/>
  <c r="N19" i="79"/>
  <c r="O19" i="79"/>
  <c r="P19" i="79"/>
  <c r="Q19" i="79"/>
  <c r="R19" i="79"/>
  <c r="L20" i="79"/>
  <c r="M20" i="79"/>
  <c r="N20" i="79"/>
  <c r="O20" i="79"/>
  <c r="P20" i="79"/>
  <c r="Q20" i="79"/>
  <c r="R20" i="79"/>
  <c r="L21" i="79"/>
  <c r="M21" i="79"/>
  <c r="N21" i="79"/>
  <c r="O21" i="79"/>
  <c r="P21" i="79"/>
  <c r="Q21" i="79"/>
  <c r="R21" i="79"/>
  <c r="K15" i="79"/>
  <c r="K16" i="79"/>
  <c r="K17" i="79"/>
  <c r="K18" i="79"/>
  <c r="K19" i="79"/>
  <c r="S19" i="79" s="1"/>
  <c r="K20" i="79"/>
  <c r="K21" i="79"/>
  <c r="K10" i="79"/>
  <c r="K11" i="79"/>
  <c r="S11" i="79" s="1"/>
  <c r="K12" i="79"/>
  <c r="K13" i="79"/>
  <c r="K14" i="79"/>
  <c r="S18" i="79" l="1"/>
  <c r="S14" i="79"/>
  <c r="S10" i="79"/>
  <c r="S13" i="79"/>
  <c r="S21" i="79"/>
  <c r="S17" i="79"/>
  <c r="S12" i="79"/>
  <c r="S20" i="79"/>
  <c r="S16" i="79"/>
  <c r="S15" i="79"/>
  <c r="B16" i="82"/>
  <c r="D12" i="82"/>
  <c r="C12" i="82"/>
  <c r="E14" i="82"/>
  <c r="E12" i="82" l="1"/>
  <c r="H53" i="21" l="1"/>
  <c r="H54" i="21"/>
  <c r="H55" i="21"/>
  <c r="H56" i="21"/>
  <c r="H57" i="21"/>
  <c r="H58" i="21"/>
  <c r="H59" i="21"/>
  <c r="H61" i="21"/>
  <c r="H62" i="21"/>
  <c r="H63" i="21"/>
  <c r="H65" i="21"/>
  <c r="H66" i="21"/>
  <c r="H67" i="21"/>
  <c r="H68" i="21"/>
  <c r="H69" i="21"/>
  <c r="H70" i="21"/>
  <c r="H72" i="21"/>
  <c r="H73" i="21"/>
  <c r="H74" i="21"/>
  <c r="H76" i="21"/>
  <c r="H77" i="21"/>
  <c r="H78" i="21"/>
  <c r="H79" i="21"/>
  <c r="H80" i="21"/>
  <c r="H81" i="21"/>
  <c r="H82" i="21"/>
  <c r="H83" i="21"/>
  <c r="H84" i="21"/>
  <c r="H10" i="21"/>
  <c r="H11" i="21"/>
  <c r="H12" i="21"/>
  <c r="H13" i="21"/>
  <c r="H14" i="21"/>
  <c r="H15" i="21"/>
  <c r="H16" i="21"/>
  <c r="H17" i="21"/>
  <c r="H18" i="21"/>
  <c r="H19" i="21"/>
  <c r="H20" i="21"/>
  <c r="H21" i="21"/>
  <c r="H22" i="21"/>
  <c r="H23" i="21"/>
  <c r="H24" i="21"/>
  <c r="H25" i="21"/>
  <c r="H26" i="21"/>
  <c r="H27" i="21"/>
  <c r="H28" i="21"/>
  <c r="H29" i="21"/>
  <c r="H30" i="21"/>
  <c r="H31" i="21"/>
  <c r="H32" i="21"/>
  <c r="H33" i="21"/>
  <c r="H34" i="21"/>
  <c r="H35" i="21"/>
  <c r="H36" i="21"/>
  <c r="H37" i="21"/>
  <c r="H38" i="21"/>
  <c r="H39" i="21"/>
  <c r="H41" i="21"/>
  <c r="H42" i="21"/>
  <c r="H43" i="21"/>
  <c r="H44" i="21"/>
  <c r="H45" i="21"/>
  <c r="H46" i="21"/>
  <c r="H47" i="21"/>
  <c r="H48" i="21"/>
  <c r="H49" i="21"/>
  <c r="H50" i="21"/>
  <c r="H51" i="21"/>
  <c r="H52" i="21"/>
  <c r="D9" i="56" l="1"/>
  <c r="I12" i="76" l="1"/>
  <c r="I11" i="76"/>
  <c r="I10" i="76"/>
  <c r="D20" i="21" l="1"/>
  <c r="D35" i="21"/>
  <c r="D47" i="21"/>
  <c r="D43" i="21"/>
  <c r="D23" i="21"/>
  <c r="D32" i="21"/>
  <c r="D18" i="21"/>
  <c r="D25" i="21"/>
  <c r="D45" i="21"/>
  <c r="D36" i="21"/>
  <c r="D24" i="21"/>
  <c r="D48" i="21"/>
  <c r="D42" i="21"/>
  <c r="D9" i="21"/>
  <c r="D29" i="21"/>
  <c r="D50" i="21"/>
  <c r="D19" i="21"/>
  <c r="D21" i="21"/>
  <c r="D34" i="21"/>
  <c r="D26" i="21"/>
  <c r="D46" i="21"/>
  <c r="D28" i="21"/>
  <c r="D49" i="21"/>
  <c r="D51" i="21"/>
  <c r="D39" i="21"/>
  <c r="D38" i="21"/>
  <c r="D22" i="21"/>
  <c r="D10" i="21"/>
  <c r="D17" i="21"/>
  <c r="D11" i="21"/>
  <c r="D31" i="21"/>
  <c r="D13" i="21"/>
  <c r="D12" i="21"/>
  <c r="D37" i="21"/>
  <c r="D15" i="21"/>
  <c r="D14" i="21"/>
  <c r="D16" i="54" l="1"/>
  <c r="A17" i="54"/>
  <c r="H14" i="75" l="1"/>
  <c r="H13" i="75"/>
  <c r="H11" i="75"/>
  <c r="H10" i="75"/>
  <c r="H9" i="75"/>
  <c r="C22" i="39" l="1"/>
  <c r="C21" i="39"/>
  <c r="C20" i="39"/>
  <c r="C19" i="39"/>
  <c r="C18" i="39"/>
  <c r="C17" i="39"/>
  <c r="C16" i="39"/>
  <c r="C12" i="39"/>
  <c r="C15" i="39" s="1"/>
  <c r="K9" i="79"/>
  <c r="L9" i="79"/>
  <c r="P9" i="79"/>
  <c r="O9" i="79"/>
  <c r="N9" i="79"/>
  <c r="M9" i="79"/>
  <c r="J22" i="79"/>
  <c r="C23" i="39" l="1"/>
  <c r="C24" i="39" s="1"/>
  <c r="K23" i="79"/>
  <c r="D15" i="82"/>
  <c r="C15" i="82"/>
  <c r="E15" i="82" s="1"/>
  <c r="D13" i="82"/>
  <c r="C13" i="82"/>
  <c r="E13" i="82" s="1"/>
  <c r="C11" i="82"/>
  <c r="E11" i="82" s="1"/>
  <c r="C10" i="82"/>
  <c r="E10" i="82" s="1"/>
  <c r="D9" i="82"/>
  <c r="C9" i="82"/>
  <c r="E9" i="82" l="1"/>
  <c r="C16" i="82"/>
  <c r="D16" i="82"/>
  <c r="H15" i="75"/>
  <c r="B16" i="31"/>
  <c r="D11" i="33" l="1"/>
  <c r="E16" i="82"/>
  <c r="D12" i="33"/>
  <c r="I22" i="92"/>
  <c r="D13" i="33" l="1"/>
  <c r="B23" i="103"/>
  <c r="K25" i="92"/>
  <c r="C9" i="56" l="1"/>
  <c r="E9" i="56" s="1"/>
  <c r="J22" i="92" l="1"/>
  <c r="K24" i="92" s="1"/>
  <c r="I14" i="76" s="1"/>
  <c r="B26" i="76"/>
  <c r="I15" i="76" l="1"/>
  <c r="I16" i="76"/>
  <c r="D10" i="56"/>
  <c r="H9" i="21" l="1"/>
  <c r="B12" i="38" l="1"/>
  <c r="C10" i="56" l="1"/>
  <c r="E10" i="56" s="1"/>
  <c r="C42" i="39"/>
  <c r="C41" i="39"/>
  <c r="C40" i="39"/>
  <c r="C39" i="39"/>
  <c r="C38" i="39"/>
  <c r="C37" i="39"/>
  <c r="C36" i="39"/>
  <c r="C32" i="39"/>
  <c r="Q9" i="79"/>
  <c r="R9" i="79"/>
  <c r="S9" i="79" l="1"/>
  <c r="C35" i="39"/>
  <c r="C43" i="39" l="1"/>
  <c r="C44" i="39" s="1"/>
  <c r="Q23" i="79"/>
  <c r="L23" i="79"/>
  <c r="M23" i="79"/>
  <c r="N23" i="79"/>
  <c r="O23" i="79"/>
  <c r="P23" i="79"/>
  <c r="C45" i="39" l="1"/>
  <c r="R23" i="79"/>
  <c r="S23" i="79" s="1"/>
  <c r="I17" i="76" s="1"/>
  <c r="I21" i="76" l="1"/>
  <c r="I20" i="76"/>
  <c r="B12" i="55"/>
  <c r="B12" i="54"/>
  <c r="G13" i="54" l="1"/>
  <c r="F13" i="54"/>
  <c r="J14" i="75" l="1"/>
  <c r="K14" i="75" s="1"/>
  <c r="J12" i="75"/>
  <c r="K12" i="75" s="1"/>
  <c r="J13" i="75"/>
  <c r="K13" i="75" s="1"/>
  <c r="J11" i="75"/>
  <c r="K11" i="75" s="1"/>
  <c r="J10" i="75"/>
  <c r="K10" i="75" s="1"/>
  <c r="J9" i="75"/>
  <c r="K9" i="75" s="1"/>
  <c r="J10" i="56" l="1"/>
  <c r="C12" i="56" s="1"/>
  <c r="A19" i="55" l="1"/>
  <c r="A18" i="55"/>
  <c r="A17" i="55"/>
  <c r="A16" i="55"/>
  <c r="F13" i="55"/>
  <c r="F19" i="55" s="1"/>
  <c r="G19" i="55" s="1"/>
  <c r="E13" i="55"/>
  <c r="F18" i="55" s="1"/>
  <c r="D13" i="55"/>
  <c r="F17" i="55" s="1"/>
  <c r="C13" i="55"/>
  <c r="F16" i="55" s="1"/>
  <c r="B13" i="55"/>
  <c r="G17" i="55" l="1"/>
  <c r="G16" i="55"/>
  <c r="G18" i="55"/>
  <c r="A20" i="54"/>
  <c r="A19" i="54"/>
  <c r="A18" i="54"/>
  <c r="A16" i="54"/>
  <c r="F20" i="54"/>
  <c r="F19" i="54"/>
  <c r="E13" i="54"/>
  <c r="F18" i="54" s="1"/>
  <c r="D13" i="54"/>
  <c r="F17" i="54" s="1"/>
  <c r="C13" i="54"/>
  <c r="F16" i="54" s="1"/>
  <c r="B13" i="54"/>
  <c r="G19" i="54" l="1"/>
  <c r="G20" i="55"/>
  <c r="F20" i="33" s="1"/>
  <c r="G17" i="54"/>
  <c r="G16" i="54"/>
  <c r="G18" i="54"/>
  <c r="G20" i="54"/>
  <c r="G21" i="54" l="1"/>
  <c r="F19" i="33" s="1"/>
  <c r="C13" i="56" l="1"/>
  <c r="C14" i="56" s="1"/>
  <c r="C25" i="39"/>
  <c r="B23" i="30" l="1"/>
  <c r="F9" i="29"/>
  <c r="B11" i="33" l="1"/>
  <c r="F10" i="29"/>
  <c r="F31" i="33" s="1"/>
  <c r="L14" i="75" l="1"/>
  <c r="F17" i="33"/>
  <c r="C23" i="103"/>
  <c r="L12" i="75"/>
  <c r="L9" i="75"/>
  <c r="L13" i="75"/>
  <c r="L10" i="75"/>
  <c r="L11" i="75"/>
  <c r="C26" i="76" l="1"/>
  <c r="F16" i="33"/>
  <c r="M15" i="75"/>
  <c r="E11" i="38"/>
  <c r="E9" i="38"/>
  <c r="E10" i="38"/>
  <c r="F22" i="33" l="1"/>
  <c r="L19" i="103"/>
  <c r="A23" i="103" s="1"/>
  <c r="E12" i="38"/>
  <c r="F18" i="33" s="1"/>
  <c r="L22" i="76"/>
  <c r="A26" i="76" l="1"/>
  <c r="F21" i="33"/>
  <c r="F23" i="33" s="1"/>
  <c r="B20" i="32" l="1"/>
  <c r="B21" i="32" s="1"/>
  <c r="B23" i="32" l="1"/>
  <c r="E12" i="33" s="1"/>
  <c r="F12" i="33" s="1"/>
  <c r="B11" i="32"/>
  <c r="B12" i="32" s="1"/>
  <c r="B14" i="32" l="1"/>
  <c r="D14" i="32" l="1"/>
  <c r="D11" i="32"/>
  <c r="D13" i="32"/>
  <c r="D12" i="32"/>
  <c r="E11" i="33"/>
  <c r="F11" i="33" s="1"/>
  <c r="F14" i="33" s="1"/>
  <c r="F25" i="33" s="1"/>
  <c r="F27" i="33" s="1"/>
  <c r="F26" i="33" l="1"/>
  <c r="E9" i="80" s="1"/>
  <c r="E18" i="80"/>
  <c r="C18" i="80" l="1"/>
  <c r="C8" i="80"/>
  <c r="F28" i="33"/>
  <c r="F29" i="33" s="1"/>
  <c r="E12" i="80"/>
  <c r="E11" i="80"/>
  <c r="K30" i="33" l="1"/>
  <c r="H32" i="33"/>
</calcChain>
</file>

<file path=xl/comments1.xml><?xml version="1.0" encoding="utf-8"?>
<comments xmlns="http://schemas.openxmlformats.org/spreadsheetml/2006/main">
  <authors>
    <author>gobernacion</author>
  </authors>
  <commentList>
    <comment ref="E8" authorId="0" shapeId="0">
      <text>
        <r>
          <rPr>
            <b/>
            <sz val="9"/>
            <color indexed="81"/>
            <rFont val="Tahoma"/>
            <family val="2"/>
          </rPr>
          <t>gobernacion:</t>
        </r>
        <r>
          <rPr>
            <sz val="9"/>
            <color indexed="81"/>
            <rFont val="Tahoma"/>
            <family val="2"/>
          </rPr>
          <t xml:space="preserve">
SURTIVIVERES COMERCIALIZADORA Y DISTRIBUIDORA S.A.S</t>
        </r>
      </text>
    </comment>
    <comment ref="F8" authorId="0" shapeId="0">
      <text>
        <r>
          <rPr>
            <b/>
            <sz val="9"/>
            <color indexed="81"/>
            <rFont val="Tahoma"/>
            <family val="2"/>
          </rPr>
          <t>gobernacion:</t>
        </r>
        <r>
          <rPr>
            <sz val="9"/>
            <color indexed="81"/>
            <rFont val="Tahoma"/>
            <family val="2"/>
          </rPr>
          <t xml:space="preserve">
GRANERO POPULAR</t>
        </r>
      </text>
    </comment>
    <comment ref="G8" authorId="0" shapeId="0">
      <text>
        <r>
          <rPr>
            <b/>
            <sz val="9"/>
            <color indexed="81"/>
            <rFont val="Tahoma"/>
            <family val="2"/>
          </rPr>
          <t>gobernacion:</t>
        </r>
        <r>
          <rPr>
            <sz val="9"/>
            <color indexed="81"/>
            <rFont val="Tahoma"/>
            <family val="2"/>
          </rPr>
          <t xml:space="preserve">
LEGUMBRES DEL ORIENTE</t>
        </r>
      </text>
    </comment>
  </commentList>
</comments>
</file>

<file path=xl/comments2.xml><?xml version="1.0" encoding="utf-8"?>
<comments xmlns="http://schemas.openxmlformats.org/spreadsheetml/2006/main">
  <authors>
    <author>gobernacion</author>
  </authors>
  <commentList>
    <comment ref="E8" authorId="0" shapeId="0">
      <text>
        <r>
          <rPr>
            <b/>
            <sz val="9"/>
            <color indexed="81"/>
            <rFont val="Tahoma"/>
            <family val="2"/>
          </rPr>
          <t>gobernacion:</t>
        </r>
        <r>
          <rPr>
            <sz val="9"/>
            <color indexed="81"/>
            <rFont val="Tahoma"/>
            <family val="2"/>
          </rPr>
          <t xml:space="preserve">
SURTIVIVERES COMERCIALIZADORA Y DISTRIBUIDORA S.A.S</t>
        </r>
      </text>
    </comment>
    <comment ref="F8" authorId="0" shapeId="0">
      <text>
        <r>
          <rPr>
            <b/>
            <sz val="9"/>
            <color indexed="81"/>
            <rFont val="Tahoma"/>
            <family val="2"/>
          </rPr>
          <t>gobernacion:</t>
        </r>
        <r>
          <rPr>
            <sz val="9"/>
            <color indexed="81"/>
            <rFont val="Tahoma"/>
            <family val="2"/>
          </rPr>
          <t xml:space="preserve">
GRANERO POPULAR</t>
        </r>
      </text>
    </comment>
    <comment ref="G8" authorId="0" shapeId="0">
      <text>
        <r>
          <rPr>
            <b/>
            <sz val="9"/>
            <color indexed="81"/>
            <rFont val="Tahoma"/>
            <family val="2"/>
          </rPr>
          <t>gobernacion:</t>
        </r>
        <r>
          <rPr>
            <sz val="9"/>
            <color indexed="81"/>
            <rFont val="Tahoma"/>
            <family val="2"/>
          </rPr>
          <t xml:space="preserve">
LEGUMBRES DEL ORIENTE</t>
        </r>
      </text>
    </comment>
  </commentList>
</comments>
</file>

<file path=xl/comments3.xml><?xml version="1.0" encoding="utf-8"?>
<comments xmlns="http://schemas.openxmlformats.org/spreadsheetml/2006/main">
  <authors>
    <author>gobernacion</author>
  </authors>
  <commentList>
    <comment ref="C19" authorId="0" shapeId="0">
      <text>
        <r>
          <rPr>
            <b/>
            <sz val="9"/>
            <color indexed="81"/>
            <rFont val="Tahoma"/>
            <family val="2"/>
          </rPr>
          <t>gobernacion:</t>
        </r>
        <r>
          <rPr>
            <sz val="9"/>
            <color indexed="81"/>
            <rFont val="Tahoma"/>
            <family val="2"/>
          </rPr>
          <t xml:space="preserve">
TRANSPORTE SANTODOMINGO</t>
        </r>
      </text>
    </comment>
    <comment ref="D19" authorId="0" shapeId="0">
      <text>
        <r>
          <rPr>
            <b/>
            <sz val="9"/>
            <color indexed="81"/>
            <rFont val="Tahoma"/>
            <family val="2"/>
          </rPr>
          <t>gobernacion:</t>
        </r>
        <r>
          <rPr>
            <sz val="9"/>
            <color indexed="81"/>
            <rFont val="Tahoma"/>
            <family val="2"/>
          </rPr>
          <t xml:space="preserve">
TRANSPORTE BAQUERO LTDA</t>
        </r>
      </text>
    </comment>
  </commentList>
</comments>
</file>

<file path=xl/comments4.xml><?xml version="1.0" encoding="utf-8"?>
<comments xmlns="http://schemas.openxmlformats.org/spreadsheetml/2006/main">
  <authors>
    <author>gobernacion</author>
  </authors>
  <commentList>
    <comment ref="B15" authorId="0" shapeId="0">
      <text>
        <r>
          <rPr>
            <b/>
            <sz val="9"/>
            <color indexed="81"/>
            <rFont val="Tahoma"/>
            <family val="2"/>
          </rPr>
          <t>gobernacion:</t>
        </r>
        <r>
          <rPr>
            <sz val="9"/>
            <color indexed="81"/>
            <rFont val="Tahoma"/>
            <family val="2"/>
          </rPr>
          <t xml:space="preserve">
Jackeline Voza Molina</t>
        </r>
      </text>
    </comment>
    <comment ref="C15" authorId="0" shapeId="0">
      <text>
        <r>
          <rPr>
            <b/>
            <sz val="9"/>
            <color indexed="81"/>
            <rFont val="Tahoma"/>
            <family val="2"/>
          </rPr>
          <t>gobernacion:</t>
        </r>
        <r>
          <rPr>
            <sz val="9"/>
            <color indexed="81"/>
            <rFont val="Tahoma"/>
            <family val="2"/>
          </rPr>
          <t xml:space="preserve">
L.C. MARIA CECILIA GAMERO BERROCAL</t>
        </r>
      </text>
    </comment>
    <comment ref="D15" authorId="0" shapeId="0">
      <text>
        <r>
          <rPr>
            <b/>
            <sz val="9"/>
            <color indexed="81"/>
            <rFont val="Tahoma"/>
            <family val="2"/>
          </rPr>
          <t>gobernacion:</t>
        </r>
        <r>
          <rPr>
            <sz val="9"/>
            <color indexed="81"/>
            <rFont val="Tahoma"/>
            <family val="2"/>
          </rPr>
          <t xml:space="preserve">
IPS - CENTRO DE SOLUCIONES SEYSA</t>
        </r>
      </text>
    </comment>
  </commentList>
</comments>
</file>

<file path=xl/comments5.xml><?xml version="1.0" encoding="utf-8"?>
<comments xmlns="http://schemas.openxmlformats.org/spreadsheetml/2006/main">
  <authors>
    <author>gobernacion</author>
  </authors>
  <commentList>
    <comment ref="B15" authorId="0" shapeId="0">
      <text>
        <r>
          <rPr>
            <b/>
            <sz val="9"/>
            <color indexed="81"/>
            <rFont val="Tahoma"/>
            <family val="2"/>
          </rPr>
          <t>gobernacion:</t>
        </r>
        <r>
          <rPr>
            <sz val="9"/>
            <color indexed="81"/>
            <rFont val="Tahoma"/>
            <family val="2"/>
          </rPr>
          <t xml:space="preserve">
Jackeline Voza Molina</t>
        </r>
      </text>
    </comment>
    <comment ref="C15" authorId="0" shapeId="0">
      <text>
        <r>
          <rPr>
            <b/>
            <sz val="9"/>
            <color indexed="81"/>
            <rFont val="Tahoma"/>
            <family val="2"/>
          </rPr>
          <t>gobernacion:</t>
        </r>
        <r>
          <rPr>
            <sz val="9"/>
            <color indexed="81"/>
            <rFont val="Tahoma"/>
            <family val="2"/>
          </rPr>
          <t xml:space="preserve">
L.C. MARIA CECILIA GAMERO BERROCAL</t>
        </r>
      </text>
    </comment>
    <comment ref="D15" authorId="0" shapeId="0">
      <text>
        <r>
          <rPr>
            <b/>
            <sz val="9"/>
            <color indexed="81"/>
            <rFont val="Tahoma"/>
            <family val="2"/>
          </rPr>
          <t>gobernacion:</t>
        </r>
        <r>
          <rPr>
            <sz val="9"/>
            <color indexed="81"/>
            <rFont val="Tahoma"/>
            <family val="2"/>
          </rPr>
          <t xml:space="preserve">
IPS - CENTRO DE SOLUCIONES SEYSA</t>
        </r>
      </text>
    </comment>
  </commentList>
</comments>
</file>

<file path=xl/sharedStrings.xml><?xml version="1.0" encoding="utf-8"?>
<sst xmlns="http://schemas.openxmlformats.org/spreadsheetml/2006/main" count="3863" uniqueCount="491">
  <si>
    <t>REPUBLICA DE COLOMBIA</t>
  </si>
  <si>
    <t>CONSOLIDADO PRODUCTOS POR COTIZACIONES, PRECIO Y PROMEDIO</t>
  </si>
  <si>
    <t>NOMBRE DEL PRODUCTO</t>
  </si>
  <si>
    <t>PRESENTACION</t>
  </si>
  <si>
    <t>REFERENCIA DE MEDIDA</t>
  </si>
  <si>
    <t>COTIZACION 1</t>
  </si>
  <si>
    <t>COTIZACION 2</t>
  </si>
  <si>
    <t>COTIZACION 3</t>
  </si>
  <si>
    <t>PROMEDIO</t>
  </si>
  <si>
    <t>VALOR Gr/Cc</t>
  </si>
  <si>
    <t>GRAMOS</t>
  </si>
  <si>
    <t>AJO</t>
  </si>
  <si>
    <t>CC</t>
  </si>
  <si>
    <t>PANELA</t>
  </si>
  <si>
    <t>MANDARINA</t>
  </si>
  <si>
    <t>MANZANA</t>
  </si>
  <si>
    <t>PAPAYA</t>
  </si>
  <si>
    <t>ENTIDAD TERRITORIAL:</t>
  </si>
  <si>
    <t>MINUTA CON ENFOQUE ETNICO:</t>
  </si>
  <si>
    <t>No</t>
  </si>
  <si>
    <t>GRUPO ÉTNICO</t>
  </si>
  <si>
    <t>MODALIDAD DE ATENCIÓN</t>
  </si>
  <si>
    <t>Ración para Preparar en Sitio</t>
  </si>
  <si>
    <t>TIPO DE COMPLEMENTO</t>
  </si>
  <si>
    <t>Complemento JM/JT</t>
  </si>
  <si>
    <t>NIVEL</t>
  </si>
  <si>
    <t>Preescolar</t>
  </si>
  <si>
    <t xml:space="preserve">MENÚ No. </t>
  </si>
  <si>
    <t>COMPONENTE</t>
  </si>
  <si>
    <t>GRUPO DE ALIMENTOS</t>
  </si>
  <si>
    <t xml:space="preserve">NOMBRE DE PREPARACIÓN </t>
  </si>
  <si>
    <t>NOMBRE DEL ALIMENTO 
(Ingredientes)</t>
  </si>
  <si>
    <t>PESO BRUTO       (g)</t>
  </si>
  <si>
    <t>VALOR</t>
  </si>
  <si>
    <t>BEBIDA CON LECHE</t>
  </si>
  <si>
    <t>GRUPO III. LECHE Y PRODUCTOS LACTEOS.</t>
  </si>
  <si>
    <t>ARROZ BLANCO, PULIDO, CRUDO</t>
  </si>
  <si>
    <t>OTROS ALIMENTOS PARA LA PREPARACION DE LAS BEBIDAS COMO CEREALES O FRUTAS O CHOCOLATE O PANELA</t>
  </si>
  <si>
    <t>LECHE DE VACA, ENTERA, EN POLVO</t>
  </si>
  <si>
    <t>CANELA EN ASTILLAS</t>
  </si>
  <si>
    <t>CEREAL ACOMPAÑANTE</t>
  </si>
  <si>
    <t>GRUPO I. CEREALES, RAICES, TUBERCULOS Y PLATANOS.</t>
  </si>
  <si>
    <t>HARINA DE MAIZ AMARILLO, PRECOCIDA</t>
  </si>
  <si>
    <t>SAL</t>
  </si>
  <si>
    <t>FRUTA</t>
  </si>
  <si>
    <t>GRUPO II FRUTA Y VERDURA</t>
  </si>
  <si>
    <t>AZUCARES</t>
  </si>
  <si>
    <t>GRUPO VI. AZUCARES</t>
  </si>
  <si>
    <t>PANELA PARA LA BEBIDA CON LECHE</t>
  </si>
  <si>
    <t>GRASAS</t>
  </si>
  <si>
    <t>GRUPO V. GRASAS</t>
  </si>
  <si>
    <t>ACEITE PARA LAS PREPARACIONES</t>
  </si>
  <si>
    <t>ACEITE, MEZCLA VEGETAL</t>
  </si>
  <si>
    <t>AGUA</t>
  </si>
  <si>
    <t>AGUA APTA PARA EL CONSUMO HUMANO</t>
  </si>
  <si>
    <t>SUBTOTAL</t>
  </si>
  <si>
    <t xml:space="preserve">PREPARACIÓN </t>
  </si>
  <si>
    <t>GRUPO III. LECHE Y PRODUCTOS LACTEOS</t>
  </si>
  <si>
    <t>AVENA EN HOJUELAS, PRECOCIDA</t>
  </si>
  <si>
    <t>ALIMENTO PROTEÍCO</t>
  </si>
  <si>
    <t>GRUPO IV. CARNES, HUEVOS, LEGUMINOSAS SECAS, FRUTOS SECOS Y SEMILLAS.</t>
  </si>
  <si>
    <t>POLLO, PECHUGA CON PIEL, CRUDA</t>
  </si>
  <si>
    <t>CEBOLLA CABEZONA, CRUDA</t>
  </si>
  <si>
    <t>PIMENTON ROJO, CRUDO</t>
  </si>
  <si>
    <t>ZANAHORIA, SIN CASCARA, CRUDA</t>
  </si>
  <si>
    <t>ACHIOTE, SECO</t>
  </si>
  <si>
    <t>PLATANO COCIDO</t>
  </si>
  <si>
    <t>AZUCAR PARA LA BEBIDA CON LECHE</t>
  </si>
  <si>
    <t>AZUCAR BLANCO, GRANULADO</t>
  </si>
  <si>
    <t>MAIZ AMARILLO, TRILLADO</t>
  </si>
  <si>
    <t>HUEVO DE GALLINA, ENTERO, CRUDO</t>
  </si>
  <si>
    <t>PAPA COCIDA</t>
  </si>
  <si>
    <t>PAPA, CON CASCARA, CRUDA</t>
  </si>
  <si>
    <t>ALMIDON DE MAIZ, CRUDO</t>
  </si>
  <si>
    <t>RES, CARNE MAGRA, CRUDA</t>
  </si>
  <si>
    <t>AJI DULCE, CRUDO</t>
  </si>
  <si>
    <t>CHOCOLATE COSTEÑO CON LECHE</t>
  </si>
  <si>
    <t>PIÑA, CRUDA</t>
  </si>
  <si>
    <t>CARNE DE CERDO</t>
  </si>
  <si>
    <t>TOMATE, CRUDO</t>
  </si>
  <si>
    <t>ÑAME COCIDO</t>
  </si>
  <si>
    <t>ÑAME, CON CASCARA, CRUDO</t>
  </si>
  <si>
    <t>BANANO</t>
  </si>
  <si>
    <t>BANANO COMUN, CRUDO</t>
  </si>
  <si>
    <t>PETO CON LECHE</t>
  </si>
  <si>
    <t>MAIZ BLANCO, TRILLADO</t>
  </si>
  <si>
    <t>ARROZ CON LECHE Y PANELA</t>
  </si>
  <si>
    <t>AREPA FRITA</t>
  </si>
  <si>
    <t>PAPAYA, MADURA, CRUDA</t>
  </si>
  <si>
    <t>MANDARINA, CRUDA</t>
  </si>
  <si>
    <t>ARROZ CON CEBOLLA</t>
  </si>
  <si>
    <t>YUCA COCIDA</t>
  </si>
  <si>
    <t>YUCA BLANCA, SIN CASCARA, CRUDA</t>
  </si>
  <si>
    <t>PASTA ALIMENTICIA, ENRIQUECIDA, CRUDA</t>
  </si>
  <si>
    <t>NARANJA</t>
  </si>
  <si>
    <t>NARANJA, CRUDA</t>
  </si>
  <si>
    <t>PLATANO HARTON, VERDE, CRUDO</t>
  </si>
  <si>
    <t>TOTAL</t>
  </si>
  <si>
    <t>PROMEDIO NIVEL PREESCOLAR</t>
  </si>
  <si>
    <t>PROMEDIO TOTAL COMPLEMENTOS AM/PM</t>
  </si>
  <si>
    <t>TOTAL PESO BRUTO KILO NIVEL PREESCOLAR</t>
  </si>
  <si>
    <t>PROMEDIO PESO BRUTO TOTAL COMPLEMENTO AM/PM</t>
  </si>
  <si>
    <t>Primaria:Primero, Segundo y Tercero</t>
  </si>
  <si>
    <t>ARVEJA SECA, CRUDA</t>
  </si>
  <si>
    <t>CEBOLLA JUNCA, TALLOS, CRUDA</t>
  </si>
  <si>
    <t>LENTEJA, COMUN, CRUDA</t>
  </si>
  <si>
    <t>RES, HIGADO, CRUDO</t>
  </si>
  <si>
    <t>FRIJOL, ROJO, CRUDO</t>
  </si>
  <si>
    <t>HABICHUELA, CRUDA</t>
  </si>
  <si>
    <t>LECHE DE VACA, ENTERA, PASTEURIZADA</t>
  </si>
  <si>
    <t>BEBIDA CON LECHE Y AVENA, PASTEURIZADA, SABOR NATURAL</t>
  </si>
  <si>
    <t>MANZANA COMUN, CRUDA</t>
  </si>
  <si>
    <t>DESCRIPCION</t>
  </si>
  <si>
    <t>CANTIDAD</t>
  </si>
  <si>
    <t>VALOR TOTAL</t>
  </si>
  <si>
    <t xml:space="preserve"> </t>
  </si>
  <si>
    <t>PROFESION</t>
  </si>
  <si>
    <t>EXPERIENCIA ESPECÍFICA EN PROGRAMAS SOCIALES</t>
  </si>
  <si>
    <t xml:space="preserve">TIPO DE VINULACION </t>
  </si>
  <si>
    <t>N° MESES</t>
  </si>
  <si>
    <t>GRAN TOTAL</t>
  </si>
  <si>
    <t>12 MESES</t>
  </si>
  <si>
    <t>CONTRATISTA</t>
  </si>
  <si>
    <t>TABLA DE CÁLCULO DEL COMBUSTIBLE</t>
  </si>
  <si>
    <t>MUNICIPIO</t>
  </si>
  <si>
    <t>CODIGO_DANE</t>
  </si>
  <si>
    <t>NOMBRE ESTABLECIMIENTO</t>
  </si>
  <si>
    <t>DANE_SEDE</t>
  </si>
  <si>
    <t>NOMBRE SEDE</t>
  </si>
  <si>
    <t>ZONA</t>
  </si>
  <si>
    <t>MODALIDAD</t>
  </si>
  <si>
    <t>CUPOS</t>
  </si>
  <si>
    <t>COMBUSTIBLE</t>
  </si>
  <si>
    <t>COSTO COMBUSTIBLE POR RACIÓN</t>
  </si>
  <si>
    <t>TOTAL DIARIO</t>
  </si>
  <si>
    <t>N° DÍAS HÁBILES ESCOLARES</t>
  </si>
  <si>
    <t>COMP</t>
  </si>
  <si>
    <t>PIPETA</t>
  </si>
  <si>
    <t>Total general</t>
  </si>
  <si>
    <t>PRODUCTO</t>
  </si>
  <si>
    <t>COTIZACIÓN 1</t>
  </si>
  <si>
    <t>COTIZACIÓN 2</t>
  </si>
  <si>
    <t>COTIZACIÓN 3</t>
  </si>
  <si>
    <t>VALOR LIBRA</t>
  </si>
  <si>
    <t>COSTO UNITARIO COMBUSTIBLE</t>
  </si>
  <si>
    <t>COSTO TOTAL COMBUSTIBLE</t>
  </si>
  <si>
    <t>N° CUPOS DIARIOS</t>
  </si>
  <si>
    <t>N° DÍAS HABILES</t>
  </si>
  <si>
    <t>CILINDRO (45 KG) - 100 LIBRAS</t>
  </si>
  <si>
    <t>TABLA DE INSUMOS DE ASEO - RACION PREPARADA EN SITIO</t>
  </si>
  <si>
    <t>UNIDADES</t>
  </si>
  <si>
    <t>FRECUENCIA</t>
  </si>
  <si>
    <t>N0. RACIONES/MES</t>
  </si>
  <si>
    <t>SUBTOTAL 1</t>
  </si>
  <si>
    <t>SUBTOTAL 2</t>
  </si>
  <si>
    <t>ESCOBA</t>
  </si>
  <si>
    <t>ANUAL</t>
  </si>
  <si>
    <t>N.A</t>
  </si>
  <si>
    <t xml:space="preserve">TRAPERO </t>
  </si>
  <si>
    <t>RECOGEDOR</t>
  </si>
  <si>
    <t>CEPILLO DE CERDAS DURAS</t>
  </si>
  <si>
    <t>ESPONJA PLASTICA Y ABRASIVA</t>
  </si>
  <si>
    <t>MENSUAL</t>
  </si>
  <si>
    <t xml:space="preserve">DETERGENTE LAVAPLATOS </t>
  </si>
  <si>
    <t>2 LT X 100 CUPOS</t>
  </si>
  <si>
    <t>HIPOCLORITO DE SODIO 5,45%</t>
  </si>
  <si>
    <t xml:space="preserve">JABON EN POLVO PARA ASEO GENERAL </t>
  </si>
  <si>
    <t>2 KG X 100 CUPOS</t>
  </si>
  <si>
    <t>JABON ANTIBACTERIAL LIQUIDO (BOTELLA 300 CC)</t>
  </si>
  <si>
    <t>300 CC X MANIPULADOR</t>
  </si>
  <si>
    <t>BOLSAS PLASTICAS PARA BASURA</t>
  </si>
  <si>
    <t>CANECAS PARA BASURAS</t>
  </si>
  <si>
    <t>PAPEL HIGIENICO (ROLLO)</t>
  </si>
  <si>
    <t>1 ROLLO MENSUAL X MANIPULADOR</t>
  </si>
  <si>
    <t>GUANTES DE MANIPULACIÓN</t>
  </si>
  <si>
    <t>X MANIPULADORA</t>
  </si>
  <si>
    <t>COSTO TOTAL ASEO RPS</t>
  </si>
  <si>
    <t>N° CUPOS</t>
  </si>
  <si>
    <t>DÍAS CALENDARIO ESCOLAR</t>
  </si>
  <si>
    <t>VALOR RACIÓN</t>
  </si>
  <si>
    <t>KOH UÑAS</t>
  </si>
  <si>
    <t>FROTIS FARINGEO</t>
  </si>
  <si>
    <t>COPROLOGICO</t>
  </si>
  <si>
    <t>SEROLOGICO (VDRL)</t>
  </si>
  <si>
    <t>COORDINADOR OPERATIVO</t>
  </si>
  <si>
    <t>CONDUCTORES</t>
  </si>
  <si>
    <t>Total</t>
  </si>
  <si>
    <t>DESCRIPCIÓN</t>
  </si>
  <si>
    <t>GRAN TOTAL EXÁMENES</t>
  </si>
  <si>
    <t>UNIFORME (CAMISA + PANTALÓN)</t>
  </si>
  <si>
    <t>GORRO/COFIA</t>
  </si>
  <si>
    <t>TAPABOCAS</t>
  </si>
  <si>
    <t>DELANTAL</t>
  </si>
  <si>
    <t>CALZADO ANTIDESLIZANTE</t>
  </si>
  <si>
    <t>GRAN TOTAL DOTACIÓN</t>
  </si>
  <si>
    <t>ITEM</t>
  </si>
  <si>
    <t xml:space="preserve">CUPOS </t>
  </si>
  <si>
    <t>PESO PROMEDIO COMPLEMENTO (KILOS)</t>
  </si>
  <si>
    <t>PESO POR MUNICIPIO</t>
  </si>
  <si>
    <t>COTIZACION 1-COSTO TONELADA</t>
  </si>
  <si>
    <t>COTIZACION 2-COSTO TONELADA</t>
  </si>
  <si>
    <t>VALOR PROMEDIO KILO MENSUAL</t>
  </si>
  <si>
    <t>COSTO TRANSPORTE RACION</t>
  </si>
  <si>
    <t xml:space="preserve">TABLA PROYECCION CALENDARIO DE ATENCION </t>
  </si>
  <si>
    <t>MES</t>
  </si>
  <si>
    <t xml:space="preserve">N° DIAS CON EJECUCIÓN PAE </t>
  </si>
  <si>
    <t>ENERO</t>
  </si>
  <si>
    <t>FEBRERO</t>
  </si>
  <si>
    <t>MARZO</t>
  </si>
  <si>
    <t>ABRIL</t>
  </si>
  <si>
    <t>MAYO</t>
  </si>
  <si>
    <t>JUNIO</t>
  </si>
  <si>
    <t>JULIO</t>
  </si>
  <si>
    <t>AGOSTO</t>
  </si>
  <si>
    <t>SEPTIEMBRE</t>
  </si>
  <si>
    <t xml:space="preserve">OCTUBRE </t>
  </si>
  <si>
    <t xml:space="preserve">NOVIEMBRE </t>
  </si>
  <si>
    <t>DICIEMBRE</t>
  </si>
  <si>
    <t>ASIGNACIÓN MENSUAL</t>
  </si>
  <si>
    <t>CONCEPTO</t>
  </si>
  <si>
    <t>%</t>
  </si>
  <si>
    <t>Salario mínimo</t>
  </si>
  <si>
    <t>Auxilio de Transporte</t>
  </si>
  <si>
    <t>Sub total salario minimo</t>
  </si>
  <si>
    <t>Prima (1 salario anual + transporte)</t>
  </si>
  <si>
    <t>Cesantias (1 salario anual)</t>
  </si>
  <si>
    <t xml:space="preserve">Intereses sobre cesantías </t>
  </si>
  <si>
    <t>Aporte seguridad social - salud</t>
  </si>
  <si>
    <t xml:space="preserve">Aporte seguridad social - pension </t>
  </si>
  <si>
    <t>Parafiscales Caja de Compensacion 4%)</t>
  </si>
  <si>
    <t>Paraficales - ICBF (3%)</t>
  </si>
  <si>
    <t>Paraficales - Sena (2%)</t>
  </si>
  <si>
    <t xml:space="preserve">% IMPUESTOS </t>
  </si>
  <si>
    <t>Estampilla-Pro-Cultura</t>
  </si>
  <si>
    <t>COSTOS VARIABLES</t>
  </si>
  <si>
    <t>OTROS COSTOS (IMPUESTO / ESTAMPILLAS)</t>
  </si>
  <si>
    <t>TOTAL VALOR RACIÓN COMPLEMENTO ALIMENTARIO JORNADA AM,PM</t>
  </si>
  <si>
    <t>PRECIO ALIMENTO RACIÓN AM, PM</t>
  </si>
  <si>
    <t xml:space="preserve">REPUBLICA DE COLOMBIA </t>
  </si>
  <si>
    <t>COSTO VARIABLE</t>
  </si>
  <si>
    <t>TOTAL GENERAL</t>
  </si>
  <si>
    <t>COSTO DIRECTO COMPLEMENTO AM/PM</t>
  </si>
  <si>
    <t>TOTAL CUPOS</t>
  </si>
  <si>
    <t>SUBTOTAL COSTOS DIRECTOS</t>
  </si>
  <si>
    <t>COSTOS INDIRECTOS OPERACIÓN</t>
  </si>
  <si>
    <t>CHOCOLATE, EN BOLAS</t>
  </si>
  <si>
    <t>PRESUPUESTO GENERAL</t>
  </si>
  <si>
    <t>VALOR UNITARIO POR RACIÓN</t>
  </si>
  <si>
    <t>RACIÓN PREPARADA EN SITIO - RPS</t>
  </si>
  <si>
    <t>RACIÓN INDUSTRIALIZADA - RI</t>
  </si>
  <si>
    <t>N°TOTAL MANIP</t>
  </si>
  <si>
    <t>CUPOS RPS</t>
  </si>
  <si>
    <t>CUPOS RI</t>
  </si>
  <si>
    <t>301-600</t>
  </si>
  <si>
    <t>*FUENTE: Ministerio del Trabajo 2022.</t>
  </si>
  <si>
    <t>DÍAS CALENDARIO (MES)</t>
  </si>
  <si>
    <t>DÍAS HÁBILES (MES)</t>
  </si>
  <si>
    <t>N° CUPOS (DIARIOS)</t>
  </si>
  <si>
    <t>N° DÍAS HÁBILES ESCOLARES A ATENDER</t>
  </si>
  <si>
    <t>25 A 300</t>
  </si>
  <si>
    <t>*Industrializada: Para el caso de las sedes con modalidad industrializada la ETC determinó: 25 a 300 RI: 1 manipuladora y de 301 a 600 RI: 2 manipuladoras; ya que dicha modalidad implica poca complejidad a la hora de entregarse las raciones. Cabe resaltar, que en aquellos casos donde hayan menos de 50 Raciones Industrializadas estas deberán ser suministradas por un algún delegado del Comité de Alimentación Escolar (CAE).</t>
  </si>
  <si>
    <t>Vacaciones</t>
  </si>
  <si>
    <t>SALARIO MÍNIMO MENSUAL LEGAL VIGENTE 2022 - CONDUCTORES</t>
  </si>
  <si>
    <t>Servicios públicos - Bodega (Agua, Energía eléctrica, Gas, Teléfono, Internet)</t>
  </si>
  <si>
    <t>Mantenimiento de Equipos en las I.E - Acción Preventiva y/o Correctiva</t>
  </si>
  <si>
    <t>Otros (Nómina a destajo, Gastos de ruta, Elementos de aseo y cafetería, Combustible y lubricantes, Peajes, Gastos bancarios, Parqueaderos y lavados, Viáticos, Pólizas, etc)</t>
  </si>
  <si>
    <t>Utiles, papaelería y fotocopias (Material Informativo: Ficha Técnica de Información del PAE, Ciclo de menús, Canales de Atención, Marcación de áreas, Planes y formatos, Demarcación de áreas)</t>
  </si>
  <si>
    <t>Fumigaciones en la I.E donde se presenten plagas y/o roedores - Acción Correctiva</t>
  </si>
  <si>
    <t>Contingencias (Inundaciones, desastres naturales, por factores externos teniendo en cuenta)</t>
  </si>
  <si>
    <t>Otros (Elementos de Bioseguridad, etc)</t>
  </si>
  <si>
    <t>**Nota: Es de precisar, que el rubro denominado en el presupuesto como "GASTOS DE IMPREVISTOS" se encuentra sujeto a situaciones externas que podrían presentarse y que se relacionen con la operación del programa, por tanto, en caso de darse algún tipo de situación, el contratista deberá solicitar aprobación por parte del Comité Territorial de Planeación y Seguimiento (CTPS) con las respectivas justificaciones y esto será sujeto de aprobación o no; en caso, de ser aprobado deberá soportarse con facturas y/o documentos equivalentes y relacionarse en el informe financiero y técnico del período.</t>
  </si>
  <si>
    <t xml:space="preserve">Aporte Seguiriad Social - ARL </t>
  </si>
  <si>
    <t>NA</t>
  </si>
  <si>
    <t>SECRETARIA DE EDUCACION MUNICIPAL</t>
  </si>
  <si>
    <t>INSTITUCIÓN EDUCATIVA</t>
  </si>
  <si>
    <t>AVENA CON LECHE</t>
  </si>
  <si>
    <t>COLADA DE FECULA DE MAIZ CON LECHE</t>
  </si>
  <si>
    <t>ALIMENTO PROTEICO</t>
  </si>
  <si>
    <t>AZUCAR PARA LAS PREPARACIONES</t>
  </si>
  <si>
    <t>Primaria:Cuarto y Quinto</t>
  </si>
  <si>
    <t>URBANA</t>
  </si>
  <si>
    <t>SEDE PRINCIPAL</t>
  </si>
  <si>
    <t>1/2 SALARIO MÍNIMO INTEGRAL 2023</t>
  </si>
  <si>
    <t>N° LITROS</t>
  </si>
  <si>
    <t>SUBTOTAL COSTO INDIRECTOS -----------------------------------------------------------------------------------------------------------------------------------------------------------------</t>
  </si>
  <si>
    <t>SUB TOTAL COSTO OPERACIÓN -----------------------------------------------------------------------------------------------------------------------------------------------------------------</t>
  </si>
  <si>
    <t>SUBTOTAL ADMINISTRACION E IMPREVISTOS ---------------------------------------------------------------------------------------------------------------------------------------------</t>
  </si>
  <si>
    <t>COSTO TOTAL OPERACION PAE -----------------------------------------------------------------------------------------------------------------------------------------------------------------</t>
  </si>
  <si>
    <t>Transporte, fletes, acarreos (Conforme a la implementación de la modalidad de Comida Caliente Transportada (CCT) en aquellos establecimientos educativos donde no se cuente con las condiciones mínimas del comedor escolar)</t>
  </si>
  <si>
    <t>Análisis microbiológicos conforme al Plan de Muestreo acordado entre el operador y la ET en la fase pre-operativa</t>
  </si>
  <si>
    <t>TABLA DE CÁLCULO DE LITROS DE DETERGENTE - DESINFECTANTE</t>
  </si>
  <si>
    <t>CÁLCULO PAGO MANIPULADORAS Y OTROS</t>
  </si>
  <si>
    <t>TABLA EQUIPO DE APOYO MUNICIPAL</t>
  </si>
  <si>
    <t>GRUPO III. LECHE Y PRODUCTOS LACTEOS. OTROS ALIMENTOS PARA LA PREPARACION DE LAS BEBIDAS COMO CEREALES O FRUTAS O CHOCOLATE O PANELA</t>
  </si>
  <si>
    <t xml:space="preserve"> LECHE CON PANELA</t>
  </si>
  <si>
    <t xml:space="preserve"> ARROZ CON AJI.</t>
  </si>
  <si>
    <t>COLADA DE CUCHUCO DE MAIZ CON LECHE</t>
  </si>
  <si>
    <t>PANELAPARA LA BEBIDA CON LECHE</t>
  </si>
  <si>
    <t>ARROZ CON ZANAHORIA</t>
  </si>
  <si>
    <t>NIVEL PREESCOLAR</t>
  </si>
  <si>
    <t>NIVEL 1° A 3°</t>
  </si>
  <si>
    <t>GRUPO I. CEREALES, RAICES, TUBERCULOS Y PLATANOS</t>
  </si>
  <si>
    <t>PROMEDIO NIVEL PRIMARIA 1-3</t>
  </si>
  <si>
    <t>PROMEDIO NIVEL PRIMARIA 4-5</t>
  </si>
  <si>
    <t>TOTAL PESO BRUTO KILO NIVEL PRIMARIA 1-3</t>
  </si>
  <si>
    <t>TOTAL PESO BRUTO KILO NIVEL PRIMARIA 4-5</t>
  </si>
  <si>
    <t>RECURSOS PROPIOS - EQUIPO PAE  -------------------------------------------------------------------------------------------------------------------------------------------------------</t>
  </si>
  <si>
    <t>MUNICIPIO DE SAMPUÉS - SUCRE</t>
  </si>
  <si>
    <t>SAMPUÉS</t>
  </si>
  <si>
    <t>IE MILLAN VARGAS</t>
  </si>
  <si>
    <t>SEDE LUIS G PORTACIO</t>
  </si>
  <si>
    <t>SEDE EL CAMPANO SEBASTIAN PEÑATES</t>
  </si>
  <si>
    <t>IE MARISCAL SUCRE</t>
  </si>
  <si>
    <t>SEDE LAS PERONILLAS</t>
  </si>
  <si>
    <t>SEDE SANTA MARTA</t>
  </si>
  <si>
    <t>SEDE BIZERTA</t>
  </si>
  <si>
    <t>JORNADA</t>
  </si>
  <si>
    <t>AM</t>
  </si>
  <si>
    <t>PM</t>
  </si>
  <si>
    <t>IE MILLAN VARGAS SEDE PRINCIPAL</t>
  </si>
  <si>
    <t>IE MILLAN VARGAS SEDE EL CAMPANO SEBASTIAN PEÑATES</t>
  </si>
  <si>
    <t>IE MILLAN VARGAS SEDE LUIS G PORTACIO</t>
  </si>
  <si>
    <t>IE MARISCAL SUCRE SEDE LAS PERONILLAS</t>
  </si>
  <si>
    <t>IE MARISCAL SUCRE SEDE SANTA MARTA</t>
  </si>
  <si>
    <t>IE MARISCAL SUCRE SEDE BIZERTA</t>
  </si>
  <si>
    <t>Estampilla-Pro-Hospital</t>
  </si>
  <si>
    <t>Estampilla-Pro-Adulto Mayor</t>
  </si>
  <si>
    <t>Retefuente</t>
  </si>
  <si>
    <t>SAMPUES</t>
  </si>
  <si>
    <t>COLADA DE AVENA CON LECHE</t>
  </si>
  <si>
    <t>PASTAS GUISADAS</t>
  </si>
  <si>
    <t>TOTAL MENÚ</t>
  </si>
  <si>
    <t>ROSCON DE HARINA DE MAIZ</t>
  </si>
  <si>
    <t>HUEVOS CON BERENJENA</t>
  </si>
  <si>
    <t>AREPA ASADA</t>
  </si>
  <si>
    <t>PIÑA</t>
  </si>
  <si>
    <t>DEDITOS DE HARINA DE MAIZ</t>
  </si>
  <si>
    <t>HUEVOS CON HABICHUELA</t>
  </si>
  <si>
    <t>PASTA SALTEADA</t>
  </si>
  <si>
    <t>MACHUCADO DE PLATANO</t>
  </si>
  <si>
    <t xml:space="preserve"> ARROZ CON AJI</t>
  </si>
  <si>
    <t>Estampilla Unisucre</t>
  </si>
  <si>
    <t>Sobretasa al Deporte</t>
  </si>
  <si>
    <t>AUXILIARES DE CARGA Y DESCARGA</t>
  </si>
  <si>
    <t xml:space="preserve">MANIPULADORES </t>
  </si>
  <si>
    <t xml:space="preserve">MANIPULADORAS </t>
  </si>
  <si>
    <t>PROGRAMA DE ALIMENTACIÓN ESCOLAR VIGENCIA 2023 - LEY 715 DE 2001</t>
  </si>
  <si>
    <t>PROGRAMA DE ALIMENTACION ESCOLAR VIGENCIA 2023 - LEY 715 DE 2001</t>
  </si>
  <si>
    <t xml:space="preserve">PROGRAMA DE ALIMENTACIÓN ESCOLAR VIGENCIA 2023 - LEY 715 DE 2001 </t>
  </si>
  <si>
    <t>TABLA DE SALARIOS RECURSO HUMANO PAE VIGENCIA 2023</t>
  </si>
  <si>
    <t>TABLA DE DOTACIÓN PARA EL RECURSO HUMANO DEL PAE VIGENCIA 2023</t>
  </si>
  <si>
    <t>TABLA DE EXÁMENES A REALIZAR AL RECURSO HUMANO DEL PAE VIGENCIA 2023</t>
  </si>
  <si>
    <t>PROGRAMA DE ALIMENTACIÓN ESCOLAR VIGENCIA 2023 - LEY 715 DE 2001 MUNICIPIO DE SAMPUÉS - SUCRE</t>
  </si>
  <si>
    <t>PROYECCIÓN CALENDARIO PAE 2023</t>
  </si>
  <si>
    <t>TABLA DE IMPUESTOS 2023</t>
  </si>
  <si>
    <t>COSTO PRESUPUESTO OPERACIÓN PAE VIGENCIA 2023</t>
  </si>
  <si>
    <t>RESUMEN DE CUPOS - CORTE 07 DE DICIEMBRE DE 2022</t>
  </si>
  <si>
    <t>NIVEL 4° Y 5°</t>
  </si>
  <si>
    <t>COSTO DIRECTO RACIÓN INDUSTRIALIZADA</t>
  </si>
  <si>
    <t>MANO DE OBRA MANIPULADORAS ----------------------------------------------------------------------------------------------------------------------------------------------------------------------</t>
  </si>
  <si>
    <t>TRANSPORTE DE ALIMENTOS ---------------------------------------------------------------------------------------------------------------------------------------------------------------------------</t>
  </si>
  <si>
    <t>RECURSO HUMANO ------------------------------------------------------------------------------------------------------------------------------------------------------------------------------------------</t>
  </si>
  <si>
    <t>DOTACION -------------------------------------------------------------------------------------------------------------------------------------------------------------------------------------------------------</t>
  </si>
  <si>
    <t>EXAMEN DE LABORATORIO --------------------------------------------------------------------------------------------------------------------------------------------------------------------------------</t>
  </si>
  <si>
    <t>ASEO --------------------------------------------------------------------------------------------------------------------------------------------------------------------------------------------------------------</t>
  </si>
  <si>
    <t>COMBUSTIBLE -------------------------------------------------------------------------------------------------------------------------------------------------------------------------------------------------</t>
  </si>
  <si>
    <t>ASIGNACION MENSUAL 2023</t>
  </si>
  <si>
    <t>GRAN TOTAL PROYECTO PAE 2023</t>
  </si>
  <si>
    <t>PRECIO ALIMENTO RACIÓN INDUSTRIALIZADA</t>
  </si>
  <si>
    <t>TOTAL VALOR RACIÓN RACIÓN INDUSTRIALIZADA</t>
  </si>
  <si>
    <t>0-100</t>
  </si>
  <si>
    <t>101-200</t>
  </si>
  <si>
    <t>201-300</t>
  </si>
  <si>
    <t>301-400</t>
  </si>
  <si>
    <t>401-500</t>
  </si>
  <si>
    <t>501-600</t>
  </si>
  <si>
    <t>NOTA: *Ración Preparada en Sitio: El cálculo del número de manipuladoras correspondiente por sede se estableción de la siguiente manera: 0 a 100 RPS: 1 manipulador, 101 a 200 RPS: 2 manipuladores, 201 a 300 RPS: 3 manipuladores, 301 a 400 RPS: 4 manipuladores, 401 a 500 RPS: 5 manipuladores, 501 a 600 RPS: 6 manipuladores.</t>
  </si>
  <si>
    <t>SALARIO MÍNIMO MENSUAL LEGAL VIGENTE 2022 - AUXILIARES, SUPERVISORES</t>
  </si>
  <si>
    <t>BERENJENA, CON CASCARA, CRUDA</t>
  </si>
  <si>
    <t>PRECIOS SIPSA DE REFERENCIA (17 al 23 de Diciembre de 2022)</t>
  </si>
  <si>
    <t>Ración Industrializada</t>
  </si>
  <si>
    <t>LECHE Y PRODUCTOS LACTEOS</t>
  </si>
  <si>
    <t>LEHE SABORIZADA UHT</t>
  </si>
  <si>
    <t>GALLETA PUNTO ROJO</t>
  </si>
  <si>
    <t>POSTRE</t>
  </si>
  <si>
    <t>BOCADILLO</t>
  </si>
  <si>
    <t>PAN DE QUESO</t>
  </si>
  <si>
    <t>LECHE DE VACA, ENTERA, PASTEURIZADA, SABORIZADA</t>
  </si>
  <si>
    <t>LEHE ENTERA UHT</t>
  </si>
  <si>
    <t>MUFFIN</t>
  </si>
  <si>
    <t>GRUPO II. FRUTA Y VERDURA</t>
  </si>
  <si>
    <t>AVENA UHT</t>
  </si>
  <si>
    <t>CROISSANT</t>
  </si>
  <si>
    <t>LECHE CONDENSADA</t>
  </si>
  <si>
    <t>GALLETA SABOR A CHOCOLATE</t>
  </si>
  <si>
    <t>LECHE SABORIZADA UHT</t>
  </si>
  <si>
    <t>AREQUIPE</t>
  </si>
  <si>
    <t>LECHE ENTERA UHT</t>
  </si>
  <si>
    <t>PAN DE LECHE</t>
  </si>
  <si>
    <t>PANELITA</t>
  </si>
  <si>
    <t>ROSCON DE BOCADILLO</t>
  </si>
  <si>
    <t>PROMEDIO TOTAL COMPLEMENTOS RI</t>
  </si>
  <si>
    <t>PROMEDIO PESO BRUTO TOTAL COMPLEMENTO RI</t>
  </si>
  <si>
    <t>40 X 1</t>
  </si>
  <si>
    <t>2 X 1</t>
  </si>
  <si>
    <t>GALLETA PUNTO ROJO X 30 G</t>
  </si>
  <si>
    <t>GALLETA PUNTO ROJO X 50 G</t>
  </si>
  <si>
    <t>GALLETA PUNTO ROJO X 60 G</t>
  </si>
  <si>
    <t>ROSCON DE BOCADILLO X 50 G</t>
  </si>
  <si>
    <t>ROSCON DE BOCADILLO X 60 G</t>
  </si>
  <si>
    <t>CROISSANT X 50 G</t>
  </si>
  <si>
    <t>CROISSANT X 60 G</t>
  </si>
  <si>
    <t>GALLETA SABOR A CHOCOLATE X 30 G</t>
  </si>
  <si>
    <t>GALLETA SABOR A CHOCOLATE X 50 G</t>
  </si>
  <si>
    <t>GALLETA SABOR A CHOCOLATE X 60 G</t>
  </si>
  <si>
    <t>PAN DE LECHE X 50 G</t>
  </si>
  <si>
    <t>PAN DE LECHE X 60 G</t>
  </si>
  <si>
    <t>PAN DE QUESO X 50 G</t>
  </si>
  <si>
    <t>PAN DE QUESO X 60 G</t>
  </si>
  <si>
    <t>MUFFIN X 30 G</t>
  </si>
  <si>
    <t>MUFFIN X 50 G</t>
  </si>
  <si>
    <t>MUFFIN X 60 G</t>
  </si>
  <si>
    <t>LECHE CONDENSADA X 20 G</t>
  </si>
  <si>
    <t>PANELITA DE LECHE X 20 G</t>
  </si>
  <si>
    <t xml:space="preserve">PAN DE QUESO </t>
  </si>
  <si>
    <t>BOCADILLO O DULCE DE GUAYAYABA TRADICIONAL X 20 G</t>
  </si>
  <si>
    <t>AREQUIPE O DULCE DE LECHE X 20 G</t>
  </si>
  <si>
    <t>PROYECCIÓN % IPC 2023 DEL 16%</t>
  </si>
  <si>
    <t>ROSCÓN DE BOCADILLO</t>
  </si>
  <si>
    <t>RI</t>
  </si>
  <si>
    <t>PROMEDIO NIVEL 1-3 BÁSICA PRIMARIA</t>
  </si>
  <si>
    <t>TOTAL PESO BRUTO KILO NIVEL 1-3 BÁSICA PRIMARIA</t>
  </si>
  <si>
    <t>PROMEDIO NIVEL 4-5 BASICA PRIMARIA</t>
  </si>
  <si>
    <t>TOTAL PESO BRUTO KILO NIVEL 4-5 BÁSICA PRIMARIA</t>
  </si>
  <si>
    <t>Estampilla Electrificación Rural</t>
  </si>
  <si>
    <t>IE MARISCAL SEDE PRINCIPAL</t>
  </si>
  <si>
    <t>RPS</t>
  </si>
  <si>
    <t>2 X 6</t>
  </si>
  <si>
    <t>40 X 6</t>
  </si>
  <si>
    <t>TABLA DE INSUMOS DE ASEO - RACION INDUSTRIALIZADA</t>
  </si>
  <si>
    <t>RECURSOS SGP - ALIMENTACIÓN ESCOLAR -------------------------------------------------------------------------------------------------------------------------------------</t>
  </si>
  <si>
    <t>CONSOLIDADO MANIPULADORES POR  SEDES PAE 2023</t>
  </si>
  <si>
    <t>INGENIERO DE ALIMENTOS, INGENIERO AGROINDUSTRIAL O AFINES</t>
  </si>
  <si>
    <t>NUMERO DE DIAS A ATENDER</t>
  </si>
  <si>
    <t>TABLA DE COSTOS DE TRANSPORTE DE ALIMENTOS</t>
  </si>
  <si>
    <t>Sobretasa Fondo Microempresarial</t>
  </si>
  <si>
    <t>PECHUGA EN CUADRITOS CON VEGETALES</t>
  </si>
  <si>
    <t>CARNE DE RES GUISADA CON VERDURAS</t>
  </si>
  <si>
    <t>ROSCON DE BOCADILLO X 40 G</t>
  </si>
  <si>
    <t>HUEVO REVUELTO CON TOMATE Y CEBOLLA</t>
  </si>
  <si>
    <t>PAN DE QUESO X 40 G</t>
  </si>
  <si>
    <t>CERDO EN JULIANAS CON PIMENTON Y ZANAHORIA</t>
  </si>
  <si>
    <t>CARNE DE RES EN TROCITOS CON VEGETALES</t>
  </si>
  <si>
    <t>CARNE DE CERDO EN BISTEC</t>
  </si>
  <si>
    <t>CROISSANT X 40 G</t>
  </si>
  <si>
    <t>PECHUGA DESMECHADA CON VEGETALES</t>
  </si>
  <si>
    <t>CERDO SALTEADO CON VEGETALES</t>
  </si>
  <si>
    <t>TORTILLA DE HUEVOS CON VERDURAS</t>
  </si>
  <si>
    <t>CARNE DE RES EN GOULASS CON VEGETALES</t>
  </si>
  <si>
    <t>ARROZ CON FIDEO</t>
  </si>
  <si>
    <t>PAN DE LECHE X 40 G</t>
  </si>
  <si>
    <t>FORMATO ESTUDIO DE COSTOS</t>
  </si>
  <si>
    <t>CARNE DES RES EN GOULASS CON VEGETALES</t>
  </si>
  <si>
    <t>PERA, CRUDA</t>
  </si>
  <si>
    <t>PERA</t>
  </si>
  <si>
    <t>PAN DE QUESO X 70 G</t>
  </si>
  <si>
    <t>CROISSANT X 70 G</t>
  </si>
  <si>
    <t>ROSCON DE BOCADILLO X 70 G</t>
  </si>
  <si>
    <t>PAN DE LECHE X 70 G</t>
  </si>
  <si>
    <t>COTIZACION 3-COSTO TONELADA</t>
  </si>
  <si>
    <t xml:space="preserve">VALOR TOTAL MENSUAL </t>
  </si>
  <si>
    <t>VALOR TOTAL MENSUAL</t>
  </si>
  <si>
    <t>TABLA DE COSTOS DE TRANSPORTE DE ASEO</t>
  </si>
  <si>
    <t>COTIZACION 1-COSTO RUTA</t>
  </si>
  <si>
    <t>COTIZACION 2-COSTO RUTA</t>
  </si>
  <si>
    <t>COTIZACION 3-COSTO RUTA</t>
  </si>
  <si>
    <t>VALOR PROMEDIO RUTA</t>
  </si>
  <si>
    <t>TOTAL RUTA ASEO (OPERACIÓN)</t>
  </si>
  <si>
    <t>GASTOS DE ADMINISTRACION  Y SERVICIOS CONEXOS (3%) ------------------------------------------------------------------------------------------------------------------------</t>
  </si>
  <si>
    <t>N° MANIPULADORAS RPS</t>
  </si>
  <si>
    <t>PAGO TOTAL MANIPULADORAS (RPS)</t>
  </si>
  <si>
    <t>N° MANIPULADORAS RI</t>
  </si>
  <si>
    <t>1/4 SALARIO MÍNIMO INTEGRAL 2023</t>
  </si>
  <si>
    <t>PAGO TOTAL MANIPULADORAS (RI)</t>
  </si>
  <si>
    <t>PAGO TOTAL MANIPULADORAS (OPERACION)</t>
  </si>
  <si>
    <t>IMPUESTOS Y ESTAMPILLAS COSTOS INDIRECTOS (14,5%) ----------------------------------------------------------------------------------------------------------------------------</t>
  </si>
  <si>
    <t>SALARIO MÍNIMO INTEGRAL 2023</t>
  </si>
  <si>
    <t>GASTOS ADMINISTRATIVOS Y SERVICIOS CONEXOS (3%)</t>
  </si>
  <si>
    <t>*Nota: El rubro denominado en el presupuesto como "GASTOS ADMINISTRATIVOS Y SERVICIOS CONEXOS" lo componen todos los gastos y/o costos administrativos que el contratista necesita para cumplir con sus obligaciones; está conformado por conceptos que no se detallan en el presupuesto como costos directos o indirectos. Para la presente vigencia se estima un 3% del total del presupuesto, en éste mismo porcentaje se entra a considerar para la presente vigencia y conforme a las directrices establecidas recientemente en la Resolución 335 del 23 de diciembre de 2021, la realización de algunos anális microbológicos a los alimentos que en su momento serán definidos en concenso con la ET en la fase de alistamiento. Es de precisar que las erogaciones que serán ejecutadas dentro del rubro de gastos administrativos  fueron enunciadas anteriormente en el cuadro; no obstante, para la ejecución de dicho rubro no se tiene estimado un valor mensual por erongación o gasto, dado que estos son sujetos a variaciones y estos se van presentando de acuerdo a la necesidad y cuando se requiera; de manera que el contratista deberá presentar factutras y/o cuentas de cobro por el valor a cobrar por concepto de "GASTOS ADMINISTRATIVOS Y SERVICIOS CONEXOS" aportando los soportes por cada concepto que se ejecute.</t>
  </si>
  <si>
    <t>GASTOS DE IMPREVISTOS (1,33909497%) -----------------------------------------------------------------------------------------------------------------------------------------------------------------</t>
  </si>
  <si>
    <t>GASTOS DE IMPREVISTOS (1,33909497%)</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</si>
</sst>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164" formatCode="_-&quot;$&quot;\ * #,##0_-;\-&quot;$&quot;\ * #,##0_-;_-&quot;$&quot;\ * &quot;-&quot;_-;_-@_-"/>
    <numFmt numFmtId="165" formatCode="_-&quot;$&quot;\ * #,##0.00_-;\-&quot;$&quot;\ * #,##0.00_-;_-&quot;$&quot;\ * &quot;-&quot;??_-;_-@_-"/>
    <numFmt numFmtId="166" formatCode="&quot;$&quot;\ #,##0.00;[Red]&quot;$&quot;\ #,##0.00"/>
    <numFmt numFmtId="167" formatCode="#,##0.00;[Red]#,##0.00"/>
    <numFmt numFmtId="168" formatCode="&quot;$&quot;\ #,##0"/>
    <numFmt numFmtId="169" formatCode="&quot;$&quot;\ #,##0.00"/>
    <numFmt numFmtId="170" formatCode="_-&quot;$&quot;\ * #,##0.00_-;\-&quot;$&quot;\ * #,##0.00_-;_-&quot;$&quot;\ * &quot;-&quot;_-;_-@_-"/>
    <numFmt numFmtId="171" formatCode="#,##0;[Red]#,##0"/>
    <numFmt numFmtId="172" formatCode="&quot;$&quot;#,##0.00;[Red]&quot;$&quot;#,##0.00"/>
    <numFmt numFmtId="173" formatCode="0.0;[Red]0.0"/>
    <numFmt numFmtId="174" formatCode="0;[Red]0"/>
    <numFmt numFmtId="175" formatCode="_(* #,##0_);_(* \(#,##0\);_(* &quot;-&quot;??_);_(@_)"/>
    <numFmt numFmtId="176" formatCode="0.00;[Red]0.00"/>
    <numFmt numFmtId="177" formatCode="0.000"/>
    <numFmt numFmtId="178" formatCode="&quot;$&quot;\ #,##0.000"/>
    <numFmt numFmtId="179" formatCode="&quot;$&quot;\ #,##0.0000"/>
    <numFmt numFmtId="180" formatCode="&quot;$&quot;#,##0.00"/>
    <numFmt numFmtId="181" formatCode="0.00000000%"/>
  </numFmts>
  <fonts count="39" x14ac:knownFonts="1">
    <font>
      <sz val="11"/>
      <color theme="1"/>
      <name val="Calibri"/>
      <family val="2"/>
      <scheme val="minor"/>
    </font>
    <font>
      <b/>
      <sz val="9"/>
      <color theme="1"/>
      <name val="Arial"/>
      <family val="2"/>
    </font>
    <font>
      <sz val="11"/>
      <color theme="1"/>
      <name val="Arial"/>
      <family val="2"/>
    </font>
    <font>
      <b/>
      <sz val="8"/>
      <color theme="1"/>
      <name val="Arial"/>
      <family val="2"/>
    </font>
    <font>
      <sz val="8"/>
      <color theme="1"/>
      <name val="Arial"/>
      <family val="2"/>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10"/>
      <name val="Arial"/>
      <family val="2"/>
    </font>
    <font>
      <sz val="11"/>
      <color rgb="FF000000"/>
      <name val="Calibri"/>
      <family val="2"/>
      <charset val="204"/>
    </font>
    <font>
      <b/>
      <sz val="11"/>
      <color theme="1"/>
      <name val="Calibri"/>
      <family val="2"/>
      <scheme val="minor"/>
    </font>
    <font>
      <sz val="11"/>
      <color theme="1"/>
      <name val="Calibri"/>
      <family val="2"/>
      <scheme val="minor"/>
    </font>
    <font>
      <b/>
      <sz val="12"/>
      <color theme="1"/>
      <name val="Calibri"/>
      <family val="2"/>
      <scheme val="minor"/>
    </font>
    <font>
      <sz val="11"/>
      <color rgb="FFFF0000"/>
      <name val="Calibri"/>
      <family val="2"/>
      <scheme val="minor"/>
    </font>
    <font>
      <b/>
      <sz val="11"/>
      <color rgb="FF000000"/>
      <name val="Calibri"/>
      <family val="2"/>
    </font>
    <font>
      <sz val="11"/>
      <color theme="1"/>
      <name val="Calibri"/>
      <family val="2"/>
    </font>
    <font>
      <b/>
      <sz val="9"/>
      <color indexed="81"/>
      <name val="Tahoma"/>
      <family val="2"/>
    </font>
    <font>
      <sz val="9"/>
      <color indexed="81"/>
      <name val="Tahoma"/>
      <family val="2"/>
    </font>
    <font>
      <sz val="11"/>
      <name val="Calibri"/>
      <family val="2"/>
      <scheme val="minor"/>
    </font>
    <font>
      <b/>
      <sz val="9"/>
      <name val="Arial"/>
      <family val="2"/>
    </font>
    <font>
      <sz val="9"/>
      <color theme="1"/>
      <name val="Arial"/>
      <family val="2"/>
    </font>
    <font>
      <b/>
      <sz val="9"/>
      <color rgb="FF000000"/>
      <name val="Arial"/>
      <family val="2"/>
    </font>
    <font>
      <b/>
      <i/>
      <sz val="9"/>
      <color rgb="FF000000"/>
      <name val="Arial"/>
      <family val="2"/>
    </font>
    <font>
      <b/>
      <sz val="9"/>
      <color theme="1" tint="4.9989318521683403E-2"/>
      <name val="Arial"/>
      <family val="2"/>
    </font>
    <font>
      <sz val="9"/>
      <color theme="1" tint="4.9989318521683403E-2"/>
      <name val="Arial"/>
      <family val="2"/>
    </font>
    <font>
      <b/>
      <sz val="9"/>
      <color theme="1"/>
      <name val="Calibri"/>
      <family val="2"/>
      <scheme val="minor"/>
    </font>
    <font>
      <sz val="9"/>
      <color theme="1"/>
      <name val="Calibri"/>
      <family val="2"/>
      <scheme val="minor"/>
    </font>
    <font>
      <sz val="8"/>
      <name val="Calibri"/>
      <family val="2"/>
      <scheme val="minor"/>
    </font>
    <font>
      <sz val="10"/>
      <color theme="1"/>
      <name val="Calibri"/>
      <family val="2"/>
      <scheme val="minor"/>
    </font>
    <font>
      <sz val="9"/>
      <color theme="1" tint="4.9989318521683403E-2"/>
      <name val="Arial"/>
      <family val="2"/>
    </font>
    <font>
      <b/>
      <sz val="9"/>
      <color theme="1"/>
      <name val="Arial"/>
      <family val="2"/>
    </font>
    <font>
      <b/>
      <sz val="12"/>
      <name val="Calibri"/>
      <family val="2"/>
      <scheme val="minor"/>
    </font>
    <font>
      <sz val="12"/>
      <name val="Calibri"/>
      <family val="2"/>
      <scheme val="minor"/>
    </font>
    <font>
      <sz val="12"/>
      <color theme="1"/>
      <name val="Calibri"/>
      <family val="2"/>
      <scheme val="minor"/>
    </font>
    <font>
      <b/>
      <sz val="10"/>
      <color theme="1"/>
      <name val="Calibri"/>
      <family val="2"/>
      <scheme val="minor"/>
    </font>
    <font>
      <sz val="10"/>
      <name val="Calibri"/>
      <family val="2"/>
      <scheme val="minor"/>
    </font>
    <font>
      <b/>
      <sz val="10"/>
      <color theme="1"/>
      <name val="Arial"/>
      <family val="2"/>
    </font>
  </fonts>
  <fills count="7">
    <fill>
      <patternFill patternType="none"/>
    </fill>
    <fill>
      <patternFill patternType="gray125"/>
    </fill>
    <fill>
      <patternFill patternType="solid">
        <fgColor theme="0"/>
        <bgColor indexed="64"/>
      </patternFill>
    </fill>
    <fill>
      <patternFill patternType="solid">
        <fgColor rgb="FFFFFFFF"/>
        <bgColor auto="1"/>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4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4" tint="0.39997558519241921"/>
      </left>
      <right/>
      <top style="thin">
        <color theme="4" tint="0.39997558519241921"/>
      </top>
      <bottom style="thin">
        <color theme="4" tint="0.3999755851924192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auto="1"/>
      </bottom>
      <diagonal/>
    </border>
    <border>
      <left/>
      <right style="medium">
        <color indexed="64"/>
      </right>
      <top/>
      <bottom style="thin">
        <color auto="1"/>
      </bottom>
      <diagonal/>
    </border>
    <border>
      <left/>
      <right style="medium">
        <color indexed="64"/>
      </right>
      <top style="thin">
        <color auto="1"/>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auto="1"/>
      </left>
      <right/>
      <top/>
      <bottom/>
      <diagonal/>
    </border>
    <border>
      <left style="thin">
        <color auto="1"/>
      </left>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51">
    <xf numFmtId="0" fontId="0"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5" fillId="0" borderId="0"/>
    <xf numFmtId="0" fontId="10" fillId="0" borderId="0"/>
    <xf numFmtId="0" fontId="11" fillId="0" borderId="0"/>
    <xf numFmtId="9" fontId="11" fillId="0" borderId="0" applyFont="0" applyFill="0" applyBorder="0" applyAlignment="0" applyProtection="0"/>
    <xf numFmtId="164" fontId="13" fillId="0" borderId="0" applyFont="0" applyFill="0" applyBorder="0" applyAlignment="0" applyProtection="0"/>
    <xf numFmtId="165" fontId="13" fillId="0" borderId="0" applyFont="0" applyFill="0" applyBorder="0" applyAlignment="0" applyProtection="0"/>
  </cellStyleXfs>
  <cellXfs count="476">
    <xf numFmtId="0" fontId="0" fillId="0" borderId="0" xfId="0"/>
    <xf numFmtId="0" fontId="2" fillId="0" borderId="0" xfId="0" applyFont="1"/>
    <xf numFmtId="0" fontId="1" fillId="0" borderId="0" xfId="0" applyFont="1" applyAlignment="1">
      <alignment horizontal="left" vertical="center"/>
    </xf>
    <xf numFmtId="166" fontId="0" fillId="0" borderId="0" xfId="0" applyNumberFormat="1"/>
    <xf numFmtId="0" fontId="4" fillId="0" borderId="0" xfId="0" applyFont="1" applyAlignment="1">
      <alignment horizontal="center" vertical="center" wrapText="1"/>
    </xf>
    <xf numFmtId="0" fontId="0" fillId="0" borderId="0" xfId="0" applyAlignment="1">
      <alignment horizontal="center"/>
    </xf>
    <xf numFmtId="0" fontId="12" fillId="0" borderId="0" xfId="0" applyFont="1"/>
    <xf numFmtId="0" fontId="14" fillId="0" borderId="0" xfId="0" applyFont="1"/>
    <xf numFmtId="168" fontId="0" fillId="0" borderId="0" xfId="0" applyNumberFormat="1"/>
    <xf numFmtId="0" fontId="12" fillId="0" borderId="0" xfId="0" applyFont="1" applyAlignment="1">
      <alignment vertical="center"/>
    </xf>
    <xf numFmtId="169" fontId="0" fillId="0" borderId="0" xfId="0" applyNumberFormat="1"/>
    <xf numFmtId="169" fontId="15" fillId="0" borderId="0" xfId="0" applyNumberFormat="1" applyFont="1"/>
    <xf numFmtId="167" fontId="0" fillId="0" borderId="0" xfId="0" applyNumberFormat="1"/>
    <xf numFmtId="0" fontId="0" fillId="0" borderId="0" xfId="0" applyAlignment="1">
      <alignment horizontal="center" vertical="center"/>
    </xf>
    <xf numFmtId="0" fontId="12" fillId="0" borderId="0" xfId="0" applyFont="1" applyAlignment="1">
      <alignment horizontal="center" vertical="center"/>
    </xf>
    <xf numFmtId="171" fontId="0" fillId="0" borderId="0" xfId="0" applyNumberFormat="1"/>
    <xf numFmtId="167" fontId="0" fillId="0" borderId="0" xfId="0" applyNumberFormat="1" applyAlignment="1">
      <alignment horizontal="center" vertical="center"/>
    </xf>
    <xf numFmtId="0" fontId="16" fillId="0" borderId="0" xfId="0" applyFont="1"/>
    <xf numFmtId="0" fontId="17" fillId="0" borderId="0" xfId="0" applyFont="1"/>
    <xf numFmtId="0" fontId="4" fillId="0" borderId="0" xfId="0" applyFont="1"/>
    <xf numFmtId="167" fontId="12" fillId="0" borderId="0" xfId="0" applyNumberFormat="1" applyFont="1"/>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166" fontId="1" fillId="0" borderId="2" xfId="0" applyNumberFormat="1" applyFont="1" applyBorder="1" applyAlignment="1">
      <alignment horizontal="center" vertical="center"/>
    </xf>
    <xf numFmtId="0" fontId="22" fillId="0" borderId="2" xfId="0" applyFont="1" applyBorder="1"/>
    <xf numFmtId="166" fontId="22" fillId="0" borderId="2" xfId="0" applyNumberFormat="1" applyFont="1" applyBorder="1"/>
    <xf numFmtId="0" fontId="4" fillId="0" borderId="2" xfId="0" applyFont="1" applyBorder="1"/>
    <xf numFmtId="0" fontId="3" fillId="0" borderId="2" xfId="0" applyFont="1" applyBorder="1" applyAlignment="1">
      <alignment horizontal="center" vertical="center" wrapText="1"/>
    </xf>
    <xf numFmtId="0" fontId="3" fillId="0" borderId="2" xfId="0" applyFont="1" applyBorder="1" applyAlignment="1">
      <alignment horizontal="center"/>
    </xf>
    <xf numFmtId="0" fontId="3" fillId="0" borderId="2" xfId="0" applyFont="1" applyBorder="1" applyAlignment="1">
      <alignment horizontal="center" vertical="center"/>
    </xf>
    <xf numFmtId="1" fontId="3" fillId="0" borderId="2" xfId="0" applyNumberFormat="1" applyFont="1" applyBorder="1" applyAlignment="1">
      <alignment horizontal="center" vertical="center"/>
    </xf>
    <xf numFmtId="173" fontId="3" fillId="0" borderId="2" xfId="0" applyNumberFormat="1" applyFont="1" applyBorder="1" applyAlignment="1">
      <alignment horizontal="center" vertical="center" wrapText="1"/>
    </xf>
    <xf numFmtId="169" fontId="3" fillId="0" borderId="2" xfId="0" applyNumberFormat="1" applyFont="1" applyBorder="1" applyAlignment="1">
      <alignment horizontal="center" vertical="center"/>
    </xf>
    <xf numFmtId="1" fontId="3" fillId="0" borderId="2" xfId="0" applyNumberFormat="1" applyFont="1" applyBorder="1" applyAlignment="1">
      <alignment horizontal="center" vertical="center" wrapText="1"/>
    </xf>
    <xf numFmtId="173" fontId="3" fillId="0" borderId="2" xfId="0" applyNumberFormat="1" applyFont="1" applyBorder="1" applyAlignment="1">
      <alignment horizontal="center" vertical="center"/>
    </xf>
    <xf numFmtId="174" fontId="4" fillId="0" borderId="2" xfId="0" applyNumberFormat="1" applyFont="1" applyBorder="1"/>
    <xf numFmtId="0" fontId="4" fillId="0" borderId="2" xfId="0" applyFont="1" applyBorder="1" applyAlignment="1">
      <alignment horizontal="center" vertical="center"/>
    </xf>
    <xf numFmtId="1" fontId="4" fillId="0" borderId="2" xfId="0" applyNumberFormat="1" applyFont="1" applyBorder="1" applyAlignment="1">
      <alignment horizontal="center" vertical="center"/>
    </xf>
    <xf numFmtId="168" fontId="4" fillId="0" borderId="2" xfId="0" applyNumberFormat="1" applyFont="1" applyBorder="1" applyAlignment="1">
      <alignment horizontal="center" vertical="center"/>
    </xf>
    <xf numFmtId="169" fontId="4" fillId="0" borderId="2" xfId="0" applyNumberFormat="1" applyFont="1" applyBorder="1" applyAlignment="1">
      <alignment horizontal="center" vertical="center"/>
    </xf>
    <xf numFmtId="0" fontId="3" fillId="0" borderId="2" xfId="0" applyFont="1" applyBorder="1"/>
    <xf numFmtId="0" fontId="4" fillId="0" borderId="0" xfId="0" applyFont="1" applyAlignment="1">
      <alignment horizontal="center" vertical="center"/>
    </xf>
    <xf numFmtId="1" fontId="4" fillId="0" borderId="0" xfId="0" applyNumberFormat="1" applyFont="1" applyAlignment="1">
      <alignment horizontal="center" vertical="center"/>
    </xf>
    <xf numFmtId="0" fontId="4" fillId="0" borderId="2" xfId="0" applyFont="1" applyBorder="1" applyAlignment="1">
      <alignment horizontal="center" vertical="center" wrapText="1"/>
    </xf>
    <xf numFmtId="0" fontId="3" fillId="0" borderId="0" xfId="0" applyFont="1"/>
    <xf numFmtId="0" fontId="22" fillId="0" borderId="0" xfId="0" applyFont="1" applyAlignment="1">
      <alignment horizontal="center"/>
    </xf>
    <xf numFmtId="0" fontId="1" fillId="0" borderId="0" xfId="0" applyFont="1" applyAlignment="1">
      <alignment horizontal="center"/>
    </xf>
    <xf numFmtId="166" fontId="1" fillId="0" borderId="0" xfId="0" applyNumberFormat="1" applyFont="1"/>
    <xf numFmtId="0" fontId="1" fillId="0" borderId="0" xfId="0" applyFont="1"/>
    <xf numFmtId="0" fontId="22" fillId="0" borderId="0" xfId="0" applyFont="1"/>
    <xf numFmtId="0" fontId="1" fillId="3" borderId="2" xfId="0" applyFont="1" applyFill="1" applyBorder="1" applyAlignment="1">
      <alignment horizontal="center" vertical="center"/>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17" xfId="0" applyFont="1" applyFill="1" applyBorder="1" applyAlignment="1">
      <alignment horizontal="center" vertical="center" wrapText="1"/>
    </xf>
    <xf numFmtId="169" fontId="22" fillId="3" borderId="2" xfId="0" applyNumberFormat="1" applyFont="1" applyFill="1" applyBorder="1" applyAlignment="1">
      <alignment horizontal="center" vertical="center" wrapText="1"/>
    </xf>
    <xf numFmtId="169" fontId="22" fillId="3" borderId="19" xfId="0" applyNumberFormat="1" applyFont="1" applyFill="1" applyBorder="1" applyAlignment="1">
      <alignment horizontal="center" vertical="center" wrapText="1"/>
    </xf>
    <xf numFmtId="169" fontId="1" fillId="3" borderId="22" xfId="0" applyNumberFormat="1" applyFont="1" applyFill="1" applyBorder="1" applyAlignment="1">
      <alignment horizontal="center" vertical="center" wrapText="1"/>
    </xf>
    <xf numFmtId="0" fontId="1" fillId="0" borderId="2" xfId="0" applyFont="1" applyBorder="1"/>
    <xf numFmtId="0" fontId="22" fillId="0" borderId="2" xfId="0" applyFont="1" applyBorder="1" applyAlignment="1">
      <alignment horizontal="center" vertical="center"/>
    </xf>
    <xf numFmtId="0" fontId="22" fillId="0" borderId="0" xfId="0" applyFont="1" applyAlignment="1">
      <alignment horizontal="center" vertical="center"/>
    </xf>
    <xf numFmtId="0" fontId="22" fillId="0" borderId="2" xfId="0" applyFont="1" applyBorder="1" applyAlignment="1">
      <alignment vertical="center" wrapText="1"/>
    </xf>
    <xf numFmtId="0" fontId="22" fillId="0" borderId="2" xfId="0" applyFont="1" applyBorder="1" applyAlignment="1">
      <alignment horizontal="center" vertical="center" wrapText="1"/>
    </xf>
    <xf numFmtId="0" fontId="22" fillId="0" borderId="2" xfId="0" applyFont="1" applyBorder="1" applyAlignment="1">
      <alignment horizontal="left" vertical="center" wrapText="1"/>
    </xf>
    <xf numFmtId="0" fontId="22" fillId="0" borderId="8" xfId="0" applyFont="1" applyBorder="1" applyAlignment="1">
      <alignment horizontal="left" vertical="center" wrapText="1"/>
    </xf>
    <xf numFmtId="0" fontId="22" fillId="0" borderId="8" xfId="0" applyFont="1" applyBorder="1" applyAlignment="1">
      <alignment horizontal="center" vertical="center" wrapText="1"/>
    </xf>
    <xf numFmtId="0" fontId="22" fillId="0" borderId="8" xfId="0" applyFont="1" applyBorder="1" applyAlignment="1">
      <alignment horizontal="center" vertical="center"/>
    </xf>
    <xf numFmtId="169" fontId="22" fillId="0" borderId="2" xfId="0" applyNumberFormat="1" applyFont="1" applyBorder="1" applyAlignment="1">
      <alignment horizontal="center" vertical="center"/>
    </xf>
    <xf numFmtId="0" fontId="1" fillId="0" borderId="0" xfId="0" applyFont="1" applyAlignment="1">
      <alignment horizontal="center" vertical="center"/>
    </xf>
    <xf numFmtId="1" fontId="22" fillId="0" borderId="2" xfId="0" applyNumberFormat="1" applyFont="1" applyBorder="1" applyAlignment="1">
      <alignment horizontal="center" vertical="center"/>
    </xf>
    <xf numFmtId="0" fontId="12" fillId="0" borderId="0" xfId="0" applyFont="1" applyAlignment="1">
      <alignment horizontal="center"/>
    </xf>
    <xf numFmtId="167" fontId="22" fillId="0" borderId="0" xfId="0" applyNumberFormat="1" applyFont="1" applyAlignment="1">
      <alignment horizontal="center" vertical="center"/>
    </xf>
    <xf numFmtId="170" fontId="21" fillId="0" borderId="7" xfId="0" applyNumberFormat="1" applyFont="1" applyBorder="1" applyAlignment="1">
      <alignment horizontal="center" vertical="center"/>
    </xf>
    <xf numFmtId="170" fontId="21" fillId="0" borderId="10" xfId="0" applyNumberFormat="1" applyFont="1" applyBorder="1" applyAlignment="1">
      <alignment horizontal="center" vertical="center"/>
    </xf>
    <xf numFmtId="170" fontId="21" fillId="0" borderId="10" xfId="0" applyNumberFormat="1" applyFont="1" applyBorder="1" applyAlignment="1">
      <alignment horizontal="center" vertical="center" wrapText="1"/>
    </xf>
    <xf numFmtId="167" fontId="21" fillId="0" borderId="10" xfId="0" applyNumberFormat="1" applyFont="1" applyBorder="1" applyAlignment="1">
      <alignment horizontal="center" vertical="center" wrapText="1"/>
    </xf>
    <xf numFmtId="1" fontId="22" fillId="0" borderId="5" xfId="0" applyNumberFormat="1" applyFont="1" applyBorder="1" applyAlignment="1">
      <alignment horizontal="center" vertical="center"/>
    </xf>
    <xf numFmtId="176" fontId="22" fillId="0" borderId="2" xfId="0" applyNumberFormat="1" applyFont="1" applyBorder="1"/>
    <xf numFmtId="167" fontId="22" fillId="0" borderId="2" xfId="0" applyNumberFormat="1" applyFont="1" applyBorder="1"/>
    <xf numFmtId="1" fontId="1" fillId="0" borderId="13" xfId="0" applyNumberFormat="1" applyFont="1" applyBorder="1" applyAlignment="1">
      <alignment horizontal="center" vertical="center"/>
    </xf>
    <xf numFmtId="170" fontId="1" fillId="0" borderId="8" xfId="0" applyNumberFormat="1" applyFont="1" applyBorder="1" applyAlignment="1">
      <alignment horizontal="left"/>
    </xf>
    <xf numFmtId="171" fontId="1" fillId="0" borderId="2" xfId="0" applyNumberFormat="1" applyFont="1" applyBorder="1"/>
    <xf numFmtId="167" fontId="1" fillId="0" borderId="8" xfId="0" applyNumberFormat="1" applyFont="1" applyBorder="1"/>
    <xf numFmtId="166" fontId="1" fillId="0" borderId="2" xfId="0" applyNumberFormat="1" applyFont="1" applyBorder="1"/>
    <xf numFmtId="165" fontId="1" fillId="0" borderId="2" xfId="50" applyFont="1" applyFill="1" applyBorder="1" applyAlignment="1">
      <alignment horizontal="right" vertical="center"/>
    </xf>
    <xf numFmtId="165" fontId="1" fillId="0" borderId="0" xfId="50" applyFont="1" applyFill="1" applyBorder="1" applyAlignment="1">
      <alignment horizontal="right" vertical="center"/>
    </xf>
    <xf numFmtId="167" fontId="1" fillId="0" borderId="0" xfId="50" applyNumberFormat="1" applyFont="1" applyFill="1" applyBorder="1" applyAlignment="1">
      <alignment horizontal="right" vertical="center"/>
    </xf>
    <xf numFmtId="171" fontId="1" fillId="0" borderId="2" xfId="0" applyNumberFormat="1" applyFont="1" applyBorder="1" applyAlignment="1">
      <alignment horizontal="right" vertical="center"/>
    </xf>
    <xf numFmtId="171" fontId="1" fillId="0" borderId="0" xfId="0" applyNumberFormat="1" applyFont="1" applyAlignment="1">
      <alignment horizontal="right" vertical="center"/>
    </xf>
    <xf numFmtId="167" fontId="1" fillId="0" borderId="0" xfId="0" applyNumberFormat="1" applyFont="1" applyAlignment="1">
      <alignment horizontal="right" vertical="center"/>
    </xf>
    <xf numFmtId="0" fontId="22" fillId="0" borderId="0" xfId="0" applyFont="1" applyAlignment="1">
      <alignment horizontal="center" vertical="center" wrapText="1"/>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22" fillId="3" borderId="18" xfId="0" applyFont="1" applyFill="1" applyBorder="1" applyAlignment="1">
      <alignment horizontal="center" vertical="center"/>
    </xf>
    <xf numFmtId="0" fontId="22" fillId="3" borderId="19"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2" xfId="0" applyFont="1" applyFill="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5" fillId="0" borderId="10" xfId="0" applyFont="1" applyBorder="1" applyAlignment="1">
      <alignment horizontal="center" vertical="center" wrapText="1"/>
    </xf>
    <xf numFmtId="0" fontId="26" fillId="0" borderId="7" xfId="0" applyFont="1" applyBorder="1"/>
    <xf numFmtId="0" fontId="26" fillId="0" borderId="7" xfId="0" applyFont="1" applyBorder="1" applyAlignment="1">
      <alignment horizontal="center" vertical="center"/>
    </xf>
    <xf numFmtId="0" fontId="26" fillId="0" borderId="2" xfId="0" applyFont="1" applyBorder="1" applyAlignment="1">
      <alignment horizontal="center" vertical="center"/>
    </xf>
    <xf numFmtId="0" fontId="22" fillId="0" borderId="5" xfId="0" applyFont="1" applyBorder="1"/>
    <xf numFmtId="166" fontId="22" fillId="0" borderId="2" xfId="0" applyNumberFormat="1" applyFont="1" applyBorder="1" applyAlignment="1">
      <alignment horizontal="center" vertical="center"/>
    </xf>
    <xf numFmtId="166" fontId="26" fillId="0" borderId="7" xfId="0" applyNumberFormat="1" applyFont="1" applyBorder="1" applyAlignment="1">
      <alignment horizontal="center" vertical="center"/>
    </xf>
    <xf numFmtId="168" fontId="22" fillId="0" borderId="0" xfId="0" applyNumberFormat="1" applyFont="1"/>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23" fillId="0" borderId="0" xfId="0" applyFont="1"/>
    <xf numFmtId="167" fontId="21" fillId="0" borderId="2" xfId="0" applyNumberFormat="1" applyFont="1" applyBorder="1" applyAlignment="1">
      <alignment horizontal="center" vertical="center" wrapText="1"/>
    </xf>
    <xf numFmtId="0" fontId="1" fillId="3" borderId="2" xfId="0" applyFont="1" applyFill="1" applyBorder="1"/>
    <xf numFmtId="171" fontId="22" fillId="0" borderId="2" xfId="0" applyNumberFormat="1" applyFont="1" applyBorder="1" applyAlignment="1">
      <alignment vertical="center"/>
    </xf>
    <xf numFmtId="172" fontId="22" fillId="0" borderId="2" xfId="0" applyNumberFormat="1" applyFont="1" applyBorder="1"/>
    <xf numFmtId="172" fontId="1" fillId="0" borderId="2" xfId="0" applyNumberFormat="1" applyFont="1" applyBorder="1"/>
    <xf numFmtId="166" fontId="22" fillId="0" borderId="0" xfId="0" applyNumberFormat="1" applyFont="1"/>
    <xf numFmtId="170" fontId="22" fillId="0" borderId="19" xfId="49" applyNumberFormat="1" applyFont="1" applyFill="1" applyBorder="1" applyAlignment="1">
      <alignment vertical="center"/>
    </xf>
    <xf numFmtId="170" fontId="1" fillId="0" borderId="19" xfId="0" applyNumberFormat="1" applyFont="1" applyBorder="1"/>
    <xf numFmtId="170" fontId="1" fillId="0" borderId="22" xfId="0" applyNumberFormat="1" applyFont="1" applyBorder="1"/>
    <xf numFmtId="0" fontId="12" fillId="0" borderId="2" xfId="0" applyFont="1" applyBorder="1"/>
    <xf numFmtId="167" fontId="12" fillId="0" borderId="0" xfId="0" applyNumberFormat="1" applyFont="1" applyAlignment="1">
      <alignment horizontal="center" vertical="center"/>
    </xf>
    <xf numFmtId="171" fontId="4" fillId="0" borderId="2" xfId="0" applyNumberFormat="1" applyFont="1" applyBorder="1" applyAlignment="1">
      <alignment horizontal="center" vertical="center"/>
    </xf>
    <xf numFmtId="171" fontId="4" fillId="0" borderId="0" xfId="0" applyNumberFormat="1" applyFont="1" applyAlignment="1">
      <alignment horizontal="center" vertical="center"/>
    </xf>
    <xf numFmtId="171" fontId="3" fillId="0" borderId="2" xfId="0" applyNumberFormat="1" applyFont="1" applyBorder="1" applyAlignment="1">
      <alignment horizontal="center" vertical="center"/>
    </xf>
    <xf numFmtId="0" fontId="3" fillId="0" borderId="0" xfId="0" applyFont="1" applyAlignment="1">
      <alignment horizontal="center" vertical="center"/>
    </xf>
    <xf numFmtId="171" fontId="3" fillId="0" borderId="0" xfId="0" applyNumberFormat="1" applyFont="1" applyAlignment="1">
      <alignment horizontal="center" vertical="center"/>
    </xf>
    <xf numFmtId="171" fontId="0" fillId="0" borderId="0" xfId="0" applyNumberFormat="1" applyAlignment="1">
      <alignment horizontal="center" vertical="center"/>
    </xf>
    <xf numFmtId="171" fontId="12" fillId="0" borderId="0" xfId="0" applyNumberFormat="1" applyFont="1" applyAlignment="1">
      <alignment horizontal="center" vertical="center"/>
    </xf>
    <xf numFmtId="171" fontId="1" fillId="0" borderId="2" xfId="0" applyNumberFormat="1" applyFont="1" applyBorder="1" applyAlignment="1">
      <alignment horizontal="center" vertical="center"/>
    </xf>
    <xf numFmtId="0" fontId="27" fillId="0" borderId="0" xfId="0" applyFont="1"/>
    <xf numFmtId="0" fontId="12" fillId="0" borderId="2" xfId="0" applyFont="1" applyBorder="1" applyAlignment="1">
      <alignment horizontal="center" vertical="center"/>
    </xf>
    <xf numFmtId="1" fontId="0" fillId="0" borderId="2" xfId="0" applyNumberFormat="1" applyBorder="1" applyAlignment="1">
      <alignment horizontal="center" vertical="center"/>
    </xf>
    <xf numFmtId="0" fontId="28" fillId="0" borderId="0" xfId="0" applyFont="1"/>
    <xf numFmtId="0" fontId="28" fillId="0" borderId="0" xfId="0" applyFont="1" applyAlignment="1">
      <alignment horizontal="center" vertical="center"/>
    </xf>
    <xf numFmtId="173" fontId="27" fillId="0" borderId="2" xfId="0" applyNumberFormat="1" applyFont="1" applyBorder="1" applyAlignment="1">
      <alignment horizontal="center" vertical="center"/>
    </xf>
    <xf numFmtId="167" fontId="28" fillId="0" borderId="0" xfId="0" applyNumberFormat="1" applyFont="1"/>
    <xf numFmtId="167" fontId="28" fillId="0" borderId="0" xfId="0" applyNumberFormat="1" applyFont="1" applyAlignment="1">
      <alignment horizontal="center" vertical="center"/>
    </xf>
    <xf numFmtId="0" fontId="28" fillId="0" borderId="0" xfId="0" applyFont="1" applyAlignment="1">
      <alignment horizontal="center" vertical="center" wrapText="1"/>
    </xf>
    <xf numFmtId="0" fontId="4" fillId="0" borderId="0" xfId="0" applyFont="1" applyAlignment="1">
      <alignment horizontal="left"/>
    </xf>
    <xf numFmtId="1" fontId="4" fillId="0" borderId="0" xfId="0" applyNumberFormat="1" applyFont="1" applyAlignment="1">
      <alignment horizontal="left"/>
    </xf>
    <xf numFmtId="0" fontId="4" fillId="0" borderId="27" xfId="0" applyFont="1" applyBorder="1" applyAlignment="1">
      <alignment horizontal="left"/>
    </xf>
    <xf numFmtId="177" fontId="22" fillId="0" borderId="2" xfId="0" applyNumberFormat="1" applyFont="1" applyBorder="1" applyAlignment="1">
      <alignment horizontal="center" vertical="center"/>
    </xf>
    <xf numFmtId="0" fontId="3" fillId="0" borderId="2" xfId="0" applyFont="1" applyBorder="1" applyAlignment="1">
      <alignment horizontal="left"/>
    </xf>
    <xf numFmtId="0" fontId="27" fillId="0" borderId="2" xfId="0" applyFont="1" applyBorder="1" applyAlignment="1">
      <alignment horizontal="left" vertical="center"/>
    </xf>
    <xf numFmtId="166" fontId="15" fillId="0" borderId="0" xfId="0" applyNumberFormat="1" applyFont="1"/>
    <xf numFmtId="2" fontId="0" fillId="0" borderId="0" xfId="0" applyNumberFormat="1"/>
    <xf numFmtId="0" fontId="0" fillId="0" borderId="18" xfId="0" applyBorder="1" applyAlignment="1">
      <alignment wrapText="1"/>
    </xf>
    <xf numFmtId="0" fontId="0" fillId="0" borderId="18" xfId="0" applyBorder="1" applyAlignment="1">
      <alignment vertical="center" wrapText="1"/>
    </xf>
    <xf numFmtId="0" fontId="0" fillId="0" borderId="18" xfId="0" applyBorder="1"/>
    <xf numFmtId="169" fontId="22" fillId="0" borderId="2" xfId="49" applyNumberFormat="1" applyFont="1" applyFill="1" applyBorder="1" applyAlignment="1">
      <alignment horizontal="center" vertical="center"/>
    </xf>
    <xf numFmtId="169" fontId="22" fillId="0" borderId="8" xfId="49" applyNumberFormat="1" applyFont="1" applyFill="1" applyBorder="1" applyAlignment="1">
      <alignment horizontal="center" vertical="center"/>
    </xf>
    <xf numFmtId="169" fontId="1" fillId="0" borderId="2" xfId="0" applyNumberFormat="1" applyFont="1" applyBorder="1" applyAlignment="1">
      <alignment horizontal="center"/>
    </xf>
    <xf numFmtId="169" fontId="1" fillId="0" borderId="2" xfId="0" applyNumberFormat="1" applyFont="1" applyBorder="1" applyAlignment="1">
      <alignment horizontal="center" vertical="center"/>
    </xf>
    <xf numFmtId="169" fontId="26" fillId="0" borderId="7" xfId="0" applyNumberFormat="1" applyFont="1" applyBorder="1" applyAlignment="1">
      <alignment horizontal="center" vertical="center"/>
    </xf>
    <xf numFmtId="169" fontId="22" fillId="0" borderId="19" xfId="0" applyNumberFormat="1" applyFont="1" applyBorder="1" applyAlignment="1">
      <alignment horizontal="center" vertical="center"/>
    </xf>
    <xf numFmtId="169" fontId="4" fillId="0" borderId="0" xfId="0" applyNumberFormat="1" applyFont="1" applyAlignment="1">
      <alignment horizontal="left"/>
    </xf>
    <xf numFmtId="0" fontId="12" fillId="0" borderId="2" xfId="0" applyFont="1" applyBorder="1" applyAlignment="1">
      <alignment horizontal="center" vertical="center" wrapText="1"/>
    </xf>
    <xf numFmtId="0" fontId="31" fillId="0" borderId="3" xfId="0" applyFont="1" applyBorder="1" applyAlignment="1">
      <alignment horizontal="center" vertical="center"/>
    </xf>
    <xf numFmtId="0" fontId="32" fillId="0" borderId="13" xfId="0" applyFont="1" applyBorder="1"/>
    <xf numFmtId="0" fontId="32" fillId="0" borderId="8" xfId="0" applyFont="1" applyBorder="1" applyAlignment="1">
      <alignment horizontal="center" vertical="center"/>
    </xf>
    <xf numFmtId="0" fontId="2" fillId="5" borderId="0" xfId="0" applyFont="1" applyFill="1"/>
    <xf numFmtId="0" fontId="33" fillId="2" borderId="0" xfId="0" applyFont="1" applyFill="1" applyAlignment="1">
      <alignment horizontal="left" vertical="center" wrapText="1"/>
    </xf>
    <xf numFmtId="0" fontId="33" fillId="2" borderId="0" xfId="0" applyFont="1" applyFill="1" applyAlignment="1">
      <alignment horizontal="center" vertical="center" wrapText="1"/>
    </xf>
    <xf numFmtId="0" fontId="34" fillId="2" borderId="0" xfId="0" applyFont="1" applyFill="1" applyAlignment="1">
      <alignment horizontal="left" vertical="center" wrapText="1"/>
    </xf>
    <xf numFmtId="0" fontId="34" fillId="2" borderId="0" xfId="0" applyFont="1" applyFill="1"/>
    <xf numFmtId="0" fontId="35" fillId="2" borderId="2" xfId="0" applyFont="1" applyFill="1" applyBorder="1"/>
    <xf numFmtId="0" fontId="33" fillId="2" borderId="0" xfId="0" applyFont="1" applyFill="1" applyAlignment="1">
      <alignment horizontal="left" vertical="center"/>
    </xf>
    <xf numFmtId="0" fontId="33" fillId="2" borderId="2" xfId="0" applyFont="1" applyFill="1" applyBorder="1" applyAlignment="1">
      <alignment vertical="center" wrapText="1"/>
    </xf>
    <xf numFmtId="0" fontId="33" fillId="2" borderId="0" xfId="0" applyFont="1" applyFill="1" applyAlignment="1">
      <alignment vertical="center" wrapText="1"/>
    </xf>
    <xf numFmtId="0" fontId="14" fillId="2" borderId="11" xfId="0" applyFont="1" applyFill="1" applyBorder="1" applyAlignment="1">
      <alignment horizontal="center" wrapText="1"/>
    </xf>
    <xf numFmtId="0" fontId="33" fillId="2" borderId="2" xfId="0" applyFont="1" applyFill="1" applyBorder="1" applyAlignment="1" applyProtection="1">
      <alignment horizontal="center" vertical="center" wrapText="1"/>
      <protection locked="0"/>
    </xf>
    <xf numFmtId="0" fontId="14" fillId="2" borderId="2" xfId="0" applyFont="1" applyFill="1" applyBorder="1" applyAlignment="1" applyProtection="1">
      <alignment horizontal="center" vertical="center"/>
      <protection locked="0"/>
    </xf>
    <xf numFmtId="0" fontId="35" fillId="2" borderId="0" xfId="0" applyFont="1" applyFill="1"/>
    <xf numFmtId="0" fontId="36" fillId="0" borderId="2" xfId="0" applyFont="1" applyBorder="1" applyAlignment="1">
      <alignment horizontal="center" vertical="center" wrapText="1"/>
    </xf>
    <xf numFmtId="0" fontId="36" fillId="0" borderId="2" xfId="0" applyFont="1" applyBorder="1" applyAlignment="1">
      <alignment horizontal="center" vertical="center"/>
    </xf>
    <xf numFmtId="166" fontId="36" fillId="0" borderId="2" xfId="0" applyNumberFormat="1" applyFont="1" applyBorder="1" applyAlignment="1">
      <alignment horizontal="center" vertical="center"/>
    </xf>
    <xf numFmtId="0" fontId="30" fillId="0" borderId="0" xfId="0" applyFont="1"/>
    <xf numFmtId="166" fontId="30" fillId="0" borderId="0" xfId="0" applyNumberFormat="1" applyFont="1"/>
    <xf numFmtId="0" fontId="1" fillId="0" borderId="6" xfId="0" applyFont="1" applyBorder="1"/>
    <xf numFmtId="168" fontId="1" fillId="0" borderId="0" xfId="0" applyNumberFormat="1" applyFont="1" applyAlignment="1">
      <alignment horizontal="center" vertical="center"/>
    </xf>
    <xf numFmtId="175" fontId="1" fillId="0" borderId="2" xfId="0" applyNumberFormat="1" applyFont="1" applyBorder="1" applyAlignment="1">
      <alignment horizontal="center" vertical="center"/>
    </xf>
    <xf numFmtId="166" fontId="1" fillId="0" borderId="5" xfId="0" applyNumberFormat="1" applyFont="1" applyBorder="1" applyAlignment="1">
      <alignment horizontal="center" vertical="center"/>
    </xf>
    <xf numFmtId="2" fontId="3" fillId="0" borderId="2" xfId="0" applyNumberFormat="1" applyFont="1" applyBorder="1" applyAlignment="1">
      <alignment horizontal="center" vertical="center"/>
    </xf>
    <xf numFmtId="2" fontId="4" fillId="0" borderId="2" xfId="0" applyNumberFormat="1" applyFont="1" applyBorder="1" applyAlignment="1">
      <alignment horizontal="center" vertical="center"/>
    </xf>
    <xf numFmtId="2" fontId="4" fillId="0" borderId="0" xfId="0" applyNumberFormat="1" applyFont="1" applyAlignment="1">
      <alignment horizontal="center" vertical="center"/>
    </xf>
    <xf numFmtId="1" fontId="22" fillId="0" borderId="2" xfId="49" applyNumberFormat="1" applyFont="1" applyFill="1" applyBorder="1" applyAlignment="1">
      <alignment horizontal="center" vertical="center"/>
    </xf>
    <xf numFmtId="2" fontId="22" fillId="0" borderId="2" xfId="49" applyNumberFormat="1" applyFont="1" applyFill="1" applyBorder="1" applyAlignment="1">
      <alignment horizontal="center" vertical="center"/>
    </xf>
    <xf numFmtId="1" fontId="22" fillId="0" borderId="8" xfId="49" applyNumberFormat="1" applyFont="1" applyFill="1" applyBorder="1" applyAlignment="1">
      <alignment horizontal="center" vertical="center"/>
    </xf>
    <xf numFmtId="0" fontId="31" fillId="0" borderId="2" xfId="0" applyFont="1" applyBorder="1" applyAlignment="1">
      <alignment horizontal="center" vertical="center"/>
    </xf>
    <xf numFmtId="0" fontId="14" fillId="2" borderId="8" xfId="0" applyFont="1" applyFill="1" applyBorder="1" applyAlignment="1" applyProtection="1">
      <alignment vertical="center" wrapText="1"/>
      <protection locked="0"/>
    </xf>
    <xf numFmtId="0" fontId="22" fillId="0" borderId="2" xfId="0" applyFont="1" applyBorder="1" applyAlignment="1">
      <alignment horizontal="left"/>
    </xf>
    <xf numFmtId="0" fontId="2" fillId="0" borderId="0" xfId="0" applyFont="1" applyAlignment="1">
      <alignment horizontal="center" vertical="center"/>
    </xf>
    <xf numFmtId="0" fontId="2" fillId="2" borderId="0" xfId="0" applyFont="1" applyFill="1"/>
    <xf numFmtId="166" fontId="22" fillId="0" borderId="2" xfId="0" applyNumberFormat="1" applyFont="1" applyBorder="1" applyAlignment="1">
      <alignment horizontal="right"/>
    </xf>
    <xf numFmtId="0" fontId="1" fillId="0" borderId="5" xfId="0" applyFont="1" applyBorder="1" applyAlignment="1">
      <alignment horizontal="left"/>
    </xf>
    <xf numFmtId="0" fontId="3" fillId="0" borderId="5" xfId="0" applyFont="1" applyBorder="1" applyAlignment="1">
      <alignment horizontal="left"/>
    </xf>
    <xf numFmtId="0" fontId="14" fillId="2" borderId="8" xfId="0" applyFont="1" applyFill="1" applyBorder="1" applyAlignment="1">
      <alignment horizontal="center" vertical="center" wrapText="1"/>
    </xf>
    <xf numFmtId="0" fontId="14" fillId="2" borderId="8" xfId="0" applyFont="1" applyFill="1" applyBorder="1" applyAlignment="1" applyProtection="1">
      <alignment horizontal="center" vertical="center" wrapText="1"/>
      <protection locked="0"/>
    </xf>
    <xf numFmtId="0" fontId="14" fillId="2" borderId="9" xfId="0" applyFont="1" applyFill="1" applyBorder="1" applyAlignment="1" applyProtection="1">
      <alignment horizontal="center" vertical="center" wrapText="1"/>
      <protection locked="0"/>
    </xf>
    <xf numFmtId="0" fontId="14" fillId="2" borderId="5"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2" xfId="0" applyFont="1" applyFill="1" applyBorder="1" applyAlignment="1" applyProtection="1">
      <alignment horizontal="center" vertical="center" wrapText="1"/>
      <protection locked="0"/>
    </xf>
    <xf numFmtId="0" fontId="14" fillId="2" borderId="2" xfId="0" applyFont="1" applyFill="1" applyBorder="1" applyAlignment="1">
      <alignment vertical="center"/>
    </xf>
    <xf numFmtId="0" fontId="33" fillId="2" borderId="2" xfId="0" applyFont="1" applyFill="1" applyBorder="1" applyAlignment="1">
      <alignment horizontal="left" vertical="center" wrapText="1"/>
    </xf>
    <xf numFmtId="0" fontId="14" fillId="0" borderId="2" xfId="0" applyFont="1" applyBorder="1" applyAlignment="1" applyProtection="1">
      <alignment horizontal="center" vertical="center" wrapText="1"/>
      <protection locked="0"/>
    </xf>
    <xf numFmtId="0" fontId="14" fillId="2" borderId="2" xfId="0" applyFont="1" applyFill="1" applyBorder="1" applyAlignment="1">
      <alignment vertical="center" wrapText="1"/>
    </xf>
    <xf numFmtId="0" fontId="14" fillId="2" borderId="9" xfId="0" applyFont="1" applyFill="1" applyBorder="1" applyAlignment="1">
      <alignment vertical="center" wrapText="1"/>
    </xf>
    <xf numFmtId="0" fontId="14" fillId="2" borderId="0" xfId="0" applyFont="1" applyFill="1" applyAlignment="1">
      <alignment horizontal="center"/>
    </xf>
    <xf numFmtId="0" fontId="36" fillId="0" borderId="0" xfId="0" applyFont="1"/>
    <xf numFmtId="0" fontId="33" fillId="2" borderId="39" xfId="0" applyFont="1" applyFill="1" applyBorder="1" applyAlignment="1">
      <alignment vertical="center" wrapText="1"/>
    </xf>
    <xf numFmtId="0" fontId="14" fillId="2" borderId="0" xfId="0" applyFont="1" applyFill="1" applyAlignment="1">
      <alignment horizontal="center" vertical="center" wrapText="1"/>
    </xf>
    <xf numFmtId="169" fontId="14" fillId="2" borderId="2" xfId="0" applyNumberFormat="1" applyFont="1" applyFill="1" applyBorder="1" applyAlignment="1">
      <alignment horizontal="center" vertical="center"/>
    </xf>
    <xf numFmtId="169" fontId="35" fillId="2" borderId="2" xfId="0" applyNumberFormat="1" applyFont="1" applyFill="1" applyBorder="1" applyAlignment="1" applyProtection="1">
      <alignment horizontal="center" vertical="center" wrapText="1"/>
      <protection locked="0"/>
    </xf>
    <xf numFmtId="169" fontId="35" fillId="2" borderId="2" xfId="0" applyNumberFormat="1" applyFont="1" applyFill="1" applyBorder="1" applyAlignment="1" applyProtection="1">
      <alignment horizontal="center" vertical="center"/>
      <protection locked="0"/>
    </xf>
    <xf numFmtId="169" fontId="14" fillId="0" borderId="2" xfId="0" applyNumberFormat="1" applyFont="1" applyBorder="1" applyAlignment="1">
      <alignment horizontal="center" vertical="center"/>
    </xf>
    <xf numFmtId="0" fontId="14" fillId="2" borderId="9" xfId="0" applyFont="1" applyFill="1" applyBorder="1" applyAlignment="1">
      <alignment horizontal="center" vertical="center" wrapText="1"/>
    </xf>
    <xf numFmtId="0" fontId="0" fillId="2" borderId="0" xfId="0" applyFill="1"/>
    <xf numFmtId="0" fontId="14" fillId="2" borderId="2" xfId="0" applyFont="1" applyFill="1" applyBorder="1" applyAlignment="1">
      <alignment horizontal="left" vertical="center" wrapText="1"/>
    </xf>
    <xf numFmtId="169" fontId="14" fillId="2" borderId="2" xfId="0" applyNumberFormat="1" applyFont="1" applyFill="1" applyBorder="1" applyAlignment="1">
      <alignment horizontal="center"/>
    </xf>
    <xf numFmtId="169" fontId="35" fillId="2" borderId="2" xfId="0" applyNumberFormat="1" applyFont="1" applyFill="1" applyBorder="1" applyAlignment="1">
      <alignment horizontal="center" vertical="center" wrapText="1"/>
    </xf>
    <xf numFmtId="0" fontId="14" fillId="2" borderId="41" xfId="0" applyFont="1" applyFill="1" applyBorder="1" applyAlignment="1">
      <alignment horizontal="center" vertical="center" wrapText="1"/>
    </xf>
    <xf numFmtId="0" fontId="2" fillId="0" borderId="0" xfId="0" applyFont="1" applyAlignment="1">
      <alignment vertical="center"/>
    </xf>
    <xf numFmtId="0" fontId="0" fillId="0" borderId="5" xfId="0" applyBorder="1"/>
    <xf numFmtId="0" fontId="0" fillId="0" borderId="2" xfId="0" applyBorder="1" applyAlignment="1">
      <alignment horizontal="center" vertical="center"/>
    </xf>
    <xf numFmtId="2" fontId="26" fillId="0" borderId="7" xfId="0" applyNumberFormat="1" applyFont="1" applyBorder="1" applyAlignment="1">
      <alignment horizontal="center" vertical="center"/>
    </xf>
    <xf numFmtId="0" fontId="1" fillId="0" borderId="2" xfId="0" applyFont="1" applyBorder="1" applyAlignment="1">
      <alignment horizontal="left"/>
    </xf>
    <xf numFmtId="0" fontId="22" fillId="0" borderId="18" xfId="0" applyFont="1" applyBorder="1" applyAlignment="1">
      <alignment horizontal="left" vertical="center"/>
    </xf>
    <xf numFmtId="0" fontId="1" fillId="0" borderId="18" xfId="0" applyFont="1" applyBorder="1" applyAlignment="1">
      <alignment vertical="center"/>
    </xf>
    <xf numFmtId="0" fontId="22" fillId="0" borderId="18" xfId="0" applyFont="1" applyBorder="1" applyAlignment="1">
      <alignment vertical="center"/>
    </xf>
    <xf numFmtId="0" fontId="1" fillId="0" borderId="20" xfId="0" applyFont="1" applyBorder="1" applyAlignment="1">
      <alignment vertical="center"/>
    </xf>
    <xf numFmtId="0" fontId="22" fillId="0" borderId="4" xfId="0" applyFont="1" applyBorder="1"/>
    <xf numFmtId="0" fontId="3" fillId="0" borderId="3" xfId="0" applyFont="1" applyBorder="1" applyAlignment="1">
      <alignment horizontal="center" wrapText="1"/>
    </xf>
    <xf numFmtId="169" fontId="4" fillId="0" borderId="3" xfId="0" applyNumberFormat="1" applyFont="1" applyBorder="1" applyAlignment="1">
      <alignment horizontal="center" vertical="center"/>
    </xf>
    <xf numFmtId="0" fontId="1" fillId="0" borderId="0" xfId="0" applyFont="1" applyAlignment="1">
      <alignment vertical="center"/>
    </xf>
    <xf numFmtId="170" fontId="1" fillId="0" borderId="0" xfId="0" applyNumberFormat="1" applyFont="1"/>
    <xf numFmtId="0" fontId="22" fillId="0" borderId="18" xfId="0" applyFont="1" applyBorder="1"/>
    <xf numFmtId="169" fontId="1" fillId="0" borderId="19" xfId="0" applyNumberFormat="1" applyFont="1" applyBorder="1" applyAlignment="1">
      <alignment horizontal="center" vertical="center"/>
    </xf>
    <xf numFmtId="0" fontId="1" fillId="0" borderId="18" xfId="0" applyFont="1" applyBorder="1" applyAlignment="1">
      <alignment horizontal="left"/>
    </xf>
    <xf numFmtId="169" fontId="38" fillId="0" borderId="22" xfId="0" applyNumberFormat="1" applyFont="1" applyBorder="1" applyAlignment="1">
      <alignment horizontal="center" vertical="center"/>
    </xf>
    <xf numFmtId="0" fontId="22" fillId="0" borderId="44" xfId="0" applyFont="1" applyBorder="1" applyAlignment="1">
      <alignment horizontal="center" vertical="center"/>
    </xf>
    <xf numFmtId="0" fontId="22" fillId="0" borderId="45" xfId="0" applyFont="1" applyBorder="1" applyAlignment="1">
      <alignment horizontal="center" vertical="center"/>
    </xf>
    <xf numFmtId="165" fontId="0" fillId="0" borderId="0" xfId="0" applyNumberFormat="1"/>
    <xf numFmtId="0" fontId="30" fillId="0" borderId="2" xfId="0" applyFont="1" applyBorder="1"/>
    <xf numFmtId="171" fontId="30" fillId="0" borderId="2" xfId="0" applyNumberFormat="1" applyFont="1" applyBorder="1"/>
    <xf numFmtId="167" fontId="30" fillId="0" borderId="2" xfId="0" applyNumberFormat="1" applyFont="1" applyBorder="1"/>
    <xf numFmtId="166" fontId="30" fillId="0" borderId="2" xfId="0" applyNumberFormat="1" applyFont="1" applyBorder="1"/>
    <xf numFmtId="167" fontId="30" fillId="0" borderId="2" xfId="0" applyNumberFormat="1" applyFont="1" applyBorder="1" applyAlignment="1">
      <alignment horizontal="right" vertical="center"/>
    </xf>
    <xf numFmtId="0" fontId="37" fillId="0" borderId="2" xfId="0" applyFont="1" applyBorder="1" applyAlignment="1">
      <alignment horizontal="left"/>
    </xf>
    <xf numFmtId="0" fontId="37" fillId="0" borderId="2" xfId="0" applyFont="1" applyBorder="1" applyAlignment="1" applyProtection="1">
      <alignment horizontal="left" vertical="center" wrapText="1"/>
      <protection locked="0"/>
    </xf>
    <xf numFmtId="0" fontId="14" fillId="0" borderId="8" xfId="0" applyFont="1" applyBorder="1" applyAlignment="1" applyProtection="1">
      <alignment horizontal="center" vertical="center" wrapText="1"/>
      <protection locked="0"/>
    </xf>
    <xf numFmtId="166" fontId="1" fillId="6" borderId="2" xfId="0" applyNumberFormat="1" applyFont="1" applyFill="1" applyBorder="1"/>
    <xf numFmtId="2" fontId="14" fillId="0" borderId="2" xfId="0" applyNumberFormat="1" applyFont="1" applyBorder="1" applyAlignment="1">
      <alignment horizontal="center"/>
    </xf>
    <xf numFmtId="178" fontId="22" fillId="0" borderId="2" xfId="49" applyNumberFormat="1" applyFont="1" applyFill="1" applyBorder="1" applyAlignment="1">
      <alignment horizontal="center" vertical="center"/>
    </xf>
    <xf numFmtId="178" fontId="22" fillId="0" borderId="8" xfId="49" applyNumberFormat="1" applyFont="1" applyFill="1" applyBorder="1" applyAlignment="1">
      <alignment horizontal="center" vertical="center"/>
    </xf>
    <xf numFmtId="179" fontId="22" fillId="0" borderId="2" xfId="0" applyNumberFormat="1" applyFont="1" applyBorder="1" applyAlignment="1">
      <alignment horizontal="center" vertical="center"/>
    </xf>
    <xf numFmtId="179" fontId="1" fillId="0" borderId="2" xfId="0" applyNumberFormat="1" applyFont="1" applyBorder="1" applyAlignment="1">
      <alignment horizontal="center"/>
    </xf>
    <xf numFmtId="0" fontId="22" fillId="3" borderId="18" xfId="0" applyFont="1" applyFill="1" applyBorder="1" applyAlignment="1">
      <alignment wrapText="1"/>
    </xf>
    <xf numFmtId="0" fontId="22" fillId="3" borderId="2" xfId="0" applyFont="1" applyFill="1" applyBorder="1" applyAlignment="1">
      <alignment horizontal="center" vertical="center"/>
    </xf>
    <xf numFmtId="171" fontId="37" fillId="0" borderId="2" xfId="0" applyNumberFormat="1" applyFont="1" applyBorder="1"/>
    <xf numFmtId="166" fontId="37" fillId="0" borderId="2" xfId="0" applyNumberFormat="1" applyFont="1" applyBorder="1"/>
    <xf numFmtId="166" fontId="37" fillId="0" borderId="2" xfId="0" applyNumberFormat="1" applyFont="1" applyBorder="1" applyAlignment="1">
      <alignment horizontal="right"/>
    </xf>
    <xf numFmtId="171" fontId="37" fillId="0" borderId="2" xfId="0" applyNumberFormat="1" applyFont="1" applyBorder="1" applyAlignment="1">
      <alignment vertical="center"/>
    </xf>
    <xf numFmtId="166" fontId="37" fillId="0" borderId="2" xfId="0" applyNumberFormat="1" applyFont="1" applyBorder="1" applyAlignment="1">
      <alignment vertical="center"/>
    </xf>
    <xf numFmtId="166" fontId="37" fillId="0" borderId="2" xfId="0" applyNumberFormat="1" applyFont="1" applyBorder="1" applyAlignment="1">
      <alignment horizontal="right" vertical="center"/>
    </xf>
    <xf numFmtId="166" fontId="30" fillId="0" borderId="2" xfId="0" applyNumberFormat="1" applyFont="1" applyBorder="1" applyAlignment="1">
      <alignment vertical="center"/>
    </xf>
    <xf numFmtId="0" fontId="30" fillId="0" borderId="2" xfId="0" applyFont="1" applyBorder="1" applyAlignment="1">
      <alignment horizontal="left"/>
    </xf>
    <xf numFmtId="166" fontId="30" fillId="0" borderId="2" xfId="0" applyNumberFormat="1" applyFont="1" applyBorder="1" applyAlignment="1">
      <alignment horizontal="right"/>
    </xf>
    <xf numFmtId="0" fontId="30" fillId="0" borderId="2" xfId="0" applyFont="1" applyBorder="1" applyAlignment="1">
      <alignment horizontal="left" vertical="center"/>
    </xf>
    <xf numFmtId="0" fontId="20" fillId="0" borderId="0" xfId="0" applyFont="1" applyAlignment="1">
      <alignment vertical="center"/>
    </xf>
    <xf numFmtId="0" fontId="20" fillId="0" borderId="0" xfId="0" applyFont="1"/>
    <xf numFmtId="169" fontId="35" fillId="0" borderId="2" xfId="0" applyNumberFormat="1" applyFont="1" applyBorder="1" applyAlignment="1" applyProtection="1">
      <alignment horizontal="center" vertical="center" wrapText="1"/>
      <protection locked="0"/>
    </xf>
    <xf numFmtId="0" fontId="14" fillId="0" borderId="13" xfId="0" applyFont="1" applyBorder="1" applyAlignment="1">
      <alignment horizontal="center" vertical="center" wrapText="1"/>
    </xf>
    <xf numFmtId="0" fontId="14" fillId="0" borderId="8" xfId="0" applyFont="1" applyBorder="1" applyAlignment="1">
      <alignment horizontal="center" vertical="center" wrapText="1"/>
    </xf>
    <xf numFmtId="167" fontId="30" fillId="0" borderId="2" xfId="0" applyNumberFormat="1" applyFont="1" applyBorder="1" applyAlignment="1">
      <alignment horizontal="right"/>
    </xf>
    <xf numFmtId="0" fontId="37" fillId="0" borderId="2" xfId="0" applyFont="1" applyBorder="1" applyAlignment="1">
      <alignment horizontal="left" vertical="center"/>
    </xf>
    <xf numFmtId="0" fontId="0" fillId="0" borderId="0" xfId="0" applyAlignment="1">
      <alignment vertical="center"/>
    </xf>
    <xf numFmtId="1" fontId="1" fillId="0" borderId="0" xfId="0" applyNumberFormat="1" applyFont="1" applyAlignment="1">
      <alignment horizontal="center" vertical="center"/>
    </xf>
    <xf numFmtId="170" fontId="1" fillId="0" borderId="0" xfId="0" applyNumberFormat="1" applyFont="1" applyAlignment="1">
      <alignment horizontal="left"/>
    </xf>
    <xf numFmtId="171" fontId="1" fillId="0" borderId="0" xfId="0" applyNumberFormat="1" applyFont="1"/>
    <xf numFmtId="167" fontId="1" fillId="0" borderId="0" xfId="0" applyNumberFormat="1" applyFont="1"/>
    <xf numFmtId="170" fontId="21" fillId="0" borderId="2" xfId="0" applyNumberFormat="1" applyFont="1" applyBorder="1" applyAlignment="1">
      <alignment horizontal="center" vertical="center"/>
    </xf>
    <xf numFmtId="167" fontId="21" fillId="0" borderId="3" xfId="0" applyNumberFormat="1" applyFont="1" applyBorder="1" applyAlignment="1">
      <alignment horizontal="center" vertical="center" wrapText="1"/>
    </xf>
    <xf numFmtId="1" fontId="1" fillId="0" borderId="2" xfId="0" applyNumberFormat="1" applyFont="1" applyBorder="1" applyAlignment="1">
      <alignment horizontal="center" vertical="center"/>
    </xf>
    <xf numFmtId="170" fontId="1" fillId="0" borderId="2" xfId="0" applyNumberFormat="1" applyFont="1" applyBorder="1" applyAlignment="1">
      <alignment horizontal="left"/>
    </xf>
    <xf numFmtId="167" fontId="1" fillId="0" borderId="2" xfId="0" applyNumberFormat="1" applyFont="1" applyBorder="1"/>
    <xf numFmtId="167" fontId="1" fillId="0" borderId="2" xfId="0" applyNumberFormat="1" applyFont="1" applyBorder="1" applyAlignment="1">
      <alignment horizontal="right" vertical="center"/>
    </xf>
    <xf numFmtId="2" fontId="1" fillId="0" borderId="3" xfId="0" applyNumberFormat="1" applyFont="1" applyBorder="1" applyAlignment="1">
      <alignment horizontal="center" vertical="center"/>
    </xf>
    <xf numFmtId="167" fontId="1" fillId="0" borderId="2" xfId="0" applyNumberFormat="1" applyFont="1" applyBorder="1" applyAlignment="1">
      <alignment horizontal="center" vertical="center" wrapText="1"/>
    </xf>
    <xf numFmtId="180" fontId="22" fillId="0" borderId="2" xfId="0" applyNumberFormat="1" applyFont="1" applyBorder="1" applyAlignment="1">
      <alignment horizontal="right" vertical="center"/>
    </xf>
    <xf numFmtId="172" fontId="0" fillId="0" borderId="0" xfId="0" applyNumberFormat="1"/>
    <xf numFmtId="180" fontId="4" fillId="0" borderId="0" xfId="0" applyNumberFormat="1" applyFont="1" applyAlignment="1">
      <alignment horizontal="left" vertical="center"/>
    </xf>
    <xf numFmtId="2" fontId="22" fillId="0" borderId="3" xfId="0" applyNumberFormat="1" applyFont="1" applyBorder="1" applyAlignment="1">
      <alignment horizontal="center" vertical="center"/>
    </xf>
    <xf numFmtId="2" fontId="22" fillId="3" borderId="2" xfId="0" applyNumberFormat="1" applyFont="1" applyFill="1" applyBorder="1" applyAlignment="1">
      <alignment horizontal="center" vertical="center" wrapText="1"/>
    </xf>
    <xf numFmtId="0" fontId="14" fillId="0" borderId="0" xfId="0" applyFont="1" applyAlignment="1">
      <alignment horizontal="center"/>
    </xf>
    <xf numFmtId="0" fontId="33" fillId="0" borderId="2" xfId="0" applyFont="1" applyBorder="1" applyAlignment="1">
      <alignment vertical="center" wrapText="1"/>
    </xf>
    <xf numFmtId="0" fontId="33" fillId="0" borderId="2" xfId="0" applyFont="1" applyBorder="1" applyAlignment="1">
      <alignment horizontal="center" vertical="center" wrapText="1"/>
    </xf>
    <xf numFmtId="0" fontId="33" fillId="0" borderId="0" xfId="0" applyFont="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34" fillId="0" borderId="0" xfId="0" applyFont="1" applyAlignment="1">
      <alignment horizontal="left" vertical="center" wrapText="1"/>
    </xf>
    <xf numFmtId="0" fontId="33" fillId="0" borderId="39" xfId="0" applyFont="1" applyBorder="1" applyAlignment="1">
      <alignment vertical="center" wrapText="1"/>
    </xf>
    <xf numFmtId="0" fontId="14" fillId="0" borderId="9" xfId="0" applyFont="1" applyBorder="1" applyAlignment="1" applyProtection="1">
      <alignment horizontal="center" vertical="center" wrapText="1"/>
      <protection locked="0"/>
    </xf>
    <xf numFmtId="0" fontId="14" fillId="2" borderId="0" xfId="0" applyFont="1" applyFill="1" applyAlignment="1"/>
    <xf numFmtId="0" fontId="36" fillId="0" borderId="0" xfId="0" applyFont="1" applyAlignment="1">
      <alignment horizontal="center"/>
    </xf>
    <xf numFmtId="0" fontId="30" fillId="0" borderId="0" xfId="0" applyFont="1" applyAlignment="1">
      <alignment horizontal="center"/>
    </xf>
    <xf numFmtId="0" fontId="30" fillId="0" borderId="1" xfId="0" applyFont="1" applyBorder="1" applyAlignment="1">
      <alignment horizontal="center"/>
    </xf>
    <xf numFmtId="0" fontId="14" fillId="0" borderId="3" xfId="0" applyFont="1" applyBorder="1" applyAlignment="1">
      <alignment horizontal="left"/>
    </xf>
    <xf numFmtId="0" fontId="14" fillId="0" borderId="4" xfId="0" applyFont="1" applyBorder="1" applyAlignment="1">
      <alignment horizontal="left"/>
    </xf>
    <xf numFmtId="0" fontId="14" fillId="0" borderId="5" xfId="0" applyFont="1" applyBorder="1" applyAlignment="1">
      <alignment horizontal="left"/>
    </xf>
    <xf numFmtId="0" fontId="14" fillId="0" borderId="0" xfId="0" applyFont="1" applyAlignment="1">
      <alignment horizontal="center"/>
    </xf>
    <xf numFmtId="0" fontId="14" fillId="2" borderId="2" xfId="0" applyFont="1" applyFill="1" applyBorder="1" applyAlignment="1">
      <alignment horizontal="left"/>
    </xf>
    <xf numFmtId="0" fontId="14" fillId="2" borderId="2"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13" xfId="0" applyFont="1" applyFill="1" applyBorder="1" applyAlignment="1" applyProtection="1">
      <alignment horizontal="center" vertical="center" wrapText="1"/>
      <protection locked="0"/>
    </xf>
    <xf numFmtId="0" fontId="14" fillId="2" borderId="14" xfId="0" applyFont="1" applyFill="1" applyBorder="1" applyAlignment="1" applyProtection="1">
      <alignment horizontal="center" vertical="center" wrapText="1"/>
      <protection locked="0"/>
    </xf>
    <xf numFmtId="0" fontId="14" fillId="2" borderId="9"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14" fillId="2" borderId="3" xfId="0" applyFont="1" applyFill="1" applyBorder="1" applyAlignment="1">
      <alignment horizontal="left"/>
    </xf>
    <xf numFmtId="0" fontId="14" fillId="2" borderId="4" xfId="0" applyFont="1" applyFill="1" applyBorder="1" applyAlignment="1">
      <alignment horizontal="left"/>
    </xf>
    <xf numFmtId="0" fontId="14" fillId="2" borderId="5" xfId="0" applyFont="1" applyFill="1" applyBorder="1" applyAlignment="1">
      <alignment horizontal="left"/>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8" xfId="0" applyFont="1" applyFill="1" applyBorder="1" applyAlignment="1" applyProtection="1">
      <alignment horizontal="center" vertical="center" wrapText="1"/>
      <protection locked="0"/>
    </xf>
    <xf numFmtId="0" fontId="14" fillId="2" borderId="9" xfId="0" applyFont="1" applyFill="1" applyBorder="1" applyAlignment="1" applyProtection="1">
      <alignment horizontal="center" vertical="center" wrapText="1"/>
      <protection locked="0"/>
    </xf>
    <xf numFmtId="0" fontId="33" fillId="2" borderId="8" xfId="0" applyFont="1" applyFill="1" applyBorder="1" applyAlignment="1" applyProtection="1">
      <alignment horizontal="center" vertical="center" wrapText="1"/>
      <protection locked="0"/>
    </xf>
    <xf numFmtId="0" fontId="33" fillId="2" borderId="10" xfId="0" applyFont="1" applyFill="1" applyBorder="1" applyAlignment="1" applyProtection="1">
      <alignment horizontal="center" vertical="center" wrapText="1"/>
      <protection locked="0"/>
    </xf>
    <xf numFmtId="0" fontId="14" fillId="2" borderId="10" xfId="0" applyFont="1" applyFill="1" applyBorder="1" applyAlignment="1" applyProtection="1">
      <alignment horizontal="center" vertical="center" wrapText="1"/>
      <protection locked="0"/>
    </xf>
    <xf numFmtId="0" fontId="14" fillId="2" borderId="3" xfId="0" applyFont="1" applyFill="1" applyBorder="1" applyAlignment="1">
      <alignment horizontal="left" vertical="center"/>
    </xf>
    <xf numFmtId="0" fontId="14" fillId="2" borderId="4" xfId="0" applyFont="1" applyFill="1" applyBorder="1" applyAlignment="1">
      <alignment horizontal="left" vertical="center"/>
    </xf>
    <xf numFmtId="0" fontId="14" fillId="2" borderId="5" xfId="0" applyFont="1" applyFill="1" applyBorder="1" applyAlignment="1">
      <alignment horizontal="left" vertical="center"/>
    </xf>
    <xf numFmtId="0" fontId="14" fillId="2" borderId="6"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4" fillId="2" borderId="7" xfId="0" applyFont="1" applyFill="1" applyBorder="1" applyAlignment="1" applyProtection="1">
      <alignment horizontal="center" vertical="center" wrapText="1"/>
      <protection locked="0"/>
    </xf>
    <xf numFmtId="0" fontId="14" fillId="2" borderId="8" xfId="0" applyFont="1" applyFill="1" applyBorder="1" applyAlignment="1" applyProtection="1">
      <alignment horizontal="center" vertical="center"/>
      <protection locked="0"/>
    </xf>
    <xf numFmtId="0" fontId="14" fillId="2" borderId="9" xfId="0" applyFont="1" applyFill="1" applyBorder="1" applyAlignment="1" applyProtection="1">
      <alignment horizontal="center" vertical="center"/>
      <protection locked="0"/>
    </xf>
    <xf numFmtId="0" fontId="14" fillId="2" borderId="10" xfId="0" applyFont="1" applyFill="1" applyBorder="1" applyAlignment="1" applyProtection="1">
      <alignment horizontal="center" vertical="center"/>
      <protection locked="0"/>
    </xf>
    <xf numFmtId="0" fontId="33" fillId="2" borderId="9" xfId="0" applyFont="1" applyFill="1" applyBorder="1" applyAlignment="1" applyProtection="1">
      <alignment horizontal="center" vertical="center" wrapText="1"/>
      <protection locked="0"/>
    </xf>
    <xf numFmtId="0" fontId="14" fillId="2" borderId="12" xfId="0" applyFont="1" applyFill="1" applyBorder="1" applyAlignment="1">
      <alignment horizontal="center" vertical="center" wrapText="1"/>
    </xf>
    <xf numFmtId="0" fontId="14" fillId="2" borderId="39" xfId="0" applyFont="1" applyFill="1" applyBorder="1" applyAlignment="1">
      <alignment horizontal="center" vertical="center" wrapText="1"/>
    </xf>
    <xf numFmtId="0" fontId="14" fillId="2" borderId="40" xfId="0" applyFont="1" applyFill="1" applyBorder="1" applyAlignment="1">
      <alignment horizontal="center" vertical="center" wrapText="1"/>
    </xf>
    <xf numFmtId="0" fontId="14" fillId="2" borderId="2" xfId="0" applyFont="1" applyFill="1" applyBorder="1" applyAlignment="1">
      <alignment horizontal="left" vertical="center"/>
    </xf>
    <xf numFmtId="0" fontId="33" fillId="2" borderId="10" xfId="0" applyFont="1" applyFill="1" applyBorder="1" applyAlignment="1">
      <alignment horizontal="center" vertical="center" wrapText="1"/>
    </xf>
    <xf numFmtId="0" fontId="14" fillId="2" borderId="2" xfId="0" applyFont="1" applyFill="1" applyBorder="1" applyAlignment="1">
      <alignment vertical="center"/>
    </xf>
    <xf numFmtId="0" fontId="33" fillId="2" borderId="2" xfId="0" applyFont="1" applyFill="1" applyBorder="1" applyAlignment="1">
      <alignment horizontal="left" vertical="center" wrapText="1"/>
    </xf>
    <xf numFmtId="0" fontId="34" fillId="2" borderId="2" xfId="0" applyFont="1" applyFill="1" applyBorder="1" applyAlignment="1">
      <alignment horizontal="center" vertical="center" wrapText="1"/>
    </xf>
    <xf numFmtId="0" fontId="35" fillId="2" borderId="39" xfId="0" applyFont="1" applyFill="1" applyBorder="1" applyAlignment="1">
      <alignment horizontal="center"/>
    </xf>
    <xf numFmtId="0" fontId="35" fillId="2" borderId="0" xfId="0" applyFont="1" applyFill="1" applyAlignment="1">
      <alignment horizontal="center"/>
    </xf>
    <xf numFmtId="0" fontId="14" fillId="2" borderId="5" xfId="0" applyFont="1" applyFill="1" applyBorder="1" applyAlignment="1" applyProtection="1">
      <alignment horizontal="center" vertical="center" wrapText="1"/>
      <protection locked="0"/>
    </xf>
    <xf numFmtId="0" fontId="14" fillId="2" borderId="3" xfId="0" applyFont="1" applyFill="1" applyBorder="1" applyAlignment="1">
      <alignment vertical="center"/>
    </xf>
    <xf numFmtId="0" fontId="14" fillId="2" borderId="4" xfId="0" applyFont="1" applyFill="1" applyBorder="1" applyAlignment="1">
      <alignment vertical="center"/>
    </xf>
    <xf numFmtId="0" fontId="14" fillId="2" borderId="5" xfId="0" applyFont="1" applyFill="1" applyBorder="1" applyAlignment="1">
      <alignment vertical="center"/>
    </xf>
    <xf numFmtId="0" fontId="14" fillId="2" borderId="3" xfId="0" applyFont="1" applyFill="1" applyBorder="1" applyAlignment="1">
      <alignment vertical="top"/>
    </xf>
    <xf numFmtId="0" fontId="14" fillId="2" borderId="4" xfId="0" applyFont="1" applyFill="1" applyBorder="1" applyAlignment="1">
      <alignment vertical="top"/>
    </xf>
    <xf numFmtId="0" fontId="14" fillId="2" borderId="5" xfId="0" applyFont="1" applyFill="1" applyBorder="1" applyAlignment="1">
      <alignment vertical="top"/>
    </xf>
    <xf numFmtId="0" fontId="14" fillId="2" borderId="3" xfId="0" applyFont="1" applyFill="1" applyBorder="1" applyAlignment="1">
      <alignment horizontal="left" vertical="top"/>
    </xf>
    <xf numFmtId="0" fontId="14" fillId="2" borderId="4" xfId="0" applyFont="1" applyFill="1" applyBorder="1" applyAlignment="1">
      <alignment horizontal="left" vertical="top"/>
    </xf>
    <xf numFmtId="0" fontId="14" fillId="2" borderId="5" xfId="0" applyFont="1" applyFill="1" applyBorder="1" applyAlignment="1">
      <alignment horizontal="left" vertical="top"/>
    </xf>
    <xf numFmtId="0" fontId="14" fillId="2" borderId="42"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0" borderId="3" xfId="0" applyFont="1" applyBorder="1" applyAlignment="1">
      <alignment horizontal="left" vertical="center"/>
    </xf>
    <xf numFmtId="0" fontId="14" fillId="0" borderId="4" xfId="0" applyFont="1" applyBorder="1" applyAlignment="1">
      <alignment horizontal="left" vertical="center"/>
    </xf>
    <xf numFmtId="0" fontId="14" fillId="0" borderId="5" xfId="0" applyFont="1" applyBorder="1" applyAlignment="1">
      <alignment horizontal="left" vertical="center"/>
    </xf>
    <xf numFmtId="0" fontId="14" fillId="0" borderId="2" xfId="0" applyFont="1" applyBorder="1" applyAlignment="1">
      <alignment horizontal="center" vertical="center" wrapText="1"/>
    </xf>
    <xf numFmtId="0" fontId="33" fillId="0" borderId="2"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33" fillId="0" borderId="8" xfId="0" applyFont="1" applyBorder="1" applyAlignment="1">
      <alignment horizontal="center" vertical="center" wrapText="1"/>
    </xf>
    <xf numFmtId="0" fontId="14" fillId="0" borderId="5" xfId="0" applyFont="1" applyBorder="1" applyAlignment="1">
      <alignment horizontal="center" vertical="center" wrapText="1"/>
    </xf>
    <xf numFmtId="0" fontId="1" fillId="0" borderId="0" xfId="0" applyFont="1" applyAlignment="1">
      <alignment horizontal="center"/>
    </xf>
    <xf numFmtId="1" fontId="22" fillId="0" borderId="2" xfId="0" applyNumberFormat="1" applyFont="1" applyBorder="1" applyAlignment="1">
      <alignment horizontal="center" vertical="center"/>
    </xf>
    <xf numFmtId="0" fontId="22" fillId="0" borderId="2" xfId="0" applyFont="1" applyBorder="1" applyAlignment="1">
      <alignment horizontal="center" vertical="center"/>
    </xf>
    <xf numFmtId="2" fontId="22" fillId="0" borderId="8" xfId="0" applyNumberFormat="1" applyFont="1" applyBorder="1" applyAlignment="1">
      <alignment horizontal="center" vertical="center"/>
    </xf>
    <xf numFmtId="2" fontId="22" fillId="0" borderId="9" xfId="0" applyNumberFormat="1" applyFont="1" applyBorder="1" applyAlignment="1">
      <alignment horizontal="center" vertical="center"/>
    </xf>
    <xf numFmtId="2" fontId="22" fillId="0" borderId="10" xfId="0" applyNumberFormat="1" applyFont="1" applyBorder="1" applyAlignment="1">
      <alignment horizontal="center" vertical="center"/>
    </xf>
    <xf numFmtId="0" fontId="1" fillId="0" borderId="2" xfId="0" applyFont="1" applyBorder="1" applyAlignment="1">
      <alignment horizontal="center"/>
    </xf>
    <xf numFmtId="0" fontId="1" fillId="0" borderId="2" xfId="0" applyFont="1" applyBorder="1" applyAlignment="1">
      <alignment horizontal="center" vertical="center"/>
    </xf>
    <xf numFmtId="0" fontId="22" fillId="0" borderId="8" xfId="0" applyFont="1" applyBorder="1" applyAlignment="1">
      <alignment horizontal="center" vertical="center"/>
    </xf>
    <xf numFmtId="0" fontId="22" fillId="0" borderId="9" xfId="0" applyFont="1" applyBorder="1" applyAlignment="1">
      <alignment horizontal="center" vertical="center"/>
    </xf>
    <xf numFmtId="0" fontId="22" fillId="0" borderId="10" xfId="0" applyFont="1" applyBorder="1" applyAlignment="1">
      <alignment horizontal="center" vertical="center"/>
    </xf>
    <xf numFmtId="1" fontId="3" fillId="0" borderId="2" xfId="0" applyNumberFormat="1" applyFont="1" applyBorder="1" applyAlignment="1">
      <alignment horizontal="center" vertical="center"/>
    </xf>
    <xf numFmtId="169" fontId="4" fillId="0" borderId="3" xfId="0" applyNumberFormat="1" applyFont="1" applyBorder="1" applyAlignment="1">
      <alignment horizontal="center" vertical="center"/>
    </xf>
    <xf numFmtId="169" fontId="4" fillId="0" borderId="4" xfId="0" applyNumberFormat="1" applyFont="1" applyBorder="1" applyAlignment="1">
      <alignment horizontal="center" vertical="center"/>
    </xf>
    <xf numFmtId="169" fontId="4" fillId="0" borderId="5" xfId="0" applyNumberFormat="1" applyFont="1" applyBorder="1" applyAlignment="1">
      <alignment horizontal="center" vertical="center"/>
    </xf>
    <xf numFmtId="0" fontId="12" fillId="0" borderId="0" xfId="0" applyFont="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3" fillId="0" borderId="0" xfId="0" applyFont="1" applyAlignment="1">
      <alignment horizontal="center"/>
    </xf>
    <xf numFmtId="0" fontId="27" fillId="0" borderId="3" xfId="0" applyFont="1" applyBorder="1" applyAlignment="1">
      <alignment horizontal="center"/>
    </xf>
    <xf numFmtId="0" fontId="27" fillId="0" borderId="4" xfId="0" applyFont="1" applyBorder="1" applyAlignment="1">
      <alignment horizontal="center"/>
    </xf>
    <xf numFmtId="0" fontId="30" fillId="0" borderId="0" xfId="0" applyFont="1" applyAlignment="1">
      <alignment horizontal="center" vertical="center" wrapText="1"/>
    </xf>
    <xf numFmtId="0" fontId="27"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3" fillId="0" borderId="5" xfId="0" applyFont="1" applyBorder="1" applyAlignment="1">
      <alignment horizontal="left"/>
    </xf>
    <xf numFmtId="0" fontId="1" fillId="0" borderId="15" xfId="0" applyFont="1" applyBorder="1" applyAlignment="1">
      <alignment horizontal="center"/>
    </xf>
    <xf numFmtId="0" fontId="1" fillId="0" borderId="16" xfId="0" applyFont="1" applyBorder="1" applyAlignment="1">
      <alignment horizontal="center"/>
    </xf>
    <xf numFmtId="0" fontId="1" fillId="0" borderId="17" xfId="0" applyFont="1" applyBorder="1" applyAlignment="1">
      <alignment horizontal="center"/>
    </xf>
    <xf numFmtId="0" fontId="1" fillId="0" borderId="18" xfId="0" applyFont="1" applyBorder="1" applyAlignment="1">
      <alignment horizontal="left"/>
    </xf>
    <xf numFmtId="0" fontId="1" fillId="0" borderId="2" xfId="0" applyFont="1" applyBorder="1" applyAlignment="1">
      <alignment horizontal="left"/>
    </xf>
    <xf numFmtId="0" fontId="23" fillId="0" borderId="0" xfId="0" applyFont="1" applyAlignment="1">
      <alignment horizontal="center"/>
    </xf>
    <xf numFmtId="0" fontId="4" fillId="0" borderId="0" xfId="0" applyFont="1" applyAlignment="1">
      <alignment horizontal="left"/>
    </xf>
    <xf numFmtId="0" fontId="1" fillId="0" borderId="28" xfId="0" applyFont="1" applyBorder="1" applyAlignment="1">
      <alignment horizontal="center"/>
    </xf>
    <xf numFmtId="0" fontId="1" fillId="0" borderId="29" xfId="0" applyFont="1" applyBorder="1" applyAlignment="1">
      <alignment horizontal="center"/>
    </xf>
    <xf numFmtId="0" fontId="1" fillId="0" borderId="30" xfId="0" applyFont="1" applyBorder="1" applyAlignment="1">
      <alignment horizontal="center"/>
    </xf>
    <xf numFmtId="0" fontId="38" fillId="0" borderId="20" xfId="0" applyFont="1" applyBorder="1" applyAlignment="1">
      <alignment horizontal="left"/>
    </xf>
    <xf numFmtId="0" fontId="38" fillId="0" borderId="21" xfId="0" applyFont="1" applyBorder="1" applyAlignment="1">
      <alignment horizontal="left"/>
    </xf>
    <xf numFmtId="0" fontId="1" fillId="0" borderId="0" xfId="0" applyFont="1" applyAlignment="1">
      <alignment horizontal="center" vertical="center"/>
    </xf>
    <xf numFmtId="0" fontId="22" fillId="0" borderId="0" xfId="0" applyFont="1" applyAlignment="1">
      <alignment horizontal="center"/>
    </xf>
    <xf numFmtId="0" fontId="24" fillId="0" borderId="0" xfId="0" applyFont="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3" borderId="23" xfId="0" applyFont="1" applyFill="1" applyBorder="1" applyAlignment="1">
      <alignment horizontal="left"/>
    </xf>
    <xf numFmtId="0" fontId="1" fillId="3" borderId="24" xfId="0" applyFont="1" applyFill="1" applyBorder="1" applyAlignment="1">
      <alignment horizontal="left"/>
    </xf>
    <xf numFmtId="0" fontId="1" fillId="3" borderId="15"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 xfId="0" applyFont="1" applyFill="1" applyBorder="1" applyAlignment="1">
      <alignment horizontal="center"/>
    </xf>
    <xf numFmtId="0" fontId="22" fillId="3" borderId="2" xfId="0" applyFont="1" applyFill="1" applyBorder="1" applyAlignment="1">
      <alignment horizontal="center"/>
    </xf>
    <xf numFmtId="0" fontId="1" fillId="0" borderId="15" xfId="0" applyFont="1" applyBorder="1" applyAlignment="1">
      <alignment horizontal="center" vertical="center" wrapText="1"/>
    </xf>
    <xf numFmtId="0" fontId="22" fillId="0" borderId="17" xfId="0" applyFont="1" applyBorder="1" applyAlignment="1">
      <alignment horizontal="center"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22" fillId="0" borderId="26" xfId="0" applyFont="1" applyBorder="1" applyAlignment="1">
      <alignment horizontal="center"/>
    </xf>
    <xf numFmtId="0" fontId="22" fillId="0" borderId="25" xfId="0" applyFont="1" applyBorder="1" applyAlignment="1">
      <alignment horizontal="center"/>
    </xf>
    <xf numFmtId="0" fontId="22" fillId="0" borderId="3" xfId="0" applyFont="1" applyBorder="1" applyAlignment="1">
      <alignment horizontal="left"/>
    </xf>
    <xf numFmtId="0" fontId="22" fillId="0" borderId="4" xfId="0" applyFont="1" applyBorder="1" applyAlignment="1">
      <alignment horizontal="left"/>
    </xf>
    <xf numFmtId="0" fontId="22" fillId="0" borderId="5" xfId="0" applyFont="1" applyBorder="1" applyAlignment="1">
      <alignment horizontal="left"/>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40"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40" xfId="0" applyFont="1" applyBorder="1" applyAlignment="1">
      <alignment horizontal="center" vertical="center"/>
    </xf>
    <xf numFmtId="0" fontId="22" fillId="0" borderId="7" xfId="0" applyFont="1" applyBorder="1" applyAlignment="1">
      <alignment horizontal="center" vertical="center"/>
    </xf>
    <xf numFmtId="0" fontId="22" fillId="0" borderId="3" xfId="0" applyFont="1" applyBorder="1" applyAlignment="1">
      <alignment horizontal="center"/>
    </xf>
    <xf numFmtId="0" fontId="1" fillId="6" borderId="2" xfId="0" applyFont="1" applyFill="1" applyBorder="1" applyAlignment="1">
      <alignment horizontal="left"/>
    </xf>
    <xf numFmtId="0" fontId="1" fillId="4" borderId="2" xfId="0" applyFont="1" applyFill="1" applyBorder="1" applyAlignment="1">
      <alignment horizontal="center"/>
    </xf>
    <xf numFmtId="0" fontId="1" fillId="4" borderId="2" xfId="0" applyFont="1" applyFill="1" applyBorder="1" applyAlignment="1">
      <alignment horizontal="center" vertical="center"/>
    </xf>
    <xf numFmtId="0" fontId="1" fillId="0" borderId="12" xfId="0" applyFont="1" applyBorder="1" applyAlignment="1">
      <alignment horizontal="center"/>
    </xf>
    <xf numFmtId="0" fontId="1" fillId="0" borderId="6" xfId="0" applyFont="1" applyBorder="1" applyAlignment="1">
      <alignment horizontal="center"/>
    </xf>
    <xf numFmtId="0" fontId="1" fillId="0" borderId="13" xfId="0" applyFont="1" applyBorder="1" applyAlignment="1">
      <alignment horizont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30" fillId="0" borderId="23" xfId="0" applyFont="1" applyBorder="1" applyAlignment="1">
      <alignment horizontal="center" vertical="center" wrapText="1"/>
    </xf>
    <xf numFmtId="0" fontId="30" fillId="0" borderId="24" xfId="0" applyFont="1" applyBorder="1" applyAlignment="1">
      <alignment horizontal="center" vertical="center" wrapText="1"/>
    </xf>
    <xf numFmtId="0" fontId="30" fillId="0" borderId="35" xfId="0" applyFont="1" applyBorder="1" applyAlignment="1">
      <alignment horizontal="center" vertical="center" wrapText="1"/>
    </xf>
    <xf numFmtId="0" fontId="0" fillId="0" borderId="33" xfId="0" applyBorder="1" applyAlignment="1">
      <alignment horizontal="center"/>
    </xf>
    <xf numFmtId="0" fontId="0" fillId="0" borderId="1" xfId="0" applyBorder="1" applyAlignment="1">
      <alignment horizontal="center"/>
    </xf>
    <xf numFmtId="0" fontId="0" fillId="0" borderId="34" xfId="0" applyBorder="1" applyAlignment="1">
      <alignment horizontal="center"/>
    </xf>
    <xf numFmtId="0" fontId="12" fillId="0" borderId="33" xfId="0" applyFont="1" applyBorder="1" applyAlignment="1">
      <alignment horizontal="center"/>
    </xf>
    <xf numFmtId="0" fontId="12" fillId="0" borderId="1" xfId="0" applyFont="1" applyBorder="1" applyAlignment="1">
      <alignment horizontal="center"/>
    </xf>
    <xf numFmtId="0" fontId="12" fillId="0" borderId="34" xfId="0" applyFont="1" applyBorder="1" applyAlignment="1">
      <alignment horizontal="center"/>
    </xf>
    <xf numFmtId="181" fontId="0" fillId="0" borderId="2" xfId="0" applyNumberFormat="1" applyBorder="1" applyAlignment="1">
      <alignment horizontal="center" vertical="center"/>
    </xf>
    <xf numFmtId="169" fontId="0" fillId="0" borderId="19" xfId="0" applyNumberFormat="1" applyBorder="1" applyAlignment="1">
      <alignment horizontal="center" vertical="center"/>
    </xf>
    <xf numFmtId="0" fontId="12" fillId="0" borderId="31" xfId="0" applyFont="1" applyBorder="1" applyAlignment="1">
      <alignment horizontal="center"/>
    </xf>
    <xf numFmtId="0" fontId="12" fillId="0" borderId="27" xfId="0" applyFont="1" applyBorder="1" applyAlignment="1">
      <alignment horizontal="center"/>
    </xf>
    <xf numFmtId="0" fontId="12" fillId="0" borderId="32" xfId="0" applyFont="1" applyBorder="1" applyAlignment="1">
      <alignment horizontal="center"/>
    </xf>
    <xf numFmtId="9" fontId="0" fillId="0" borderId="8" xfId="0" applyNumberFormat="1" applyBorder="1" applyAlignment="1">
      <alignment horizontal="center" vertical="center"/>
    </xf>
    <xf numFmtId="9" fontId="0" fillId="0" borderId="9" xfId="0" applyNumberFormat="1" applyBorder="1" applyAlignment="1">
      <alignment horizontal="center" vertical="center"/>
    </xf>
    <xf numFmtId="9" fontId="0" fillId="0" borderId="10" xfId="0" applyNumberFormat="1" applyBorder="1" applyAlignment="1">
      <alignment horizontal="center" vertical="center"/>
    </xf>
    <xf numFmtId="169" fontId="0" fillId="0" borderId="37" xfId="0" applyNumberFormat="1" applyBorder="1" applyAlignment="1">
      <alignment horizontal="center" vertical="center" wrapText="1"/>
    </xf>
    <xf numFmtId="169" fontId="0" fillId="0" borderId="36" xfId="0" applyNumberFormat="1" applyBorder="1" applyAlignment="1">
      <alignment horizontal="center" vertical="center" wrapText="1"/>
    </xf>
    <xf numFmtId="169" fontId="0" fillId="0" borderId="38" xfId="0" applyNumberFormat="1" applyBorder="1" applyAlignment="1">
      <alignment horizontal="center" vertical="center" wrapText="1"/>
    </xf>
  </cellXfs>
  <cellStyles count="51">
    <cellStyle name="Hipervínculo" xfId="41" builtinId="8" hidden="1"/>
    <cellStyle name="Hipervínculo" xfId="43" builtinId="8" hidden="1"/>
    <cellStyle name="Hipervínculo" xfId="39" builtinId="8" hidden="1"/>
    <cellStyle name="Hipervínculo" xfId="37" builtinId="8" hidden="1"/>
    <cellStyle name="Hipervínculo visitado" xfId="42" builtinId="9" hidden="1"/>
    <cellStyle name="Hipervínculo visitado" xfId="44" builtinId="9" hidden="1"/>
    <cellStyle name="Hipervínculo visitado" xfId="40" builtinId="9" hidden="1"/>
    <cellStyle name="Hipervínculo visitado" xfId="38" builtinId="9" hidden="1"/>
    <cellStyle name="Moneda [0]" xfId="49" builtinId="7"/>
    <cellStyle name="Moneda 2" xfId="50"/>
    <cellStyle name="Normal" xfId="0" builtinId="0"/>
    <cellStyle name="Normal 10" xfId="45"/>
    <cellStyle name="Normal 11" xfId="2"/>
    <cellStyle name="Normal 12" xfId="3"/>
    <cellStyle name="Normal 13" xfId="4"/>
    <cellStyle name="Normal 14" xfId="5"/>
    <cellStyle name="Normal 15" xfId="6"/>
    <cellStyle name="Normal 16" xfId="7"/>
    <cellStyle name="Normal 17" xfId="8"/>
    <cellStyle name="Normal 18" xfId="46"/>
    <cellStyle name="Normal 19" xfId="9"/>
    <cellStyle name="Normal 2" xfId="1"/>
    <cellStyle name="Normal 2 10" xfId="10"/>
    <cellStyle name="Normal 2 11" xfId="11"/>
    <cellStyle name="Normal 2 12" xfId="12"/>
    <cellStyle name="Normal 2 13" xfId="13"/>
    <cellStyle name="Normal 2 14" xfId="47"/>
    <cellStyle name="Normal 2 2" xfId="14"/>
    <cellStyle name="Normal 2 3" xfId="15"/>
    <cellStyle name="Normal 2 4" xfId="16"/>
    <cellStyle name="Normal 2 5" xfId="17"/>
    <cellStyle name="Normal 2 6" xfId="18"/>
    <cellStyle name="Normal 2 7" xfId="19"/>
    <cellStyle name="Normal 2 8" xfId="20"/>
    <cellStyle name="Normal 2 9" xfId="21"/>
    <cellStyle name="Normal 20" xfId="22"/>
    <cellStyle name="Normal 21" xfId="23"/>
    <cellStyle name="Normal 25" xfId="24"/>
    <cellStyle name="Normal 26" xfId="25"/>
    <cellStyle name="Normal 27" xfId="26"/>
    <cellStyle name="Normal 28" xfId="27"/>
    <cellStyle name="Normal 29" xfId="28"/>
    <cellStyle name="Normal 3" xfId="29"/>
    <cellStyle name="Normal 30" xfId="30"/>
    <cellStyle name="Normal 4" xfId="31"/>
    <cellStyle name="Normal 5" xfId="32"/>
    <cellStyle name="Normal 6" xfId="33"/>
    <cellStyle name="Normal 7" xfId="34"/>
    <cellStyle name="Normal 8" xfId="35"/>
    <cellStyle name="Normal 9" xfId="36"/>
    <cellStyle name="Porcentaje 2" xfId="48"/>
  </cellStyles>
  <dxfs count="79">
    <dxf>
      <font>
        <b/>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0" formatCode="General"/>
      <fill>
        <patternFill patternType="none">
          <bgColor auto="1"/>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9"/>
        <color theme="1"/>
        <name val="Arial"/>
        <scheme val="none"/>
      </font>
      <border diagonalUp="0" diagonalDown="0" outline="0">
        <left/>
        <right style="thin">
          <color auto="1"/>
        </right>
        <top style="thin">
          <color auto="1"/>
        </top>
        <bottom/>
      </border>
    </dxf>
    <dxf>
      <font>
        <b val="0"/>
        <i val="0"/>
        <strike val="0"/>
        <condense val="0"/>
        <extend val="0"/>
        <outline val="0"/>
        <shadow val="0"/>
        <u val="none"/>
        <vertAlign val="baseline"/>
        <sz val="9"/>
        <color theme="1"/>
        <name val="Arial"/>
        <scheme val="none"/>
      </font>
      <fill>
        <patternFill patternType="none">
          <bgColor auto="1"/>
        </patternFill>
      </fill>
      <border diagonalUp="0" diagonalDown="0" outline="0">
        <left/>
        <right/>
        <top style="thin">
          <color indexed="64"/>
        </top>
        <bottom style="thin">
          <color indexed="64"/>
        </bottom>
      </border>
    </dxf>
    <dxf>
      <border outline="0">
        <top style="thin">
          <color rgb="FF000000"/>
        </top>
      </border>
    </dxf>
    <dxf>
      <font>
        <b/>
        <i val="0"/>
        <strike val="0"/>
        <condense val="0"/>
        <extend val="0"/>
        <outline val="0"/>
        <shadow val="0"/>
        <u val="none"/>
        <vertAlign val="baseline"/>
        <sz val="9"/>
        <color rgb="FF000000"/>
        <name val="Arial"/>
        <scheme val="none"/>
      </font>
      <fill>
        <patternFill patternType="none">
          <bgColor auto="1"/>
        </patternFill>
      </fill>
      <border diagonalUp="0" diagonalDown="0" outline="0">
        <left style="thin">
          <color rgb="FF000000"/>
        </left>
        <right style="thin">
          <color rgb="FF000000"/>
        </right>
        <top/>
        <bottom/>
      </border>
    </dxf>
    <dxf>
      <border diagonalUp="0" diagonalDown="0">
        <left style="medium">
          <color indexed="64"/>
        </left>
        <right style="medium">
          <color indexed="64"/>
        </right>
        <top style="medium">
          <color indexed="64"/>
        </top>
        <bottom style="medium">
          <color indexed="64"/>
        </bottom>
      </border>
    </dxf>
    <dxf>
      <font>
        <b val="0"/>
        <strike val="0"/>
        <outline val="0"/>
        <shadow val="0"/>
        <u val="none"/>
        <vertAlign val="baseline"/>
        <sz val="9"/>
        <name val="Arial"/>
        <scheme val="none"/>
      </font>
      <fill>
        <patternFill patternType="none">
          <bgColor auto="1"/>
        </patternFill>
      </fill>
    </dxf>
    <dxf>
      <border outline="0">
        <bottom style="thin">
          <color rgb="FF000000"/>
        </bottom>
      </border>
    </dxf>
    <dxf>
      <font>
        <b/>
        <i val="0"/>
        <strike val="0"/>
        <condense val="0"/>
        <extend val="0"/>
        <outline val="0"/>
        <shadow val="0"/>
        <u val="none"/>
        <vertAlign val="baseline"/>
        <sz val="9"/>
        <color theme="1" tint="4.9989318521683403E-2"/>
        <name val="Arial"/>
        <scheme val="none"/>
      </font>
      <fill>
        <patternFill patternType="none">
          <bgColor auto="1"/>
        </patternFill>
      </fill>
      <alignment horizontal="center" vertical="center" textRotation="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9"/>
        <color theme="1" tint="4.9989318521683403E-2"/>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bottom style="thin">
          <color indexed="64"/>
        </bottom>
      </border>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9"/>
        <color theme="1" tint="4.9989318521683403E-2"/>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bottom style="thin">
          <color indexed="64"/>
        </bottom>
      </border>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75" formatCode="_(* #,##0_);_(* \(#,##0\);_(* &quot;-&quot;??_);_(@_)"/>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0" formatCode="General"/>
      <fill>
        <patternFill patternType="none">
          <bgColor auto="1"/>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9"/>
        <color theme="1"/>
        <name val="Arial"/>
        <scheme val="none"/>
      </font>
      <border diagonalUp="0" diagonalDown="0" outline="0">
        <left/>
        <right style="thin">
          <color auto="1"/>
        </right>
        <top style="thin">
          <color auto="1"/>
        </top>
        <bottom/>
      </border>
    </dxf>
    <dxf>
      <font>
        <b val="0"/>
        <i val="0"/>
        <strike val="0"/>
        <condense val="0"/>
        <extend val="0"/>
        <outline val="0"/>
        <shadow val="0"/>
        <u val="none"/>
        <vertAlign val="baseline"/>
        <sz val="9"/>
        <color theme="1"/>
        <name val="Arial"/>
        <scheme val="none"/>
      </font>
      <fill>
        <patternFill patternType="none">
          <bgColor auto="1"/>
        </patternFill>
      </fill>
      <border diagonalUp="0" diagonalDown="0" outline="0">
        <left/>
        <right/>
        <top style="thin">
          <color indexed="64"/>
        </top>
        <bottom style="thin">
          <color indexed="64"/>
        </bottom>
      </border>
    </dxf>
    <dxf>
      <border outline="0">
        <top style="thin">
          <color rgb="FF000000"/>
        </top>
      </border>
    </dxf>
    <dxf>
      <font>
        <b/>
        <i val="0"/>
        <strike val="0"/>
        <condense val="0"/>
        <extend val="0"/>
        <outline val="0"/>
        <shadow val="0"/>
        <u val="none"/>
        <vertAlign val="baseline"/>
        <sz val="9"/>
        <color rgb="FF000000"/>
        <name val="Arial"/>
        <scheme val="none"/>
      </font>
      <fill>
        <patternFill patternType="none">
          <bgColor auto="1"/>
        </patternFill>
      </fill>
      <border diagonalUp="0" diagonalDown="0" outline="0">
        <left style="thin">
          <color rgb="FF000000"/>
        </left>
        <right style="thin">
          <color rgb="FF000000"/>
        </right>
        <top/>
        <bottom/>
      </border>
    </dxf>
    <dxf>
      <border diagonalUp="0" diagonalDown="0">
        <left style="medium">
          <color indexed="64"/>
        </left>
        <right style="medium">
          <color indexed="64"/>
        </right>
        <top style="medium">
          <color indexed="64"/>
        </top>
        <bottom style="medium">
          <color indexed="64"/>
        </bottom>
      </border>
    </dxf>
    <dxf>
      <font>
        <b val="0"/>
        <strike val="0"/>
        <outline val="0"/>
        <shadow val="0"/>
        <u val="none"/>
        <vertAlign val="baseline"/>
        <sz val="9"/>
        <name val="Arial"/>
        <scheme val="none"/>
      </font>
      <fill>
        <patternFill patternType="none">
          <bgColor auto="1"/>
        </patternFill>
      </fill>
    </dxf>
    <dxf>
      <border outline="0">
        <bottom style="thin">
          <color rgb="FF000000"/>
        </bottom>
      </border>
    </dxf>
    <dxf>
      <font>
        <b/>
        <i val="0"/>
        <strike val="0"/>
        <condense val="0"/>
        <extend val="0"/>
        <outline val="0"/>
        <shadow val="0"/>
        <u val="none"/>
        <vertAlign val="baseline"/>
        <sz val="9"/>
        <color theme="1" tint="4.9989318521683403E-2"/>
        <name val="Arial"/>
        <scheme val="none"/>
      </font>
      <fill>
        <patternFill patternType="none">
          <bgColor auto="1"/>
        </patternFill>
      </fill>
      <alignment horizontal="center" vertical="center" textRotation="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scheme val="minor"/>
      </font>
      <numFmt numFmtId="168" formatCode="&quot;$&quot;\ #,##0"/>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66" formatCode="&quot;$&quot;\ #,##0.00;[Red]&quot;$&quot;\ #,##0.00"/>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0" formatCode="General"/>
      <fill>
        <patternFill patternType="none">
          <bgColor auto="1"/>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11"/>
        <color theme="1"/>
        <name val="Calibri"/>
        <scheme val="minor"/>
      </font>
      <numFmt numFmtId="168" formatCode="&quot;$&quot;\ #,##0"/>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168" formatCode="&quot;$&quot;\ #,##0"/>
      <fill>
        <patternFill patternType="none">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strike val="0"/>
        <outline val="0"/>
        <shadow val="0"/>
        <u val="none"/>
        <vertAlign val="baseline"/>
        <sz val="9"/>
        <name val="Arial"/>
        <scheme val="none"/>
      </font>
      <numFmt numFmtId="0" formatCode="General"/>
      <fill>
        <patternFill patternType="none">
          <bgColor auto="1"/>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1"/>
        <color theme="1"/>
        <name val="Calibri"/>
        <scheme val="minor"/>
      </font>
      <border diagonalUp="0" diagonalDown="0" outline="0">
        <left/>
        <right style="thin">
          <color auto="1"/>
        </right>
        <top style="thin">
          <color auto="1"/>
        </top>
        <bottom/>
      </border>
    </dxf>
    <dxf>
      <font>
        <b val="0"/>
        <i val="0"/>
        <strike val="0"/>
        <condense val="0"/>
        <extend val="0"/>
        <outline val="0"/>
        <shadow val="0"/>
        <u val="none"/>
        <vertAlign val="baseline"/>
        <sz val="9"/>
        <color theme="1"/>
        <name val="Arial"/>
        <scheme val="none"/>
      </font>
      <fill>
        <patternFill patternType="none">
          <bgColor auto="1"/>
        </patternFill>
      </fill>
      <border diagonalUp="0" diagonalDown="0" outline="0">
        <left/>
        <right/>
        <top style="thin">
          <color indexed="64"/>
        </top>
        <bottom style="thin">
          <color indexed="64"/>
        </bottom>
      </border>
    </dxf>
    <dxf>
      <border outline="0">
        <top style="thin">
          <color rgb="FF000000"/>
        </top>
      </border>
    </dxf>
    <dxf>
      <font>
        <b/>
        <i val="0"/>
        <strike val="0"/>
        <condense val="0"/>
        <extend val="0"/>
        <outline val="0"/>
        <shadow val="0"/>
        <u val="none"/>
        <vertAlign val="baseline"/>
        <sz val="11"/>
        <color rgb="FF000000"/>
        <name val="Calibri"/>
        <scheme val="none"/>
      </font>
      <fill>
        <patternFill patternType="none">
          <bgColor auto="1"/>
        </patternFill>
      </fill>
      <border diagonalUp="0" diagonalDown="0" outline="0">
        <left style="thin">
          <color rgb="FF000000"/>
        </left>
        <right style="thin">
          <color rgb="FF000000"/>
        </right>
        <top/>
        <bottom/>
      </border>
    </dxf>
    <dxf>
      <border diagonalUp="0" diagonalDown="0">
        <left style="medium">
          <color indexed="64"/>
        </left>
        <right style="medium">
          <color indexed="64"/>
        </right>
        <top style="medium">
          <color indexed="64"/>
        </top>
        <bottom style="medium">
          <color indexed="64"/>
        </bottom>
      </border>
    </dxf>
    <dxf>
      <font>
        <b val="0"/>
        <strike val="0"/>
        <outline val="0"/>
        <shadow val="0"/>
        <u val="none"/>
        <vertAlign val="baseline"/>
        <sz val="9"/>
        <name val="Arial"/>
        <scheme val="none"/>
      </font>
      <fill>
        <patternFill patternType="none">
          <bgColor auto="1"/>
        </patternFill>
      </fill>
    </dxf>
    <dxf>
      <border outline="0">
        <bottom style="thin">
          <color rgb="FF000000"/>
        </bottom>
      </border>
    </dxf>
    <dxf>
      <font>
        <b/>
        <i val="0"/>
        <strike val="0"/>
        <condense val="0"/>
        <extend val="0"/>
        <outline val="0"/>
        <shadow val="0"/>
        <u val="none"/>
        <vertAlign val="baseline"/>
        <sz val="9"/>
        <color theme="1" tint="4.9989318521683403E-2"/>
        <name val="Arial"/>
        <scheme val="none"/>
      </font>
      <fill>
        <patternFill patternType="none">
          <bgColor auto="1"/>
        </patternFill>
      </fill>
      <alignment horizontal="center" vertical="center" textRotation="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scheme val="minor"/>
      </font>
      <numFmt numFmtId="167" formatCode="#,##0.00;[Red]#,##0.0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9"/>
        <name val="Arial"/>
        <scheme val="none"/>
      </font>
      <numFmt numFmtId="166" formatCode="&quot;$&quot;\ #,##0.00;[Red]&quot;$&quot;\ #,##0.0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Calibri"/>
        <scheme val="minor"/>
      </font>
      <numFmt numFmtId="167" formatCode="#,##0.00;[Red]#,##0.0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9"/>
        <name val="Arial"/>
        <scheme val="none"/>
      </font>
      <numFmt numFmtId="167" formatCode="#,##0.00;[Red]#,##0.00"/>
      <border diagonalUp="0" diagonalDown="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Calibri"/>
        <scheme val="minor"/>
      </font>
      <numFmt numFmtId="167" formatCode="#,##0.00;[Red]#,##0.0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b/>
        <i val="0"/>
        <strike val="0"/>
        <condense val="0"/>
        <extend val="0"/>
        <outline val="0"/>
        <shadow val="0"/>
        <u val="none"/>
        <vertAlign val="baseline"/>
        <sz val="11"/>
        <color theme="1"/>
        <name val="Calibri"/>
        <scheme val="minor"/>
      </font>
      <numFmt numFmtId="167" formatCode="#,##0.00;[Red]#,##0.0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9"/>
        <name val="Arial"/>
        <scheme val="none"/>
      </font>
      <numFmt numFmtId="167" formatCode="#,##0.00;[Red]#,##0.0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Calibri"/>
        <scheme val="minor"/>
      </font>
      <numFmt numFmtId="167" formatCode="#,##0.00;[Red]#,##0.0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9"/>
        <name val="Arial"/>
        <scheme val="none"/>
      </font>
      <numFmt numFmtId="167" formatCode="#,##0.00;[Red]#,##0.0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Calibri"/>
        <scheme val="minor"/>
      </font>
      <numFmt numFmtId="167" formatCode="#,##0.00;[Red]#,##0.0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9"/>
        <name val="Arial"/>
        <scheme val="none"/>
      </font>
      <numFmt numFmtId="167" formatCode="#,##0.00;[Red]#,##0.00"/>
      <border diagonalUp="0" diagonalDown="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Calibri"/>
        <scheme val="minor"/>
      </font>
      <numFmt numFmtId="171" formatCode="#,##0;[Red]#,##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9"/>
        <name val="Arial"/>
        <scheme val="none"/>
      </font>
      <numFmt numFmtId="176" formatCode="0.00;[Red]0.00"/>
      <border diagonalUp="0" diagonalDown="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Calibri"/>
        <scheme val="minor"/>
      </font>
      <numFmt numFmtId="171" formatCode="#,##0;[Red]#,##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numFmt numFmtId="170" formatCode="_-&quot;$&quot;\ * #,##0.00_-;\-&quot;$&quot;\ * #,##0.00_-;_-&quot;$&quot;\ * &quot;-&quot;_-;_-@_-"/>
      <fill>
        <patternFill patternType="none">
          <fgColor indexed="64"/>
          <bgColor indexed="65"/>
        </patternFill>
      </fill>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9"/>
        <color theme="1"/>
        <name val="Arial"/>
        <scheme val="none"/>
      </font>
      <numFmt numFmtId="170" formatCode="_-&quot;$&quot;\ * #,##0.00_-;\-&quot;$&quot;\ * #,##0.00_-;_-&quot;$&quot;\ * &quot;-&quot;_-;_-@_-"/>
      <fill>
        <patternFill patternType="none">
          <fgColor indexed="64"/>
          <bgColor auto="1"/>
        </patternFill>
      </fill>
      <border diagonalUp="0" diagonalDown="0" outline="0">
        <left style="thin">
          <color indexed="64"/>
        </left>
        <right style="thin">
          <color auto="1"/>
        </right>
        <top style="thin">
          <color indexed="64"/>
        </top>
        <bottom style="thin">
          <color indexed="64"/>
        </bottom>
      </border>
    </dxf>
    <dxf>
      <font>
        <b/>
        <i val="0"/>
        <strike val="0"/>
        <condense val="0"/>
        <extend val="0"/>
        <outline val="0"/>
        <shadow val="0"/>
        <u val="none"/>
        <vertAlign val="baseline"/>
        <sz val="11"/>
        <color theme="1"/>
        <name val="Calibri"/>
        <scheme val="minor"/>
      </font>
      <numFmt numFmtId="170"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font>
        <b/>
        <i val="0"/>
        <strike val="0"/>
        <condense val="0"/>
        <extend val="0"/>
        <outline val="0"/>
        <shadow val="0"/>
        <u val="none"/>
        <vertAlign val="baseline"/>
        <sz val="11"/>
        <color theme="1"/>
        <name val="Calibri"/>
        <scheme val="minor"/>
      </font>
      <numFmt numFmtId="170" formatCode="_-&quot;$&quot;\ * #,##0.00_-;\-&quot;$&quot;\ * #,##0.00_-;_-&quot;$&quot;\ * &quot;-&quot;_-;_-@_-"/>
      <fill>
        <patternFill patternType="none">
          <fgColor indexed="64"/>
          <bgColor auto="1"/>
        </patternFill>
      </fill>
      <border diagonalUp="0" diagonalDown="0" outline="0">
        <left style="thin">
          <color indexed="64"/>
        </left>
        <right style="thin">
          <color indexed="64"/>
        </right>
        <top/>
        <bottom/>
      </border>
    </dxf>
    <dxf>
      <border outline="0">
        <left style="thin">
          <color indexed="64"/>
        </left>
        <right style="thin">
          <color indexed="64"/>
        </right>
        <top style="thin">
          <color indexed="64"/>
        </top>
        <bottom style="thin">
          <color indexed="64"/>
        </bottom>
      </border>
    </dxf>
    <dxf>
      <font>
        <b val="0"/>
        <strike val="0"/>
        <outline val="0"/>
        <shadow val="0"/>
        <u val="none"/>
        <vertAlign val="baseline"/>
        <sz val="9"/>
        <name val="Arial"/>
        <scheme val="none"/>
      </font>
      <numFmt numFmtId="170" formatCode="_-&quot;$&quot;\ * #,##0.00_-;\-&quot;$&quot;\ * #,##0.00_-;_-&quot;$&quot;\ * &quot;-&quot;_-;_-@_-"/>
      <fill>
        <patternFill patternType="none">
          <fgColor indexed="64"/>
          <bgColor auto="1"/>
        </patternFill>
      </fill>
    </dxf>
    <dxf>
      <border outline="0">
        <bottom style="thin">
          <color indexed="64"/>
        </bottom>
      </border>
    </dxf>
    <dxf>
      <font>
        <b/>
        <i val="0"/>
        <strike val="0"/>
        <condense val="0"/>
        <extend val="0"/>
        <outline val="0"/>
        <shadow val="0"/>
        <u val="none"/>
        <vertAlign val="baseline"/>
        <sz val="9"/>
        <color auto="1"/>
        <name val="Arial"/>
        <scheme val="none"/>
      </font>
      <numFmt numFmtId="170" formatCode="_-&quot;$&quot;\ * #,##0.00_-;\-&quot;$&quot;\ * #,##0.00_-;_-&quot;$&quot;\ * &quot;-&quot;_-;_-@_-"/>
      <fill>
        <patternFill patternType="none">
          <fgColor indexed="64"/>
          <bgColor auto="1"/>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externalLink" Target="externalLinks/externalLink15.xml"/><Relationship Id="rId21" Type="http://schemas.openxmlformats.org/officeDocument/2006/relationships/worksheet" Target="worksheets/sheet21.xml"/><Relationship Id="rId34" Type="http://schemas.openxmlformats.org/officeDocument/2006/relationships/externalLink" Target="externalLinks/externalLink10.xml"/><Relationship Id="rId42" Type="http://schemas.openxmlformats.org/officeDocument/2006/relationships/externalLink" Target="externalLinks/externalLink18.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externalLink" Target="externalLinks/externalLink13.xml"/><Relationship Id="rId40" Type="http://schemas.openxmlformats.org/officeDocument/2006/relationships/externalLink" Target="externalLinks/externalLink16.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4" Type="http://schemas.openxmlformats.org/officeDocument/2006/relationships/externalLink" Target="externalLinks/externalLink2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43" Type="http://schemas.openxmlformats.org/officeDocument/2006/relationships/externalLink" Target="externalLinks/externalLink19.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externalLink" Target="externalLinks/externalLink14.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2124075</xdr:colOff>
      <xdr:row>0</xdr:row>
      <xdr:rowOff>38100</xdr:rowOff>
    </xdr:from>
    <xdr:to>
      <xdr:col>1</xdr:col>
      <xdr:colOff>419100</xdr:colOff>
      <xdr:row>4</xdr:row>
      <xdr:rowOff>9525</xdr:rowOff>
    </xdr:to>
    <xdr:pic>
      <xdr:nvPicPr>
        <xdr:cNvPr id="7" name="Imagen 6" descr="SAMPUÉS SUCRE: DATOS GENERALES">
          <a:extLst>
            <a:ext uri="{FF2B5EF4-FFF2-40B4-BE49-F238E27FC236}">
              <a16:creationId xmlns:a16="http://schemas.microsoft.com/office/drawing/2014/main" xmlns="" id="{00000000-0008-0000-0000-000007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24075" y="38100"/>
          <a:ext cx="590550" cy="733425"/>
        </a:xfrm>
        <a:prstGeom prst="rect">
          <a:avLst/>
        </a:prstGeom>
        <a:noFill/>
        <a:ln>
          <a:noFill/>
        </a:ln>
      </xdr:spPr>
    </xdr:pic>
    <xdr:clientData/>
  </xdr:twoCellAnchor>
  <xdr:twoCellAnchor editAs="oneCell">
    <xdr:from>
      <xdr:col>5</xdr:col>
      <xdr:colOff>762001</xdr:colOff>
      <xdr:row>1</xdr:row>
      <xdr:rowOff>0</xdr:rowOff>
    </xdr:from>
    <xdr:to>
      <xdr:col>7</xdr:col>
      <xdr:colOff>142875</xdr:colOff>
      <xdr:row>3</xdr:row>
      <xdr:rowOff>155575</xdr:rowOff>
    </xdr:to>
    <xdr:pic>
      <xdr:nvPicPr>
        <xdr:cNvPr id="8" name="Imagen 7" descr="Alcaldia de Sampués (@alcaldiasam2020) / Twitter">
          <a:extLst>
            <a:ext uri="{FF2B5EF4-FFF2-40B4-BE49-F238E27FC236}">
              <a16:creationId xmlns:a16="http://schemas.microsoft.com/office/drawing/2014/main" xmlns="" id="{00000000-0008-0000-0000-000008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829426" y="19050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1304925</xdr:colOff>
      <xdr:row>0</xdr:row>
      <xdr:rowOff>57150</xdr:rowOff>
    </xdr:from>
    <xdr:to>
      <xdr:col>1</xdr:col>
      <xdr:colOff>495300</xdr:colOff>
      <xdr:row>3</xdr:row>
      <xdr:rowOff>133350</xdr:rowOff>
    </xdr:to>
    <xdr:pic>
      <xdr:nvPicPr>
        <xdr:cNvPr id="2" name="Imagen 1" descr="SAMPUÉS SUCRE: DATOS GENERALES">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57150"/>
          <a:ext cx="590550" cy="676275"/>
        </a:xfrm>
        <a:prstGeom prst="rect">
          <a:avLst/>
        </a:prstGeom>
        <a:noFill/>
        <a:ln>
          <a:noFill/>
        </a:ln>
      </xdr:spPr>
    </xdr:pic>
    <xdr:clientData/>
  </xdr:twoCellAnchor>
  <xdr:twoCellAnchor editAs="oneCell">
    <xdr:from>
      <xdr:col>3</xdr:col>
      <xdr:colOff>1476376</xdr:colOff>
      <xdr:row>0</xdr:row>
      <xdr:rowOff>142875</xdr:rowOff>
    </xdr:from>
    <xdr:to>
      <xdr:col>5</xdr:col>
      <xdr:colOff>228600</xdr:colOff>
      <xdr:row>3</xdr:row>
      <xdr:rowOff>41275</xdr:rowOff>
    </xdr:to>
    <xdr:pic>
      <xdr:nvPicPr>
        <xdr:cNvPr id="3" name="Imagen 2" descr="Alcaldia de Sampués (@alcaldiasam2020) / Twitter">
          <a:extLst>
            <a:ext uri="{FF2B5EF4-FFF2-40B4-BE49-F238E27FC236}">
              <a16:creationId xmlns:a16="http://schemas.microsoft.com/office/drawing/2014/main" xmlns="" id="{00000000-0008-0000-0100-000003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886576" y="142875"/>
          <a:ext cx="1238249" cy="4984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1295400</xdr:colOff>
      <xdr:row>0</xdr:row>
      <xdr:rowOff>47625</xdr:rowOff>
    </xdr:from>
    <xdr:to>
      <xdr:col>1</xdr:col>
      <xdr:colOff>485775</xdr:colOff>
      <xdr:row>3</xdr:row>
      <xdr:rowOff>152400</xdr:rowOff>
    </xdr:to>
    <xdr:pic>
      <xdr:nvPicPr>
        <xdr:cNvPr id="8" name="Imagen 7" descr="SAMPUÉS SUCRE: DATOS GENERALES">
          <a:extLst>
            <a:ext uri="{FF2B5EF4-FFF2-40B4-BE49-F238E27FC236}">
              <a16:creationId xmlns:a16="http://schemas.microsoft.com/office/drawing/2014/main" xmlns="" id="{00000000-0008-0000-0200-000008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5400" y="47625"/>
          <a:ext cx="590550" cy="704850"/>
        </a:xfrm>
        <a:prstGeom prst="rect">
          <a:avLst/>
        </a:prstGeom>
        <a:noFill/>
        <a:ln>
          <a:noFill/>
        </a:ln>
      </xdr:spPr>
    </xdr:pic>
    <xdr:clientData/>
  </xdr:twoCellAnchor>
  <xdr:twoCellAnchor editAs="oneCell">
    <xdr:from>
      <xdr:col>3</xdr:col>
      <xdr:colOff>1457326</xdr:colOff>
      <xdr:row>0</xdr:row>
      <xdr:rowOff>104775</xdr:rowOff>
    </xdr:from>
    <xdr:to>
      <xdr:col>5</xdr:col>
      <xdr:colOff>257175</xdr:colOff>
      <xdr:row>3</xdr:row>
      <xdr:rowOff>31750</xdr:rowOff>
    </xdr:to>
    <xdr:pic>
      <xdr:nvPicPr>
        <xdr:cNvPr id="9" name="Imagen 8" descr="Alcaldia de Sampués (@alcaldiasam2020) / Twitter">
          <a:extLst>
            <a:ext uri="{FF2B5EF4-FFF2-40B4-BE49-F238E27FC236}">
              <a16:creationId xmlns:a16="http://schemas.microsoft.com/office/drawing/2014/main" xmlns="" id="{00000000-0008-0000-0200-000009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867526" y="104775"/>
          <a:ext cx="1238249" cy="5270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1238250</xdr:colOff>
      <xdr:row>0</xdr:row>
      <xdr:rowOff>66675</xdr:rowOff>
    </xdr:from>
    <xdr:to>
      <xdr:col>1</xdr:col>
      <xdr:colOff>428625</xdr:colOff>
      <xdr:row>3</xdr:row>
      <xdr:rowOff>171450</xdr:rowOff>
    </xdr:to>
    <xdr:pic>
      <xdr:nvPicPr>
        <xdr:cNvPr id="4" name="Imagen 3" descr="SAMPUÉS SUCRE: DATOS GENERALES">
          <a:extLst>
            <a:ext uri="{FF2B5EF4-FFF2-40B4-BE49-F238E27FC236}">
              <a16:creationId xmlns:a16="http://schemas.microsoft.com/office/drawing/2014/main" xmlns="" id="{00000000-0008-0000-03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0" y="66675"/>
          <a:ext cx="590550" cy="704850"/>
        </a:xfrm>
        <a:prstGeom prst="rect">
          <a:avLst/>
        </a:prstGeom>
        <a:noFill/>
        <a:ln>
          <a:noFill/>
        </a:ln>
      </xdr:spPr>
    </xdr:pic>
    <xdr:clientData/>
  </xdr:twoCellAnchor>
  <xdr:twoCellAnchor editAs="oneCell">
    <xdr:from>
      <xdr:col>4</xdr:col>
      <xdr:colOff>1</xdr:colOff>
      <xdr:row>0</xdr:row>
      <xdr:rowOff>95250</xdr:rowOff>
    </xdr:from>
    <xdr:to>
      <xdr:col>5</xdr:col>
      <xdr:colOff>409575</xdr:colOff>
      <xdr:row>3</xdr:row>
      <xdr:rowOff>22225</xdr:rowOff>
    </xdr:to>
    <xdr:pic>
      <xdr:nvPicPr>
        <xdr:cNvPr id="5" name="Imagen 4" descr="Alcaldia de Sampués (@alcaldiasam2020) / Twitter">
          <a:extLst>
            <a:ext uri="{FF2B5EF4-FFF2-40B4-BE49-F238E27FC236}">
              <a16:creationId xmlns:a16="http://schemas.microsoft.com/office/drawing/2014/main" xmlns="" id="{00000000-0008-0000-0300-000005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962776" y="95250"/>
          <a:ext cx="1238249" cy="5270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1357539</xdr:colOff>
      <xdr:row>0</xdr:row>
      <xdr:rowOff>64860</xdr:rowOff>
    </xdr:from>
    <xdr:to>
      <xdr:col>1</xdr:col>
      <xdr:colOff>547914</xdr:colOff>
      <xdr:row>3</xdr:row>
      <xdr:rowOff>162832</xdr:rowOff>
    </xdr:to>
    <xdr:pic>
      <xdr:nvPicPr>
        <xdr:cNvPr id="3" name="Imagen 2" descr="SAMPUÉS SUCRE: DATOS GENERALES">
          <a:extLst>
            <a:ext uri="{FF2B5EF4-FFF2-40B4-BE49-F238E27FC236}">
              <a16:creationId xmlns:a16="http://schemas.microsoft.com/office/drawing/2014/main" xmlns="" id="{00000000-0008-0000-04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7539" y="64860"/>
          <a:ext cx="590550" cy="698047"/>
        </a:xfrm>
        <a:prstGeom prst="rect">
          <a:avLst/>
        </a:prstGeom>
        <a:noFill/>
        <a:ln>
          <a:noFill/>
        </a:ln>
      </xdr:spPr>
    </xdr:pic>
    <xdr:clientData/>
  </xdr:twoCellAnchor>
  <xdr:twoCellAnchor editAs="oneCell">
    <xdr:from>
      <xdr:col>4</xdr:col>
      <xdr:colOff>55336</xdr:colOff>
      <xdr:row>0</xdr:row>
      <xdr:rowOff>166914</xdr:rowOff>
    </xdr:from>
    <xdr:to>
      <xdr:col>5</xdr:col>
      <xdr:colOff>414564</xdr:colOff>
      <xdr:row>3</xdr:row>
      <xdr:rowOff>85272</xdr:rowOff>
    </xdr:to>
    <xdr:pic>
      <xdr:nvPicPr>
        <xdr:cNvPr id="4" name="Imagen 3" descr="Alcaldia de Sampués (@alcaldiasam2020) / Twitter">
          <a:extLst>
            <a:ext uri="{FF2B5EF4-FFF2-40B4-BE49-F238E27FC236}">
              <a16:creationId xmlns:a16="http://schemas.microsoft.com/office/drawing/2014/main" xmlns="" id="{00000000-0008-0000-0400-000004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7018111" y="166914"/>
          <a:ext cx="1245053" cy="51843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1357539</xdr:colOff>
      <xdr:row>0</xdr:row>
      <xdr:rowOff>64860</xdr:rowOff>
    </xdr:from>
    <xdr:to>
      <xdr:col>1</xdr:col>
      <xdr:colOff>547914</xdr:colOff>
      <xdr:row>3</xdr:row>
      <xdr:rowOff>162832</xdr:rowOff>
    </xdr:to>
    <xdr:pic>
      <xdr:nvPicPr>
        <xdr:cNvPr id="2" name="Imagen 1" descr="SAMPUÉS SUCRE: DATOS GENERALES">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7539" y="64860"/>
          <a:ext cx="590550" cy="698047"/>
        </a:xfrm>
        <a:prstGeom prst="rect">
          <a:avLst/>
        </a:prstGeom>
        <a:noFill/>
        <a:ln>
          <a:noFill/>
        </a:ln>
      </xdr:spPr>
    </xdr:pic>
    <xdr:clientData/>
  </xdr:twoCellAnchor>
  <xdr:twoCellAnchor editAs="oneCell">
    <xdr:from>
      <xdr:col>4</xdr:col>
      <xdr:colOff>55336</xdr:colOff>
      <xdr:row>0</xdr:row>
      <xdr:rowOff>166914</xdr:rowOff>
    </xdr:from>
    <xdr:to>
      <xdr:col>5</xdr:col>
      <xdr:colOff>414564</xdr:colOff>
      <xdr:row>3</xdr:row>
      <xdr:rowOff>85272</xdr:rowOff>
    </xdr:to>
    <xdr:pic>
      <xdr:nvPicPr>
        <xdr:cNvPr id="3" name="Imagen 2" descr="Alcaldia de Sampués (@alcaldiasam2020) / Twitter">
          <a:extLst>
            <a:ext uri="{FF2B5EF4-FFF2-40B4-BE49-F238E27FC236}">
              <a16:creationId xmlns:a16="http://schemas.microsoft.com/office/drawing/2014/main" xmlns="" id="{00000000-0008-0000-0500-000003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7018111" y="166914"/>
          <a:ext cx="1245053" cy="51843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1357539</xdr:colOff>
      <xdr:row>0</xdr:row>
      <xdr:rowOff>64860</xdr:rowOff>
    </xdr:from>
    <xdr:to>
      <xdr:col>1</xdr:col>
      <xdr:colOff>547914</xdr:colOff>
      <xdr:row>3</xdr:row>
      <xdr:rowOff>162832</xdr:rowOff>
    </xdr:to>
    <xdr:pic>
      <xdr:nvPicPr>
        <xdr:cNvPr id="2" name="Imagen 1" descr="SAMPUÉS SUCRE: DATOS GENERALES">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7539" y="64860"/>
          <a:ext cx="590550" cy="698047"/>
        </a:xfrm>
        <a:prstGeom prst="rect">
          <a:avLst/>
        </a:prstGeom>
        <a:noFill/>
        <a:ln>
          <a:noFill/>
        </a:ln>
      </xdr:spPr>
    </xdr:pic>
    <xdr:clientData/>
  </xdr:twoCellAnchor>
  <xdr:twoCellAnchor editAs="oneCell">
    <xdr:from>
      <xdr:col>4</xdr:col>
      <xdr:colOff>55336</xdr:colOff>
      <xdr:row>0</xdr:row>
      <xdr:rowOff>166914</xdr:rowOff>
    </xdr:from>
    <xdr:to>
      <xdr:col>5</xdr:col>
      <xdr:colOff>414564</xdr:colOff>
      <xdr:row>3</xdr:row>
      <xdr:rowOff>85272</xdr:rowOff>
    </xdr:to>
    <xdr:pic>
      <xdr:nvPicPr>
        <xdr:cNvPr id="3" name="Imagen 2" descr="Alcaldia de Sampués (@alcaldiasam2020) / Twitter">
          <a:extLst>
            <a:ext uri="{FF2B5EF4-FFF2-40B4-BE49-F238E27FC236}">
              <a16:creationId xmlns:a16="http://schemas.microsoft.com/office/drawing/2014/main" xmlns="" id="{00000000-0008-0000-0600-000003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7018111" y="166914"/>
          <a:ext cx="1245053" cy="51843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552450</xdr:colOff>
      <xdr:row>0</xdr:row>
      <xdr:rowOff>28575</xdr:rowOff>
    </xdr:from>
    <xdr:to>
      <xdr:col>2</xdr:col>
      <xdr:colOff>1143000</xdr:colOff>
      <xdr:row>4</xdr:row>
      <xdr:rowOff>0</xdr:rowOff>
    </xdr:to>
    <xdr:pic>
      <xdr:nvPicPr>
        <xdr:cNvPr id="6" name="Imagen 5" descr="SAMPUÉS SUCRE: DATOS GENERALES">
          <a:extLst>
            <a:ext uri="{FF2B5EF4-FFF2-40B4-BE49-F238E27FC236}">
              <a16:creationId xmlns:a16="http://schemas.microsoft.com/office/drawing/2014/main" xmlns="" id="{00000000-0008-0000-07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9850" y="28575"/>
          <a:ext cx="590550" cy="733425"/>
        </a:xfrm>
        <a:prstGeom prst="rect">
          <a:avLst/>
        </a:prstGeom>
        <a:noFill/>
        <a:ln>
          <a:noFill/>
        </a:ln>
      </xdr:spPr>
    </xdr:pic>
    <xdr:clientData/>
  </xdr:twoCellAnchor>
  <xdr:twoCellAnchor editAs="oneCell">
    <xdr:from>
      <xdr:col>4</xdr:col>
      <xdr:colOff>2085975</xdr:colOff>
      <xdr:row>1</xdr:row>
      <xdr:rowOff>19050</xdr:rowOff>
    </xdr:from>
    <xdr:to>
      <xdr:col>6</xdr:col>
      <xdr:colOff>314324</xdr:colOff>
      <xdr:row>3</xdr:row>
      <xdr:rowOff>174625</xdr:rowOff>
    </xdr:to>
    <xdr:pic>
      <xdr:nvPicPr>
        <xdr:cNvPr id="7" name="Imagen 6" descr="Alcaldia de Sampués (@alcaldiasam2020) / Twitter">
          <a:extLst>
            <a:ext uri="{FF2B5EF4-FFF2-40B4-BE49-F238E27FC236}">
              <a16:creationId xmlns:a16="http://schemas.microsoft.com/office/drawing/2014/main" xmlns="" id="{00000000-0008-0000-07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7448550" y="20955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1375833</xdr:colOff>
      <xdr:row>0</xdr:row>
      <xdr:rowOff>42332</xdr:rowOff>
    </xdr:from>
    <xdr:to>
      <xdr:col>4</xdr:col>
      <xdr:colOff>294216</xdr:colOff>
      <xdr:row>4</xdr:row>
      <xdr:rowOff>13757</xdr:rowOff>
    </xdr:to>
    <xdr:pic>
      <xdr:nvPicPr>
        <xdr:cNvPr id="6" name="Imagen 5" descr="SAMPUÉS SUCRE: DATOS GENERALES">
          <a:extLst>
            <a:ext uri="{FF2B5EF4-FFF2-40B4-BE49-F238E27FC236}">
              <a16:creationId xmlns:a16="http://schemas.microsoft.com/office/drawing/2014/main" xmlns="" id="{00000000-0008-0000-08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1583" y="42332"/>
          <a:ext cx="590550" cy="733425"/>
        </a:xfrm>
        <a:prstGeom prst="rect">
          <a:avLst/>
        </a:prstGeom>
        <a:noFill/>
        <a:ln>
          <a:noFill/>
        </a:ln>
      </xdr:spPr>
    </xdr:pic>
    <xdr:clientData/>
  </xdr:twoCellAnchor>
  <xdr:twoCellAnchor editAs="oneCell">
    <xdr:from>
      <xdr:col>7</xdr:col>
      <xdr:colOff>857250</xdr:colOff>
      <xdr:row>1</xdr:row>
      <xdr:rowOff>10584</xdr:rowOff>
    </xdr:from>
    <xdr:to>
      <xdr:col>8</xdr:col>
      <xdr:colOff>825499</xdr:colOff>
      <xdr:row>3</xdr:row>
      <xdr:rowOff>166159</xdr:rowOff>
    </xdr:to>
    <xdr:pic>
      <xdr:nvPicPr>
        <xdr:cNvPr id="7" name="Imagen 6" descr="Alcaldia de Sampués (@alcaldiasam2020) / Twitter">
          <a:extLst>
            <a:ext uri="{FF2B5EF4-FFF2-40B4-BE49-F238E27FC236}">
              <a16:creationId xmlns:a16="http://schemas.microsoft.com/office/drawing/2014/main" xmlns="" id="{00000000-0008-0000-08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10435167" y="201084"/>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1375833</xdr:colOff>
      <xdr:row>0</xdr:row>
      <xdr:rowOff>42332</xdr:rowOff>
    </xdr:from>
    <xdr:to>
      <xdr:col>4</xdr:col>
      <xdr:colOff>294216</xdr:colOff>
      <xdr:row>4</xdr:row>
      <xdr:rowOff>13757</xdr:rowOff>
    </xdr:to>
    <xdr:pic>
      <xdr:nvPicPr>
        <xdr:cNvPr id="2" name="Imagen 1" descr="SAMPUÉS SUCRE: DATOS GENERALES">
          <a:extLst>
            <a:ext uri="{FF2B5EF4-FFF2-40B4-BE49-F238E27FC236}">
              <a16:creationId xmlns:a16="http://schemas.microsoft.com/office/drawing/2014/main" xmlns="" id="{00000000-0008-0000-09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62058" y="42332"/>
          <a:ext cx="585258" cy="733425"/>
        </a:xfrm>
        <a:prstGeom prst="rect">
          <a:avLst/>
        </a:prstGeom>
        <a:noFill/>
        <a:ln>
          <a:noFill/>
        </a:ln>
      </xdr:spPr>
    </xdr:pic>
    <xdr:clientData/>
  </xdr:twoCellAnchor>
  <xdr:twoCellAnchor editAs="oneCell">
    <xdr:from>
      <xdr:col>7</xdr:col>
      <xdr:colOff>857250</xdr:colOff>
      <xdr:row>1</xdr:row>
      <xdr:rowOff>10584</xdr:rowOff>
    </xdr:from>
    <xdr:to>
      <xdr:col>8</xdr:col>
      <xdr:colOff>825499</xdr:colOff>
      <xdr:row>3</xdr:row>
      <xdr:rowOff>166159</xdr:rowOff>
    </xdr:to>
    <xdr:pic>
      <xdr:nvPicPr>
        <xdr:cNvPr id="3" name="Imagen 2" descr="Alcaldia de Sampués (@alcaldiasam2020) / Twitter">
          <a:extLst>
            <a:ext uri="{FF2B5EF4-FFF2-40B4-BE49-F238E27FC236}">
              <a16:creationId xmlns:a16="http://schemas.microsoft.com/office/drawing/2014/main" xmlns="" id="{00000000-0008-0000-0900-000003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10410825" y="201084"/>
          <a:ext cx="1235074"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285750</xdr:colOff>
      <xdr:row>0</xdr:row>
      <xdr:rowOff>38100</xdr:rowOff>
    </xdr:from>
    <xdr:to>
      <xdr:col>3</xdr:col>
      <xdr:colOff>876300</xdr:colOff>
      <xdr:row>4</xdr:row>
      <xdr:rowOff>9525</xdr:rowOff>
    </xdr:to>
    <xdr:pic>
      <xdr:nvPicPr>
        <xdr:cNvPr id="6" name="Imagen 5" descr="SAMPUÉS SUCRE: DATOS GENERALES">
          <a:extLst>
            <a:ext uri="{FF2B5EF4-FFF2-40B4-BE49-F238E27FC236}">
              <a16:creationId xmlns:a16="http://schemas.microsoft.com/office/drawing/2014/main" xmlns="" id="{00000000-0008-0000-0A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05350" y="38100"/>
          <a:ext cx="590550" cy="733425"/>
        </a:xfrm>
        <a:prstGeom prst="rect">
          <a:avLst/>
        </a:prstGeom>
        <a:noFill/>
        <a:ln>
          <a:noFill/>
        </a:ln>
      </xdr:spPr>
    </xdr:pic>
    <xdr:clientData/>
  </xdr:twoCellAnchor>
  <xdr:twoCellAnchor editAs="oneCell">
    <xdr:from>
      <xdr:col>8</xdr:col>
      <xdr:colOff>733425</xdr:colOff>
      <xdr:row>0</xdr:row>
      <xdr:rowOff>171450</xdr:rowOff>
    </xdr:from>
    <xdr:to>
      <xdr:col>9</xdr:col>
      <xdr:colOff>1171574</xdr:colOff>
      <xdr:row>3</xdr:row>
      <xdr:rowOff>136525</xdr:rowOff>
    </xdr:to>
    <xdr:pic>
      <xdr:nvPicPr>
        <xdr:cNvPr id="7" name="Imagen 6" descr="Alcaldia de Sampués (@alcaldiasam2020) / Twitter">
          <a:extLst>
            <a:ext uri="{FF2B5EF4-FFF2-40B4-BE49-F238E27FC236}">
              <a16:creationId xmlns:a16="http://schemas.microsoft.com/office/drawing/2014/main" xmlns="" id="{00000000-0008-0000-0A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8277225" y="17145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572823</xdr:colOff>
      <xdr:row>0</xdr:row>
      <xdr:rowOff>149488</xdr:rowOff>
    </xdr:from>
    <xdr:to>
      <xdr:col>4</xdr:col>
      <xdr:colOff>1160728</xdr:colOff>
      <xdr:row>4</xdr:row>
      <xdr:rowOff>120913</xdr:rowOff>
    </xdr:to>
    <xdr:pic>
      <xdr:nvPicPr>
        <xdr:cNvPr id="6" name="Imagen 5" descr="SAMPUÉS SUCRE: DATOS GENERALES">
          <a:extLst>
            <a:ext uri="{FF2B5EF4-FFF2-40B4-BE49-F238E27FC236}">
              <a16:creationId xmlns:a16="http://schemas.microsoft.com/office/drawing/2014/main" xmlns="" id="{00000000-0008-0000-0B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0448" y="149488"/>
          <a:ext cx="587905" cy="733425"/>
        </a:xfrm>
        <a:prstGeom prst="rect">
          <a:avLst/>
        </a:prstGeom>
        <a:noFill/>
        <a:ln>
          <a:noFill/>
        </a:ln>
      </xdr:spPr>
    </xdr:pic>
    <xdr:clientData/>
  </xdr:twoCellAnchor>
  <xdr:twoCellAnchor editAs="oneCell">
    <xdr:from>
      <xdr:col>11</xdr:col>
      <xdr:colOff>194469</xdr:colOff>
      <xdr:row>0</xdr:row>
      <xdr:rowOff>152135</xdr:rowOff>
    </xdr:from>
    <xdr:to>
      <xdr:col>13</xdr:col>
      <xdr:colOff>273844</xdr:colOff>
      <xdr:row>3</xdr:row>
      <xdr:rowOff>117210</xdr:rowOff>
    </xdr:to>
    <xdr:pic>
      <xdr:nvPicPr>
        <xdr:cNvPr id="7" name="Imagen 6" descr="Alcaldia de Sampués (@alcaldiasam2020) / Twitter">
          <a:extLst>
            <a:ext uri="{FF2B5EF4-FFF2-40B4-BE49-F238E27FC236}">
              <a16:creationId xmlns:a16="http://schemas.microsoft.com/office/drawing/2014/main" xmlns="" id="{00000000-0008-0000-0B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9981407" y="152135"/>
          <a:ext cx="1246187"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1343025</xdr:colOff>
      <xdr:row>0</xdr:row>
      <xdr:rowOff>38100</xdr:rowOff>
    </xdr:from>
    <xdr:to>
      <xdr:col>0</xdr:col>
      <xdr:colOff>1933575</xdr:colOff>
      <xdr:row>4</xdr:row>
      <xdr:rowOff>9525</xdr:rowOff>
    </xdr:to>
    <xdr:pic>
      <xdr:nvPicPr>
        <xdr:cNvPr id="6" name="Imagen 5" descr="SAMPUÉS SUCRE: DATOS GENERALES">
          <a:extLst>
            <a:ext uri="{FF2B5EF4-FFF2-40B4-BE49-F238E27FC236}">
              <a16:creationId xmlns:a16="http://schemas.microsoft.com/office/drawing/2014/main" xmlns="" id="{00000000-0008-0000-0C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3025" y="38100"/>
          <a:ext cx="590550" cy="733425"/>
        </a:xfrm>
        <a:prstGeom prst="rect">
          <a:avLst/>
        </a:prstGeom>
        <a:noFill/>
        <a:ln>
          <a:noFill/>
        </a:ln>
      </xdr:spPr>
    </xdr:pic>
    <xdr:clientData/>
  </xdr:twoCellAnchor>
  <xdr:twoCellAnchor editAs="oneCell">
    <xdr:from>
      <xdr:col>2</xdr:col>
      <xdr:colOff>657225</xdr:colOff>
      <xdr:row>1</xdr:row>
      <xdr:rowOff>19050</xdr:rowOff>
    </xdr:from>
    <xdr:to>
      <xdr:col>2</xdr:col>
      <xdr:colOff>1895474</xdr:colOff>
      <xdr:row>3</xdr:row>
      <xdr:rowOff>174625</xdr:rowOff>
    </xdr:to>
    <xdr:pic>
      <xdr:nvPicPr>
        <xdr:cNvPr id="7" name="Imagen 6" descr="Alcaldia de Sampués (@alcaldiasam2020) / Twitter">
          <a:extLst>
            <a:ext uri="{FF2B5EF4-FFF2-40B4-BE49-F238E27FC236}">
              <a16:creationId xmlns:a16="http://schemas.microsoft.com/office/drawing/2014/main" xmlns="" id="{00000000-0008-0000-0C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229350" y="20955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133350</xdr:colOff>
      <xdr:row>0</xdr:row>
      <xdr:rowOff>38100</xdr:rowOff>
    </xdr:from>
    <xdr:to>
      <xdr:col>2</xdr:col>
      <xdr:colOff>723900</xdr:colOff>
      <xdr:row>4</xdr:row>
      <xdr:rowOff>9525</xdr:rowOff>
    </xdr:to>
    <xdr:pic>
      <xdr:nvPicPr>
        <xdr:cNvPr id="6" name="Imagen 5" descr="SAMPUÉS SUCRE: DATOS GENERALES">
          <a:extLst>
            <a:ext uri="{FF2B5EF4-FFF2-40B4-BE49-F238E27FC236}">
              <a16:creationId xmlns:a16="http://schemas.microsoft.com/office/drawing/2014/main" xmlns="" id="{00000000-0008-0000-0D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71725" y="38100"/>
          <a:ext cx="590550" cy="733425"/>
        </a:xfrm>
        <a:prstGeom prst="rect">
          <a:avLst/>
        </a:prstGeom>
        <a:noFill/>
        <a:ln>
          <a:noFill/>
        </a:ln>
      </xdr:spPr>
    </xdr:pic>
    <xdr:clientData/>
  </xdr:twoCellAnchor>
  <xdr:twoCellAnchor editAs="oneCell">
    <xdr:from>
      <xdr:col>6</xdr:col>
      <xdr:colOff>647700</xdr:colOff>
      <xdr:row>1</xdr:row>
      <xdr:rowOff>19050</xdr:rowOff>
    </xdr:from>
    <xdr:to>
      <xdr:col>7</xdr:col>
      <xdr:colOff>809624</xdr:colOff>
      <xdr:row>3</xdr:row>
      <xdr:rowOff>174625</xdr:rowOff>
    </xdr:to>
    <xdr:pic>
      <xdr:nvPicPr>
        <xdr:cNvPr id="7" name="Imagen 6" descr="Alcaldia de Sampués (@alcaldiasam2020) / Twitter">
          <a:extLst>
            <a:ext uri="{FF2B5EF4-FFF2-40B4-BE49-F238E27FC236}">
              <a16:creationId xmlns:a16="http://schemas.microsoft.com/office/drawing/2014/main" xmlns="" id="{00000000-0008-0000-0D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7324725" y="20955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624052</xdr:colOff>
      <xdr:row>0</xdr:row>
      <xdr:rowOff>43792</xdr:rowOff>
    </xdr:from>
    <xdr:to>
      <xdr:col>0</xdr:col>
      <xdr:colOff>1214602</xdr:colOff>
      <xdr:row>4</xdr:row>
      <xdr:rowOff>32734</xdr:rowOff>
    </xdr:to>
    <xdr:pic>
      <xdr:nvPicPr>
        <xdr:cNvPr id="6" name="Imagen 5" descr="SAMPUÉS SUCRE: DATOS GENERALES">
          <a:extLst>
            <a:ext uri="{FF2B5EF4-FFF2-40B4-BE49-F238E27FC236}">
              <a16:creationId xmlns:a16="http://schemas.microsoft.com/office/drawing/2014/main" xmlns="" id="{00000000-0008-0000-0E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4052" y="43792"/>
          <a:ext cx="590550" cy="733425"/>
        </a:xfrm>
        <a:prstGeom prst="rect">
          <a:avLst/>
        </a:prstGeom>
        <a:noFill/>
        <a:ln>
          <a:noFill/>
        </a:ln>
      </xdr:spPr>
    </xdr:pic>
    <xdr:clientData/>
  </xdr:twoCellAnchor>
  <xdr:twoCellAnchor editAs="oneCell">
    <xdr:from>
      <xdr:col>4</xdr:col>
      <xdr:colOff>208016</xdr:colOff>
      <xdr:row>0</xdr:row>
      <xdr:rowOff>153276</xdr:rowOff>
    </xdr:from>
    <xdr:to>
      <xdr:col>4</xdr:col>
      <xdr:colOff>1446265</xdr:colOff>
      <xdr:row>3</xdr:row>
      <xdr:rowOff>131489</xdr:rowOff>
    </xdr:to>
    <xdr:pic>
      <xdr:nvPicPr>
        <xdr:cNvPr id="7" name="Imagen 6" descr="Alcaldia de Sampués (@alcaldiasam2020) / Twitter">
          <a:extLst>
            <a:ext uri="{FF2B5EF4-FFF2-40B4-BE49-F238E27FC236}">
              <a16:creationId xmlns:a16="http://schemas.microsoft.com/office/drawing/2014/main" xmlns="" id="{00000000-0008-0000-0E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131033" y="153276"/>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962025</xdr:colOff>
      <xdr:row>0</xdr:row>
      <xdr:rowOff>38100</xdr:rowOff>
    </xdr:from>
    <xdr:to>
      <xdr:col>0</xdr:col>
      <xdr:colOff>1552575</xdr:colOff>
      <xdr:row>4</xdr:row>
      <xdr:rowOff>9525</xdr:rowOff>
    </xdr:to>
    <xdr:pic>
      <xdr:nvPicPr>
        <xdr:cNvPr id="6" name="Imagen 5" descr="SAMPUÉS SUCRE: DATOS GENERALES">
          <a:extLst>
            <a:ext uri="{FF2B5EF4-FFF2-40B4-BE49-F238E27FC236}">
              <a16:creationId xmlns:a16="http://schemas.microsoft.com/office/drawing/2014/main" xmlns="" id="{00000000-0008-0000-0F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38100"/>
          <a:ext cx="590550" cy="733425"/>
        </a:xfrm>
        <a:prstGeom prst="rect">
          <a:avLst/>
        </a:prstGeom>
        <a:noFill/>
        <a:ln>
          <a:noFill/>
        </a:ln>
      </xdr:spPr>
    </xdr:pic>
    <xdr:clientData/>
  </xdr:twoCellAnchor>
  <xdr:twoCellAnchor editAs="oneCell">
    <xdr:from>
      <xdr:col>5</xdr:col>
      <xdr:colOff>209550</xdr:colOff>
      <xdr:row>1</xdr:row>
      <xdr:rowOff>19050</xdr:rowOff>
    </xdr:from>
    <xdr:to>
      <xdr:col>6</xdr:col>
      <xdr:colOff>838199</xdr:colOff>
      <xdr:row>3</xdr:row>
      <xdr:rowOff>174625</xdr:rowOff>
    </xdr:to>
    <xdr:pic>
      <xdr:nvPicPr>
        <xdr:cNvPr id="7" name="Imagen 6" descr="Alcaldia de Sampués (@alcaldiasam2020) / Twitter">
          <a:extLst>
            <a:ext uri="{FF2B5EF4-FFF2-40B4-BE49-F238E27FC236}">
              <a16:creationId xmlns:a16="http://schemas.microsoft.com/office/drawing/2014/main" xmlns="" id="{00000000-0008-0000-0F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5886450" y="20955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783828</xdr:colOff>
      <xdr:row>0</xdr:row>
      <xdr:rowOff>49610</xdr:rowOff>
    </xdr:from>
    <xdr:to>
      <xdr:col>0</xdr:col>
      <xdr:colOff>1374378</xdr:colOff>
      <xdr:row>4</xdr:row>
      <xdr:rowOff>28972</xdr:rowOff>
    </xdr:to>
    <xdr:pic>
      <xdr:nvPicPr>
        <xdr:cNvPr id="5" name="Imagen 4" descr="SAMPUÉS SUCRE: DATOS GENERALES">
          <a:extLst>
            <a:ext uri="{FF2B5EF4-FFF2-40B4-BE49-F238E27FC236}">
              <a16:creationId xmlns:a16="http://schemas.microsoft.com/office/drawing/2014/main" xmlns="" id="{00000000-0008-0000-1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3828" y="49610"/>
          <a:ext cx="590550" cy="733425"/>
        </a:xfrm>
        <a:prstGeom prst="rect">
          <a:avLst/>
        </a:prstGeom>
        <a:noFill/>
        <a:ln>
          <a:noFill/>
        </a:ln>
      </xdr:spPr>
    </xdr:pic>
    <xdr:clientData/>
  </xdr:twoCellAnchor>
  <xdr:twoCellAnchor editAs="oneCell">
    <xdr:from>
      <xdr:col>4</xdr:col>
      <xdr:colOff>1101328</xdr:colOff>
      <xdr:row>1</xdr:row>
      <xdr:rowOff>0</xdr:rowOff>
    </xdr:from>
    <xdr:to>
      <xdr:col>5</xdr:col>
      <xdr:colOff>1208483</xdr:colOff>
      <xdr:row>3</xdr:row>
      <xdr:rowOff>159544</xdr:rowOff>
    </xdr:to>
    <xdr:pic>
      <xdr:nvPicPr>
        <xdr:cNvPr id="7" name="Imagen 6" descr="Alcaldia de Sampués (@alcaldiasam2020) / Twitter">
          <a:extLst>
            <a:ext uri="{FF2B5EF4-FFF2-40B4-BE49-F238E27FC236}">
              <a16:creationId xmlns:a16="http://schemas.microsoft.com/office/drawing/2014/main" xmlns="" id="{00000000-0008-0000-10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5834062" y="188516"/>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1190625</xdr:colOff>
      <xdr:row>0</xdr:row>
      <xdr:rowOff>38100</xdr:rowOff>
    </xdr:from>
    <xdr:to>
      <xdr:col>0</xdr:col>
      <xdr:colOff>1781175</xdr:colOff>
      <xdr:row>4</xdr:row>
      <xdr:rowOff>9525</xdr:rowOff>
    </xdr:to>
    <xdr:pic>
      <xdr:nvPicPr>
        <xdr:cNvPr id="6" name="Imagen 5" descr="SAMPUÉS SUCRE: DATOS GENERALES">
          <a:extLst>
            <a:ext uri="{FF2B5EF4-FFF2-40B4-BE49-F238E27FC236}">
              <a16:creationId xmlns:a16="http://schemas.microsoft.com/office/drawing/2014/main" xmlns="" id="{00000000-0008-0000-11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0625" y="38100"/>
          <a:ext cx="590550" cy="733425"/>
        </a:xfrm>
        <a:prstGeom prst="rect">
          <a:avLst/>
        </a:prstGeom>
        <a:noFill/>
        <a:ln>
          <a:noFill/>
        </a:ln>
      </xdr:spPr>
    </xdr:pic>
    <xdr:clientData/>
  </xdr:twoCellAnchor>
  <xdr:twoCellAnchor editAs="oneCell">
    <xdr:from>
      <xdr:col>4</xdr:col>
      <xdr:colOff>190500</xdr:colOff>
      <xdr:row>1</xdr:row>
      <xdr:rowOff>19050</xdr:rowOff>
    </xdr:from>
    <xdr:to>
      <xdr:col>5</xdr:col>
      <xdr:colOff>828674</xdr:colOff>
      <xdr:row>3</xdr:row>
      <xdr:rowOff>174625</xdr:rowOff>
    </xdr:to>
    <xdr:pic>
      <xdr:nvPicPr>
        <xdr:cNvPr id="7" name="Imagen 6" descr="Alcaldia de Sampués (@alcaldiasam2020) / Twitter">
          <a:extLst>
            <a:ext uri="{FF2B5EF4-FFF2-40B4-BE49-F238E27FC236}">
              <a16:creationId xmlns:a16="http://schemas.microsoft.com/office/drawing/2014/main" xmlns="" id="{00000000-0008-0000-11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105525" y="20955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583407</xdr:colOff>
      <xdr:row>0</xdr:row>
      <xdr:rowOff>47625</xdr:rowOff>
    </xdr:from>
    <xdr:to>
      <xdr:col>0</xdr:col>
      <xdr:colOff>1173957</xdr:colOff>
      <xdr:row>4</xdr:row>
      <xdr:rowOff>19050</xdr:rowOff>
    </xdr:to>
    <xdr:pic>
      <xdr:nvPicPr>
        <xdr:cNvPr id="6" name="Imagen 5" descr="SAMPUÉS SUCRE: DATOS GENERALES">
          <a:extLst>
            <a:ext uri="{FF2B5EF4-FFF2-40B4-BE49-F238E27FC236}">
              <a16:creationId xmlns:a16="http://schemas.microsoft.com/office/drawing/2014/main" xmlns="" id="{00000000-0008-0000-12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407" y="47625"/>
          <a:ext cx="590550" cy="733425"/>
        </a:xfrm>
        <a:prstGeom prst="rect">
          <a:avLst/>
        </a:prstGeom>
        <a:noFill/>
        <a:ln>
          <a:noFill/>
        </a:ln>
      </xdr:spPr>
    </xdr:pic>
    <xdr:clientData/>
  </xdr:twoCellAnchor>
  <xdr:twoCellAnchor editAs="oneCell">
    <xdr:from>
      <xdr:col>1</xdr:col>
      <xdr:colOff>3155156</xdr:colOff>
      <xdr:row>1</xdr:row>
      <xdr:rowOff>11907</xdr:rowOff>
    </xdr:from>
    <xdr:to>
      <xdr:col>1</xdr:col>
      <xdr:colOff>4393405</xdr:colOff>
      <xdr:row>3</xdr:row>
      <xdr:rowOff>167482</xdr:rowOff>
    </xdr:to>
    <xdr:pic>
      <xdr:nvPicPr>
        <xdr:cNvPr id="7" name="Imagen 6" descr="Alcaldia de Sampués (@alcaldiasam2020) / Twitter">
          <a:extLst>
            <a:ext uri="{FF2B5EF4-FFF2-40B4-BE49-F238E27FC236}">
              <a16:creationId xmlns:a16="http://schemas.microsoft.com/office/drawing/2014/main" xmlns="" id="{00000000-0008-0000-12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453187" y="202407"/>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619125</xdr:colOff>
      <xdr:row>0</xdr:row>
      <xdr:rowOff>38100</xdr:rowOff>
    </xdr:from>
    <xdr:to>
      <xdr:col>0</xdr:col>
      <xdr:colOff>1209675</xdr:colOff>
      <xdr:row>4</xdr:row>
      <xdr:rowOff>9525</xdr:rowOff>
    </xdr:to>
    <xdr:pic>
      <xdr:nvPicPr>
        <xdr:cNvPr id="6" name="Imagen 5" descr="SAMPUÉS SUCRE: DATOS GENERALES">
          <a:extLst>
            <a:ext uri="{FF2B5EF4-FFF2-40B4-BE49-F238E27FC236}">
              <a16:creationId xmlns:a16="http://schemas.microsoft.com/office/drawing/2014/main" xmlns="" id="{00000000-0008-0000-13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38100"/>
          <a:ext cx="590550" cy="733425"/>
        </a:xfrm>
        <a:prstGeom prst="rect">
          <a:avLst/>
        </a:prstGeom>
        <a:noFill/>
        <a:ln>
          <a:noFill/>
        </a:ln>
      </xdr:spPr>
    </xdr:pic>
    <xdr:clientData/>
  </xdr:twoCellAnchor>
  <xdr:twoCellAnchor editAs="oneCell">
    <xdr:from>
      <xdr:col>1</xdr:col>
      <xdr:colOff>2219325</xdr:colOff>
      <xdr:row>1</xdr:row>
      <xdr:rowOff>9525</xdr:rowOff>
    </xdr:from>
    <xdr:to>
      <xdr:col>1</xdr:col>
      <xdr:colOff>3457574</xdr:colOff>
      <xdr:row>3</xdr:row>
      <xdr:rowOff>165100</xdr:rowOff>
    </xdr:to>
    <xdr:pic>
      <xdr:nvPicPr>
        <xdr:cNvPr id="7" name="Imagen 6" descr="Alcaldia de Sampués (@alcaldiasam2020) / Twitter">
          <a:extLst>
            <a:ext uri="{FF2B5EF4-FFF2-40B4-BE49-F238E27FC236}">
              <a16:creationId xmlns:a16="http://schemas.microsoft.com/office/drawing/2014/main" xmlns="" id="{00000000-0008-0000-13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5438775" y="200025"/>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1028700</xdr:colOff>
      <xdr:row>0</xdr:row>
      <xdr:rowOff>28575</xdr:rowOff>
    </xdr:from>
    <xdr:to>
      <xdr:col>0</xdr:col>
      <xdr:colOff>1619250</xdr:colOff>
      <xdr:row>4</xdr:row>
      <xdr:rowOff>0</xdr:rowOff>
    </xdr:to>
    <xdr:pic>
      <xdr:nvPicPr>
        <xdr:cNvPr id="5" name="Imagen 4" descr="SAMPUÉS SUCRE: DATOS GENERALES">
          <a:extLst>
            <a:ext uri="{FF2B5EF4-FFF2-40B4-BE49-F238E27FC236}">
              <a16:creationId xmlns:a16="http://schemas.microsoft.com/office/drawing/2014/main" xmlns="" id="{00000000-0008-0000-16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8700" y="28575"/>
          <a:ext cx="590550" cy="733425"/>
        </a:xfrm>
        <a:prstGeom prst="rect">
          <a:avLst/>
        </a:prstGeom>
        <a:noFill/>
        <a:ln>
          <a:noFill/>
        </a:ln>
      </xdr:spPr>
    </xdr:pic>
    <xdr:clientData/>
  </xdr:twoCellAnchor>
  <xdr:twoCellAnchor editAs="oneCell">
    <xdr:from>
      <xdr:col>3</xdr:col>
      <xdr:colOff>809625</xdr:colOff>
      <xdr:row>1</xdr:row>
      <xdr:rowOff>0</xdr:rowOff>
    </xdr:from>
    <xdr:to>
      <xdr:col>4</xdr:col>
      <xdr:colOff>847724</xdr:colOff>
      <xdr:row>3</xdr:row>
      <xdr:rowOff>155575</xdr:rowOff>
    </xdr:to>
    <xdr:pic>
      <xdr:nvPicPr>
        <xdr:cNvPr id="7" name="Imagen 6" descr="Alcaldia de Sampués (@alcaldiasam2020) / Twitter">
          <a:extLst>
            <a:ext uri="{FF2B5EF4-FFF2-40B4-BE49-F238E27FC236}">
              <a16:creationId xmlns:a16="http://schemas.microsoft.com/office/drawing/2014/main" xmlns="" id="{00000000-0008-0000-16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248400" y="19050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752475</xdr:colOff>
      <xdr:row>0</xdr:row>
      <xdr:rowOff>47625</xdr:rowOff>
    </xdr:from>
    <xdr:to>
      <xdr:col>0</xdr:col>
      <xdr:colOff>1343025</xdr:colOff>
      <xdr:row>4</xdr:row>
      <xdr:rowOff>19050</xdr:rowOff>
    </xdr:to>
    <xdr:pic>
      <xdr:nvPicPr>
        <xdr:cNvPr id="6" name="Imagen 5" descr="SAMPUÉS SUCRE: DATOS GENERALES">
          <a:extLst>
            <a:ext uri="{FF2B5EF4-FFF2-40B4-BE49-F238E27FC236}">
              <a16:creationId xmlns:a16="http://schemas.microsoft.com/office/drawing/2014/main" xmlns="" id="{00000000-0008-0000-14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47625"/>
          <a:ext cx="590550" cy="733425"/>
        </a:xfrm>
        <a:prstGeom prst="rect">
          <a:avLst/>
        </a:prstGeom>
        <a:noFill/>
        <a:ln>
          <a:noFill/>
        </a:ln>
      </xdr:spPr>
    </xdr:pic>
    <xdr:clientData/>
  </xdr:twoCellAnchor>
  <xdr:twoCellAnchor editAs="oneCell">
    <xdr:from>
      <xdr:col>1</xdr:col>
      <xdr:colOff>1685925</xdr:colOff>
      <xdr:row>1</xdr:row>
      <xdr:rowOff>38100</xdr:rowOff>
    </xdr:from>
    <xdr:to>
      <xdr:col>1</xdr:col>
      <xdr:colOff>2924174</xdr:colOff>
      <xdr:row>4</xdr:row>
      <xdr:rowOff>3175</xdr:rowOff>
    </xdr:to>
    <xdr:pic>
      <xdr:nvPicPr>
        <xdr:cNvPr id="7" name="Imagen 6" descr="Alcaldia de Sampués (@alcaldiasam2020) / Twitter">
          <a:extLst>
            <a:ext uri="{FF2B5EF4-FFF2-40B4-BE49-F238E27FC236}">
              <a16:creationId xmlns:a16="http://schemas.microsoft.com/office/drawing/2014/main" xmlns="" id="{00000000-0008-0000-14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5562600" y="22860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2105025</xdr:colOff>
      <xdr:row>0</xdr:row>
      <xdr:rowOff>38100</xdr:rowOff>
    </xdr:from>
    <xdr:to>
      <xdr:col>0</xdr:col>
      <xdr:colOff>2695575</xdr:colOff>
      <xdr:row>4</xdr:row>
      <xdr:rowOff>9525</xdr:rowOff>
    </xdr:to>
    <xdr:pic>
      <xdr:nvPicPr>
        <xdr:cNvPr id="4" name="Imagen 3" descr="SAMPUÉS SUCRE: DATOS GENERALES">
          <a:extLst>
            <a:ext uri="{FF2B5EF4-FFF2-40B4-BE49-F238E27FC236}">
              <a16:creationId xmlns:a16="http://schemas.microsoft.com/office/drawing/2014/main" xmlns="" id="{00000000-0008-0000-15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05025" y="38100"/>
          <a:ext cx="590550" cy="733425"/>
        </a:xfrm>
        <a:prstGeom prst="rect">
          <a:avLst/>
        </a:prstGeom>
        <a:noFill/>
        <a:ln>
          <a:noFill/>
        </a:ln>
      </xdr:spPr>
    </xdr:pic>
    <xdr:clientData/>
  </xdr:twoCellAnchor>
  <xdr:twoCellAnchor editAs="oneCell">
    <xdr:from>
      <xdr:col>4</xdr:col>
      <xdr:colOff>485775</xdr:colOff>
      <xdr:row>1</xdr:row>
      <xdr:rowOff>38100</xdr:rowOff>
    </xdr:from>
    <xdr:to>
      <xdr:col>5</xdr:col>
      <xdr:colOff>342899</xdr:colOff>
      <xdr:row>4</xdr:row>
      <xdr:rowOff>3175</xdr:rowOff>
    </xdr:to>
    <xdr:pic>
      <xdr:nvPicPr>
        <xdr:cNvPr id="5" name="Imagen 4" descr="Alcaldia de Sampués (@alcaldiasam2020) / Twitter">
          <a:extLst>
            <a:ext uri="{FF2B5EF4-FFF2-40B4-BE49-F238E27FC236}">
              <a16:creationId xmlns:a16="http://schemas.microsoft.com/office/drawing/2014/main" xmlns="" id="{00000000-0008-0000-1500-000005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7038975" y="22860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1552575</xdr:colOff>
      <xdr:row>0</xdr:row>
      <xdr:rowOff>47625</xdr:rowOff>
    </xdr:from>
    <xdr:to>
      <xdr:col>0</xdr:col>
      <xdr:colOff>2143125</xdr:colOff>
      <xdr:row>4</xdr:row>
      <xdr:rowOff>19050</xdr:rowOff>
    </xdr:to>
    <xdr:pic>
      <xdr:nvPicPr>
        <xdr:cNvPr id="6" name="Imagen 5" descr="SAMPUÉS SUCRE: DATOS GENERALES">
          <a:extLst>
            <a:ext uri="{FF2B5EF4-FFF2-40B4-BE49-F238E27FC236}">
              <a16:creationId xmlns:a16="http://schemas.microsoft.com/office/drawing/2014/main" xmlns="" id="{00000000-0008-0000-17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47625"/>
          <a:ext cx="590550" cy="733425"/>
        </a:xfrm>
        <a:prstGeom prst="rect">
          <a:avLst/>
        </a:prstGeom>
        <a:noFill/>
        <a:ln>
          <a:noFill/>
        </a:ln>
      </xdr:spPr>
    </xdr:pic>
    <xdr:clientData/>
  </xdr:twoCellAnchor>
  <xdr:twoCellAnchor editAs="oneCell">
    <xdr:from>
      <xdr:col>2</xdr:col>
      <xdr:colOff>685800</xdr:colOff>
      <xdr:row>1</xdr:row>
      <xdr:rowOff>0</xdr:rowOff>
    </xdr:from>
    <xdr:to>
      <xdr:col>2</xdr:col>
      <xdr:colOff>1924049</xdr:colOff>
      <xdr:row>3</xdr:row>
      <xdr:rowOff>155575</xdr:rowOff>
    </xdr:to>
    <xdr:pic>
      <xdr:nvPicPr>
        <xdr:cNvPr id="7" name="Imagen 6" descr="Alcaldia de Sampués (@alcaldiasam2020) / Twitter">
          <a:extLst>
            <a:ext uri="{FF2B5EF4-FFF2-40B4-BE49-F238E27FC236}">
              <a16:creationId xmlns:a16="http://schemas.microsoft.com/office/drawing/2014/main" xmlns="" id="{00000000-0008-0000-1700-00000700000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250" t="33500" r="7000" b="43000"/>
        <a:stretch/>
      </xdr:blipFill>
      <xdr:spPr bwMode="auto">
        <a:xfrm>
          <a:off x="6515100" y="190500"/>
          <a:ext cx="1238249" cy="53657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s>
    <sheetDataSet>
      <sheetData sheetId="0"/>
      <sheetData sheetId="1"/>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s>
    <sheetDataSet>
      <sheetData sheetId="0" refreshError="1">
        <row r="48">
          <cell r="E48">
            <v>6</v>
          </cell>
        </row>
      </sheetData>
      <sheetData sheetId="1"/>
    </sheetDataSet>
  </externalBook>
</externalLink>
</file>

<file path=xl/tables/table1.xml><?xml version="1.0" encoding="utf-8"?>
<table xmlns="http://schemas.openxmlformats.org/spreadsheetml/2006/main" id="8" name="TRANSPORTE" displayName="TRANSPORTE" ref="A8:J10" totalsRowShown="0" headerRowDxfId="78" dataDxfId="76" totalsRowDxfId="74" headerRowBorderDxfId="77" tableBorderDxfId="75" totalsRowBorderDxfId="73">
  <autoFilter ref="A8:J10">
    <filterColumn colId="0" hiddenButton="1"/>
    <filterColumn colId="1" hiddenButton="1"/>
    <filterColumn colId="2" hiddenButton="1"/>
    <filterColumn colId="3" hiddenButton="1"/>
    <filterColumn colId="4" hiddenButton="1"/>
    <filterColumn colId="5" hiddenButton="1"/>
    <filterColumn colId="6" hiddenButton="1"/>
    <filterColumn colId="8" hiddenButton="1"/>
    <filterColumn colId="9" hiddenButton="1"/>
  </autoFilter>
  <sortState ref="A9:I32">
    <sortCondition ref="B5:B29"/>
  </sortState>
  <tableColumns count="10">
    <tableColumn id="11" name="ITEM" dataDxfId="72" totalsRowDxfId="71"/>
    <tableColumn id="1" name="MUNICIPIO" dataDxfId="70" totalsRowDxfId="69"/>
    <tableColumn id="2" name="CUPOS " dataDxfId="68" totalsRowDxfId="67"/>
    <tableColumn id="5" name="PESO PROMEDIO COMPLEMENTO (KILOS)" dataDxfId="66" totalsRowDxfId="65">
      <calculatedColumnFormula>#REF!</calculatedColumnFormula>
    </tableColumn>
    <tableColumn id="6" name="PESO POR MUNICIPIO" dataDxfId="64" totalsRowDxfId="63">
      <calculatedColumnFormula>ROUND(TRANSPORTE[[#This Row],[CUPOS ]]*TRANSPORTE[[#This Row],[PESO PROMEDIO COMPLEMENTO (KILOS)]],2)</calculatedColumnFormula>
    </tableColumn>
    <tableColumn id="3" name="COTIZACION 1-COSTO TONELADA" dataDxfId="62" totalsRowDxfId="61"/>
    <tableColumn id="7" name="COTIZACION 2-COSTO TONELADA" dataDxfId="60" totalsRowDxfId="59"/>
    <tableColumn id="4" name="COTIZACION 3-COSTO TONELADA" totalsRowDxfId="58"/>
    <tableColumn id="12" name="VALOR PROMEDIO KILO MENSUAL" dataDxfId="57" totalsRowDxfId="56">
      <calculatedColumnFormula>AVERAGE(TRANSPORTE[[#This Row],[COTIZACION 1-COSTO TONELADA]:[COTIZACION 3-COSTO TONELADA]])</calculatedColumnFormula>
    </tableColumn>
    <tableColumn id="14" name="VALOR TOTAL MENSUAL " dataDxfId="55" totalsRowDxfId="54">
      <calculatedColumnFormula>(TRANSPORTE[[#This Row],[CUPOS ]]*TRANSPORTE[[#This Row],[PESO PROMEDIO COMPLEMENTO (KILOS)]])</calculatedColumnFormula>
    </tableColumn>
  </tableColumns>
  <tableStyleInfo showFirstColumn="0" showLastColumn="0" showRowStripes="1" showColumnStripes="0"/>
</table>
</file>

<file path=xl/tables/table2.xml><?xml version="1.0" encoding="utf-8"?>
<table xmlns="http://schemas.openxmlformats.org/spreadsheetml/2006/main" id="3" name="Tabla136434" displayName="Tabla136434" ref="A8:E12" totalsRowShown="0" headerRowDxfId="53" dataDxfId="51" totalsRowDxfId="49" headerRowBorderDxfId="52" tableBorderDxfId="50" totalsRowBorderDxfId="48">
  <tableColumns count="5">
    <tableColumn id="1" name="DESCRIPCION" dataDxfId="47" totalsRowDxfId="46"/>
    <tableColumn id="2" name="CANTIDAD" dataDxfId="45" totalsRowDxfId="44"/>
    <tableColumn id="3" name="ASIGNACIÓN MENSUAL" dataDxfId="43" totalsRowDxfId="42"/>
    <tableColumn id="4" name="N° MESES" dataDxfId="41" totalsRowDxfId="40"/>
    <tableColumn id="5" name="TOTAL" dataDxfId="39" totalsRowDxfId="38"/>
  </tableColumns>
  <tableStyleInfo showFirstColumn="0" showLastColumn="0" showRowStripes="1" showColumnStripes="0"/>
</table>
</file>

<file path=xl/tables/table3.xml><?xml version="1.0" encoding="utf-8"?>
<table xmlns="http://schemas.openxmlformats.org/spreadsheetml/2006/main" id="6" name="Tabla13643" displayName="Tabla13643" ref="A8:G13" totalsRowCount="1" headerRowDxfId="37" dataDxfId="35" totalsRowDxfId="33" headerRowBorderDxfId="36" tableBorderDxfId="34" totalsRowBorderDxfId="32">
  <tableColumns count="7">
    <tableColumn id="1" name="DESCRIPCION" totalsRowLabel="Total" dataDxfId="31" totalsRowDxfId="30"/>
    <tableColumn id="2" name="CANTIDAD" totalsRowFunction="sum" dataDxfId="29" totalsRowDxfId="28"/>
    <tableColumn id="3" name="UNIFORME (CAMISA + PANTALÓN)" totalsRowFunction="custom" dataDxfId="27" totalsRowDxfId="26">
      <totalsRowFormula>SUMPRODUCT(Tabla13643[CANTIDAD],Tabla13643[UNIFORME (CAMISA + PANTALÓN)])</totalsRowFormula>
    </tableColumn>
    <tableColumn id="4" name="GORRO/COFIA" totalsRowFunction="custom" dataDxfId="25" totalsRowDxfId="24">
      <totalsRowFormula>SUMPRODUCT(Tabla13643[CANTIDAD],Tabla13643[GORRO/COFIA])</totalsRowFormula>
    </tableColumn>
    <tableColumn id="5" name="TAPABOCAS" totalsRowFunction="custom" dataDxfId="23" totalsRowDxfId="22">
      <totalsRowFormula>SUMPRODUCT(Tabla13643[CANTIDAD],Tabla13643[TAPABOCAS])</totalsRowFormula>
    </tableColumn>
    <tableColumn id="7" name="DELANTAL" totalsRowFunction="custom" dataDxfId="21" totalsRowDxfId="20">
      <totalsRowFormula>SUMPRODUCT(Tabla13643[CANTIDAD],Tabla13643[TAPABOCAS])</totalsRowFormula>
    </tableColumn>
    <tableColumn id="8" name="CALZADO ANTIDESLIZANTE" totalsRowFunction="custom" dataDxfId="19" totalsRowDxfId="18">
      <totalsRowFormula>SUMPRODUCT(Tabla13643[CANTIDAD],Tabla13643[CALZADO ANTIDESLIZANTE])</totalsRowFormula>
    </tableColumn>
  </tableColumns>
  <tableStyleInfo showFirstColumn="0" showLastColumn="0" showRowStripes="1" showColumnStripes="0"/>
</table>
</file>

<file path=xl/tables/table4.xml><?xml version="1.0" encoding="utf-8"?>
<table xmlns="http://schemas.openxmlformats.org/spreadsheetml/2006/main" id="7" name="Tabla136438" displayName="Tabla136438" ref="A8:F13" totalsRowCount="1" headerRowDxfId="17" dataDxfId="15" totalsRowDxfId="13" headerRowBorderDxfId="16" tableBorderDxfId="14" totalsRowBorderDxfId="12">
  <autoFilter ref="A8:F12"/>
  <tableColumns count="6">
    <tableColumn id="1" name="DESCRIPCION" totalsRowLabel="Total" dataDxfId="11" totalsRowDxfId="10"/>
    <tableColumn id="2" name="CANTIDAD" totalsRowFunction="sum" dataDxfId="9" totalsRowDxfId="8"/>
    <tableColumn id="3" name="KOH UÑAS" totalsRowFunction="custom" dataDxfId="7" totalsRowDxfId="6">
      <totalsRowFormula>SUMPRODUCT(Tabla136438[CANTIDAD],Tabla136438[KOH UÑAS])</totalsRowFormula>
    </tableColumn>
    <tableColumn id="4" name="FROTIS FARINGEO" totalsRowFunction="custom" dataDxfId="5" totalsRowDxfId="4">
      <totalsRowFormula>SUMPRODUCT(Tabla136438[CANTIDAD],Tabla136438[FROTIS FARINGEO])</totalsRowFormula>
    </tableColumn>
    <tableColumn id="5" name="COPROLOGICO" totalsRowFunction="custom" dataDxfId="3" totalsRowDxfId="2">
      <totalsRowFormula>SUMPRODUCT(Tabla136438[CANTIDAD],Tabla136438[COPROLOGICO])</totalsRowFormula>
    </tableColumn>
    <tableColumn id="6" name="SEROLOGICO (VDRL)" totalsRowFunction="custom" dataDxfId="1" totalsRowDxfId="0">
      <totalsRowFormula>SUMPRODUCT(Tabla136438[CANTIDAD],Tabla136438[SEROLOGICO (VDRL)])</totalsRowFormula>
    </tableColumn>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openxmlformats.org/officeDocument/2006/relationships/comments" Target="../comments3.xml"/><Relationship Id="rId4" Type="http://schemas.openxmlformats.org/officeDocument/2006/relationships/table" Target="../tables/table1.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openxmlformats.org/officeDocument/2006/relationships/comments" Target="../comments4.xml"/><Relationship Id="rId4"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openxmlformats.org/officeDocument/2006/relationships/comments" Target="../comments5.xml"/><Relationship Id="rId4" Type="http://schemas.openxmlformats.org/officeDocument/2006/relationships/table" Target="../tables/table4.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showGridLines="0" view="pageBreakPreview" topLeftCell="A71" zoomScaleNormal="100" zoomScaleSheetLayoutView="100" workbookViewId="0">
      <selection activeCell="A89" sqref="A89:I89"/>
    </sheetView>
  </sheetViews>
  <sheetFormatPr baseColWidth="10" defaultColWidth="11.42578125" defaultRowHeight="15" x14ac:dyDescent="0.25"/>
  <cols>
    <col min="1" max="1" width="34.42578125" style="175" customWidth="1"/>
    <col min="2" max="2" width="13.7109375" style="175" bestFit="1" customWidth="1"/>
    <col min="3" max="3" width="13.5703125" style="175" bestFit="1" customWidth="1"/>
    <col min="4" max="4" width="16" style="175" customWidth="1"/>
    <col min="5" max="5" width="13.28515625" style="176" customWidth="1"/>
    <col min="6" max="6" width="13.140625" style="176" customWidth="1"/>
    <col min="7" max="7" width="14.7109375" style="176" customWidth="1"/>
    <col min="8" max="8" width="11.5703125" style="176" customWidth="1"/>
    <col min="9" max="9" width="11.85546875" style="176" customWidth="1"/>
  </cols>
  <sheetData>
    <row r="1" spans="1:9" x14ac:dyDescent="0.25">
      <c r="A1" s="305" t="s">
        <v>0</v>
      </c>
      <c r="B1" s="305"/>
      <c r="C1" s="305"/>
      <c r="D1" s="305"/>
      <c r="E1" s="305"/>
      <c r="F1" s="305"/>
      <c r="G1" s="305"/>
      <c r="H1" s="305"/>
      <c r="I1" s="305"/>
    </row>
    <row r="2" spans="1:9" x14ac:dyDescent="0.25">
      <c r="A2" s="305" t="s">
        <v>307</v>
      </c>
      <c r="B2" s="305"/>
      <c r="C2" s="305"/>
      <c r="D2" s="305"/>
      <c r="E2" s="305"/>
      <c r="F2" s="305"/>
      <c r="G2" s="305"/>
      <c r="H2" s="305"/>
      <c r="I2" s="305"/>
    </row>
    <row r="3" spans="1:9" x14ac:dyDescent="0.25">
      <c r="A3" s="305" t="s">
        <v>273</v>
      </c>
      <c r="B3" s="305"/>
      <c r="C3" s="305"/>
      <c r="D3" s="305"/>
      <c r="E3" s="305"/>
      <c r="F3" s="305"/>
      <c r="G3" s="305"/>
      <c r="H3" s="305"/>
      <c r="I3" s="305"/>
    </row>
    <row r="4" spans="1:9" x14ac:dyDescent="0.25">
      <c r="A4" s="305" t="s">
        <v>346</v>
      </c>
      <c r="B4" s="305"/>
      <c r="C4" s="305"/>
      <c r="D4" s="305"/>
      <c r="E4" s="305"/>
      <c r="F4" s="305"/>
      <c r="G4" s="305"/>
      <c r="H4" s="305"/>
      <c r="I4" s="305"/>
    </row>
    <row r="5" spans="1:9" x14ac:dyDescent="0.25">
      <c r="A5" s="305"/>
      <c r="B5" s="305"/>
      <c r="C5" s="305"/>
      <c r="D5" s="305"/>
      <c r="E5" s="305"/>
      <c r="F5" s="305"/>
      <c r="G5" s="305"/>
      <c r="H5" s="305"/>
      <c r="I5" s="305"/>
    </row>
    <row r="6" spans="1:9" x14ac:dyDescent="0.25">
      <c r="A6" s="305" t="s">
        <v>1</v>
      </c>
      <c r="B6" s="305"/>
      <c r="C6" s="305"/>
      <c r="D6" s="305"/>
      <c r="E6" s="305"/>
      <c r="F6" s="305"/>
      <c r="G6" s="305"/>
      <c r="H6" s="305"/>
      <c r="I6" s="305"/>
    </row>
    <row r="7" spans="1:9" x14ac:dyDescent="0.25">
      <c r="A7" s="307"/>
      <c r="B7" s="307"/>
      <c r="C7" s="307"/>
      <c r="D7" s="307"/>
      <c r="E7" s="307"/>
      <c r="F7" s="307"/>
      <c r="G7" s="307"/>
      <c r="H7" s="307"/>
      <c r="I7" s="307"/>
    </row>
    <row r="8" spans="1:9" ht="56.25" customHeight="1" x14ac:dyDescent="0.25">
      <c r="A8" s="172" t="s">
        <v>2</v>
      </c>
      <c r="B8" s="173" t="s">
        <v>3</v>
      </c>
      <c r="C8" s="172" t="s">
        <v>4</v>
      </c>
      <c r="D8" s="172" t="s">
        <v>379</v>
      </c>
      <c r="E8" s="174" t="s">
        <v>5</v>
      </c>
      <c r="F8" s="174" t="s">
        <v>6</v>
      </c>
      <c r="G8" s="174" t="s">
        <v>7</v>
      </c>
      <c r="H8" s="174" t="s">
        <v>8</v>
      </c>
      <c r="I8" s="174" t="s">
        <v>9</v>
      </c>
    </row>
    <row r="9" spans="1:9" x14ac:dyDescent="0.25">
      <c r="A9" s="244" t="s">
        <v>105</v>
      </c>
      <c r="B9" s="244" t="s">
        <v>10</v>
      </c>
      <c r="C9" s="245">
        <v>500</v>
      </c>
      <c r="D9" s="246">
        <f>7075/2</f>
        <v>3537.5</v>
      </c>
      <c r="E9" s="247">
        <v>3700</v>
      </c>
      <c r="F9" s="247">
        <v>3680</v>
      </c>
      <c r="G9" s="247">
        <v>4000</v>
      </c>
      <c r="H9" s="247">
        <f>AVERAGE(E9:G9)</f>
        <v>3793.3333333333335</v>
      </c>
      <c r="I9" s="247">
        <v>7.59</v>
      </c>
    </row>
    <row r="10" spans="1:9" x14ac:dyDescent="0.25">
      <c r="A10" s="244" t="s">
        <v>64</v>
      </c>
      <c r="B10" s="244" t="s">
        <v>10</v>
      </c>
      <c r="C10" s="245">
        <v>500</v>
      </c>
      <c r="D10" s="246">
        <f>1969/2</f>
        <v>984.5</v>
      </c>
      <c r="E10" s="247">
        <v>2325</v>
      </c>
      <c r="F10" s="247">
        <v>1900</v>
      </c>
      <c r="G10" s="247">
        <v>1300</v>
      </c>
      <c r="H10" s="247">
        <f t="shared" ref="H10:H52" si="0">AVERAGE(E10:G10)</f>
        <v>1841.6666666666667</v>
      </c>
      <c r="I10" s="247">
        <v>3.68</v>
      </c>
    </row>
    <row r="11" spans="1:9" x14ac:dyDescent="0.25">
      <c r="A11" s="244" t="s">
        <v>63</v>
      </c>
      <c r="B11" s="244" t="s">
        <v>10</v>
      </c>
      <c r="C11" s="245">
        <v>500</v>
      </c>
      <c r="D11" s="246">
        <f>6892/2</f>
        <v>3446</v>
      </c>
      <c r="E11" s="247">
        <v>4790</v>
      </c>
      <c r="F11" s="247">
        <v>4450</v>
      </c>
      <c r="G11" s="247">
        <v>4500</v>
      </c>
      <c r="H11" s="247">
        <f t="shared" si="0"/>
        <v>4580</v>
      </c>
      <c r="I11" s="247">
        <v>9.16</v>
      </c>
    </row>
    <row r="12" spans="1:9" x14ac:dyDescent="0.25">
      <c r="A12" s="244" t="s">
        <v>62</v>
      </c>
      <c r="B12" s="244" t="s">
        <v>10</v>
      </c>
      <c r="C12" s="245">
        <v>500</v>
      </c>
      <c r="D12" s="246">
        <f>5033/2</f>
        <v>2516.5</v>
      </c>
      <c r="E12" s="247">
        <v>2390</v>
      </c>
      <c r="F12" s="247">
        <v>2650</v>
      </c>
      <c r="G12" s="247">
        <v>2500</v>
      </c>
      <c r="H12" s="247">
        <f t="shared" si="0"/>
        <v>2513.3333333333335</v>
      </c>
      <c r="I12" s="247">
        <v>5.03</v>
      </c>
    </row>
    <row r="13" spans="1:9" x14ac:dyDescent="0.25">
      <c r="A13" s="244" t="s">
        <v>104</v>
      </c>
      <c r="B13" s="244" t="s">
        <v>10</v>
      </c>
      <c r="C13" s="245">
        <v>500</v>
      </c>
      <c r="D13" s="246">
        <f>1333/2</f>
        <v>666.5</v>
      </c>
      <c r="E13" s="247">
        <v>1290</v>
      </c>
      <c r="F13" s="247">
        <v>1400</v>
      </c>
      <c r="G13" s="247">
        <v>1000</v>
      </c>
      <c r="H13" s="247">
        <f t="shared" si="0"/>
        <v>1230</v>
      </c>
      <c r="I13" s="247">
        <v>2.46</v>
      </c>
    </row>
    <row r="14" spans="1:9" x14ac:dyDescent="0.25">
      <c r="A14" s="244" t="s">
        <v>75</v>
      </c>
      <c r="B14" s="244" t="s">
        <v>10</v>
      </c>
      <c r="C14" s="245">
        <v>500</v>
      </c>
      <c r="D14" s="246">
        <f>7333/2</f>
        <v>3666.5</v>
      </c>
      <c r="E14" s="247">
        <v>7140</v>
      </c>
      <c r="F14" s="247">
        <v>7300</v>
      </c>
      <c r="G14" s="247">
        <v>6000</v>
      </c>
      <c r="H14" s="247">
        <f t="shared" si="0"/>
        <v>6813.333333333333</v>
      </c>
      <c r="I14" s="247">
        <v>13.63</v>
      </c>
    </row>
    <row r="15" spans="1:9" x14ac:dyDescent="0.25">
      <c r="A15" s="244" t="s">
        <v>11</v>
      </c>
      <c r="B15" s="244" t="s">
        <v>10</v>
      </c>
      <c r="C15" s="245">
        <v>500</v>
      </c>
      <c r="D15" s="246">
        <f>6922/2</f>
        <v>3461</v>
      </c>
      <c r="E15" s="247">
        <v>6450</v>
      </c>
      <c r="F15" s="247">
        <v>6700</v>
      </c>
      <c r="G15" s="247">
        <v>5000</v>
      </c>
      <c r="H15" s="247">
        <f t="shared" si="0"/>
        <v>6050</v>
      </c>
      <c r="I15" s="247">
        <v>12.1</v>
      </c>
    </row>
    <row r="16" spans="1:9" x14ac:dyDescent="0.25">
      <c r="A16" s="244" t="s">
        <v>43</v>
      </c>
      <c r="B16" s="244" t="s">
        <v>10</v>
      </c>
      <c r="C16" s="245">
        <v>500</v>
      </c>
      <c r="D16" s="246">
        <v>1738</v>
      </c>
      <c r="E16" s="247">
        <v>950</v>
      </c>
      <c r="F16" s="247">
        <v>1100</v>
      </c>
      <c r="G16" s="247">
        <v>800</v>
      </c>
      <c r="H16" s="247">
        <f t="shared" si="0"/>
        <v>950</v>
      </c>
      <c r="I16" s="247">
        <v>1.9</v>
      </c>
    </row>
    <row r="17" spans="1:9" x14ac:dyDescent="0.25">
      <c r="A17" s="244" t="s">
        <v>79</v>
      </c>
      <c r="B17" s="244" t="s">
        <v>10</v>
      </c>
      <c r="C17" s="245">
        <v>500</v>
      </c>
      <c r="D17" s="246">
        <f>4125/2</f>
        <v>2062.5</v>
      </c>
      <c r="E17" s="247">
        <v>3240</v>
      </c>
      <c r="F17" s="247">
        <v>2600</v>
      </c>
      <c r="G17" s="247">
        <v>1800</v>
      </c>
      <c r="H17" s="247">
        <f t="shared" si="0"/>
        <v>2546.6666666666665</v>
      </c>
      <c r="I17" s="247">
        <v>5.09</v>
      </c>
    </row>
    <row r="18" spans="1:9" x14ac:dyDescent="0.25">
      <c r="A18" s="244" t="s">
        <v>52</v>
      </c>
      <c r="B18" s="244" t="s">
        <v>12</v>
      </c>
      <c r="C18" s="245">
        <v>1000</v>
      </c>
      <c r="D18" s="246">
        <f>7960/2</f>
        <v>3980</v>
      </c>
      <c r="E18" s="247">
        <v>12850</v>
      </c>
      <c r="F18" s="247">
        <v>12400</v>
      </c>
      <c r="G18" s="247">
        <v>12500</v>
      </c>
      <c r="H18" s="247">
        <f t="shared" si="0"/>
        <v>12583.333333333334</v>
      </c>
      <c r="I18" s="247">
        <v>12.58</v>
      </c>
    </row>
    <row r="19" spans="1:9" x14ac:dyDescent="0.25">
      <c r="A19" s="244" t="s">
        <v>36</v>
      </c>
      <c r="B19" s="244" t="s">
        <v>10</v>
      </c>
      <c r="C19" s="245">
        <v>500</v>
      </c>
      <c r="D19" s="246">
        <f>3580/2</f>
        <v>1790</v>
      </c>
      <c r="E19" s="247">
        <v>2590</v>
      </c>
      <c r="F19" s="247">
        <v>2250</v>
      </c>
      <c r="G19" s="247">
        <v>2000</v>
      </c>
      <c r="H19" s="247">
        <f t="shared" si="0"/>
        <v>2280</v>
      </c>
      <c r="I19" s="247">
        <v>4.5599999999999996</v>
      </c>
    </row>
    <row r="20" spans="1:9" x14ac:dyDescent="0.25">
      <c r="A20" s="244" t="s">
        <v>93</v>
      </c>
      <c r="B20" s="244" t="s">
        <v>10</v>
      </c>
      <c r="C20" s="245">
        <v>500</v>
      </c>
      <c r="D20" s="246">
        <f>6170/2</f>
        <v>3085</v>
      </c>
      <c r="E20" s="247">
        <v>4400</v>
      </c>
      <c r="F20" s="247">
        <v>3800</v>
      </c>
      <c r="G20" s="247">
        <v>3000</v>
      </c>
      <c r="H20" s="247">
        <f t="shared" si="0"/>
        <v>3733.3333333333335</v>
      </c>
      <c r="I20" s="247">
        <v>7.47</v>
      </c>
    </row>
    <row r="21" spans="1:9" x14ac:dyDescent="0.25">
      <c r="A21" s="244" t="s">
        <v>92</v>
      </c>
      <c r="B21" s="244" t="s">
        <v>10</v>
      </c>
      <c r="C21" s="245">
        <v>500</v>
      </c>
      <c r="D21" s="246">
        <f>1417/2</f>
        <v>708.5</v>
      </c>
      <c r="E21" s="247">
        <v>1200</v>
      </c>
      <c r="F21" s="247">
        <v>1500</v>
      </c>
      <c r="G21" s="247">
        <v>1000</v>
      </c>
      <c r="H21" s="247">
        <f t="shared" si="0"/>
        <v>1233.3333333333333</v>
      </c>
      <c r="I21" s="247">
        <v>2.4700000000000002</v>
      </c>
    </row>
    <row r="22" spans="1:9" x14ac:dyDescent="0.25">
      <c r="A22" s="244" t="s">
        <v>83</v>
      </c>
      <c r="B22" s="244" t="s">
        <v>10</v>
      </c>
      <c r="C22" s="245">
        <v>500</v>
      </c>
      <c r="D22" s="246">
        <f>1888/2</f>
        <v>944</v>
      </c>
      <c r="E22" s="247">
        <v>1500</v>
      </c>
      <c r="F22" s="247">
        <v>1100</v>
      </c>
      <c r="G22" s="247">
        <v>900</v>
      </c>
      <c r="H22" s="247">
        <f t="shared" si="0"/>
        <v>1166.6666666666667</v>
      </c>
      <c r="I22" s="247">
        <v>2.33</v>
      </c>
    </row>
    <row r="23" spans="1:9" x14ac:dyDescent="0.25">
      <c r="A23" s="244" t="s">
        <v>68</v>
      </c>
      <c r="B23" s="244" t="s">
        <v>10</v>
      </c>
      <c r="C23" s="245">
        <v>500</v>
      </c>
      <c r="D23" s="246">
        <f>4060/2</f>
        <v>2030</v>
      </c>
      <c r="E23" s="247">
        <v>2570</v>
      </c>
      <c r="F23" s="247">
        <v>2650</v>
      </c>
      <c r="G23" s="247">
        <v>2500</v>
      </c>
      <c r="H23" s="247">
        <f t="shared" si="0"/>
        <v>2573.3333333333335</v>
      </c>
      <c r="I23" s="247">
        <v>5.15</v>
      </c>
    </row>
    <row r="24" spans="1:9" x14ac:dyDescent="0.25">
      <c r="A24" s="244" t="s">
        <v>38</v>
      </c>
      <c r="B24" s="244" t="s">
        <v>10</v>
      </c>
      <c r="C24" s="245">
        <v>500</v>
      </c>
      <c r="D24" s="246">
        <f>38252/2</f>
        <v>19126</v>
      </c>
      <c r="E24" s="247">
        <v>18800</v>
      </c>
      <c r="F24" s="247">
        <v>19350</v>
      </c>
      <c r="G24" s="247">
        <v>18800</v>
      </c>
      <c r="H24" s="247">
        <f t="shared" si="0"/>
        <v>18983.333333333332</v>
      </c>
      <c r="I24" s="247">
        <v>37.97</v>
      </c>
    </row>
    <row r="25" spans="1:9" x14ac:dyDescent="0.25">
      <c r="A25" s="244" t="s">
        <v>61</v>
      </c>
      <c r="B25" s="244" t="s">
        <v>10</v>
      </c>
      <c r="C25" s="245">
        <v>500</v>
      </c>
      <c r="D25" s="246">
        <f>13800/2</f>
        <v>6900</v>
      </c>
      <c r="E25" s="247">
        <v>9200</v>
      </c>
      <c r="F25" s="247">
        <v>10000</v>
      </c>
      <c r="G25" s="247">
        <v>8000</v>
      </c>
      <c r="H25" s="247">
        <f t="shared" si="0"/>
        <v>9066.6666666666661</v>
      </c>
      <c r="I25" s="247">
        <v>18.13</v>
      </c>
    </row>
    <row r="26" spans="1:9" x14ac:dyDescent="0.25">
      <c r="A26" s="244" t="s">
        <v>72</v>
      </c>
      <c r="B26" s="244" t="s">
        <v>10</v>
      </c>
      <c r="C26" s="245">
        <v>500</v>
      </c>
      <c r="D26" s="246">
        <f>3250/2</f>
        <v>1625</v>
      </c>
      <c r="E26" s="247">
        <v>2950</v>
      </c>
      <c r="F26" s="247">
        <v>2800</v>
      </c>
      <c r="G26" s="247">
        <v>2800</v>
      </c>
      <c r="H26" s="247">
        <f t="shared" si="0"/>
        <v>2850</v>
      </c>
      <c r="I26" s="247">
        <v>5.7</v>
      </c>
    </row>
    <row r="27" spans="1:9" x14ac:dyDescent="0.25">
      <c r="A27" s="244" t="s">
        <v>106</v>
      </c>
      <c r="B27" s="244" t="s">
        <v>10</v>
      </c>
      <c r="C27" s="245">
        <v>500</v>
      </c>
      <c r="D27" s="248" t="s">
        <v>272</v>
      </c>
      <c r="E27" s="247">
        <v>7500</v>
      </c>
      <c r="F27" s="247">
        <v>6800</v>
      </c>
      <c r="G27" s="247">
        <v>6300</v>
      </c>
      <c r="H27" s="247">
        <f t="shared" si="0"/>
        <v>6866.666666666667</v>
      </c>
      <c r="I27" s="247">
        <v>13.73</v>
      </c>
    </row>
    <row r="28" spans="1:9" x14ac:dyDescent="0.25">
      <c r="A28" s="244" t="s">
        <v>77</v>
      </c>
      <c r="B28" s="244" t="s">
        <v>10</v>
      </c>
      <c r="C28" s="245">
        <v>500</v>
      </c>
      <c r="D28" s="246">
        <f>1983/2</f>
        <v>991.5</v>
      </c>
      <c r="E28" s="247">
        <v>1890</v>
      </c>
      <c r="F28" s="247">
        <v>1800</v>
      </c>
      <c r="G28" s="247">
        <v>2000</v>
      </c>
      <c r="H28" s="247">
        <f t="shared" si="0"/>
        <v>1896.6666666666667</v>
      </c>
      <c r="I28" s="247">
        <v>3.79</v>
      </c>
    </row>
    <row r="29" spans="1:9" x14ac:dyDescent="0.25">
      <c r="A29" s="244" t="s">
        <v>107</v>
      </c>
      <c r="B29" s="244" t="s">
        <v>10</v>
      </c>
      <c r="C29" s="245">
        <v>500</v>
      </c>
      <c r="D29" s="246">
        <f>8950/2</f>
        <v>4475</v>
      </c>
      <c r="E29" s="247">
        <v>4290</v>
      </c>
      <c r="F29" s="247">
        <v>3900</v>
      </c>
      <c r="G29" s="247">
        <v>5000</v>
      </c>
      <c r="H29" s="247">
        <f t="shared" si="0"/>
        <v>4396.666666666667</v>
      </c>
      <c r="I29" s="247">
        <v>8.7899999999999991</v>
      </c>
    </row>
    <row r="30" spans="1:9" x14ac:dyDescent="0.25">
      <c r="A30" s="244" t="s">
        <v>70</v>
      </c>
      <c r="B30" s="244" t="s">
        <v>10</v>
      </c>
      <c r="C30" s="245">
        <v>55</v>
      </c>
      <c r="D30" s="246">
        <v>534</v>
      </c>
      <c r="E30" s="247">
        <v>530</v>
      </c>
      <c r="F30" s="247">
        <v>650</v>
      </c>
      <c r="G30" s="247">
        <v>600</v>
      </c>
      <c r="H30" s="247">
        <f t="shared" si="0"/>
        <v>593.33333333333337</v>
      </c>
      <c r="I30" s="247">
        <v>10.79</v>
      </c>
    </row>
    <row r="31" spans="1:9" x14ac:dyDescent="0.25">
      <c r="A31" s="244" t="s">
        <v>108</v>
      </c>
      <c r="B31" s="244" t="s">
        <v>10</v>
      </c>
      <c r="C31" s="245">
        <v>500</v>
      </c>
      <c r="D31" s="246">
        <f>4125/2</f>
        <v>2062.5</v>
      </c>
      <c r="E31" s="247">
        <v>2700</v>
      </c>
      <c r="F31" s="247">
        <v>2500</v>
      </c>
      <c r="G31" s="247">
        <v>2200</v>
      </c>
      <c r="H31" s="247">
        <f t="shared" si="0"/>
        <v>2466.6666666666665</v>
      </c>
      <c r="I31" s="247">
        <v>4.93</v>
      </c>
    </row>
    <row r="32" spans="1:9" x14ac:dyDescent="0.25">
      <c r="A32" s="244" t="s">
        <v>58</v>
      </c>
      <c r="B32" s="244" t="s">
        <v>10</v>
      </c>
      <c r="C32" s="245">
        <v>500</v>
      </c>
      <c r="D32" s="246">
        <f>9583/2</f>
        <v>4791.5</v>
      </c>
      <c r="E32" s="247">
        <v>4600</v>
      </c>
      <c r="F32" s="247">
        <v>3800</v>
      </c>
      <c r="G32" s="247">
        <v>4500</v>
      </c>
      <c r="H32" s="247">
        <f t="shared" si="0"/>
        <v>4300</v>
      </c>
      <c r="I32" s="247">
        <v>8.6</v>
      </c>
    </row>
    <row r="33" spans="1:9" x14ac:dyDescent="0.25">
      <c r="A33" s="244" t="s">
        <v>39</v>
      </c>
      <c r="B33" s="244" t="s">
        <v>10</v>
      </c>
      <c r="C33" s="245">
        <v>500</v>
      </c>
      <c r="D33" s="275" t="s">
        <v>272</v>
      </c>
      <c r="E33" s="247">
        <v>45000</v>
      </c>
      <c r="F33" s="247">
        <v>47350</v>
      </c>
      <c r="G33" s="247">
        <v>40000</v>
      </c>
      <c r="H33" s="247">
        <f t="shared" si="0"/>
        <v>44116.666666666664</v>
      </c>
      <c r="I33" s="247">
        <v>88.23</v>
      </c>
    </row>
    <row r="34" spans="1:9" x14ac:dyDescent="0.25">
      <c r="A34" s="244" t="s">
        <v>96</v>
      </c>
      <c r="B34" s="244" t="s">
        <v>10</v>
      </c>
      <c r="C34" s="245">
        <v>500</v>
      </c>
      <c r="D34" s="246">
        <f>2588/2</f>
        <v>1294</v>
      </c>
      <c r="E34" s="247">
        <v>3800</v>
      </c>
      <c r="F34" s="247">
        <v>3400</v>
      </c>
      <c r="G34" s="247">
        <v>3500</v>
      </c>
      <c r="H34" s="247">
        <f t="shared" si="0"/>
        <v>3566.6666666666665</v>
      </c>
      <c r="I34" s="247">
        <v>7.13</v>
      </c>
    </row>
    <row r="35" spans="1:9" x14ac:dyDescent="0.25">
      <c r="A35" s="244" t="s">
        <v>13</v>
      </c>
      <c r="B35" s="244" t="s">
        <v>10</v>
      </c>
      <c r="C35" s="245">
        <v>500</v>
      </c>
      <c r="D35" s="246">
        <f>4286/2</f>
        <v>2143</v>
      </c>
      <c r="E35" s="247">
        <v>2850</v>
      </c>
      <c r="F35" s="247">
        <v>2950</v>
      </c>
      <c r="G35" s="247">
        <v>3000</v>
      </c>
      <c r="H35" s="247">
        <f t="shared" si="0"/>
        <v>2933.3333333333335</v>
      </c>
      <c r="I35" s="247">
        <v>5.87</v>
      </c>
    </row>
    <row r="36" spans="1:9" x14ac:dyDescent="0.25">
      <c r="A36" s="244" t="s">
        <v>78</v>
      </c>
      <c r="B36" s="244" t="s">
        <v>10</v>
      </c>
      <c r="C36" s="245">
        <v>500</v>
      </c>
      <c r="D36" s="246">
        <f>18500/2</f>
        <v>9250</v>
      </c>
      <c r="E36" s="247">
        <v>13800</v>
      </c>
      <c r="F36" s="247">
        <v>11800</v>
      </c>
      <c r="G36" s="247">
        <v>12000</v>
      </c>
      <c r="H36" s="247">
        <f t="shared" si="0"/>
        <v>12533.333333333334</v>
      </c>
      <c r="I36" s="247">
        <v>25.07</v>
      </c>
    </row>
    <row r="37" spans="1:9" ht="13.5" customHeight="1" x14ac:dyDescent="0.25">
      <c r="A37" s="244" t="s">
        <v>378</v>
      </c>
      <c r="B37" s="244" t="s">
        <v>10</v>
      </c>
      <c r="C37" s="245">
        <v>500</v>
      </c>
      <c r="D37" s="246">
        <f>2333/2</f>
        <v>1166.5</v>
      </c>
      <c r="E37" s="247">
        <v>2200</v>
      </c>
      <c r="F37" s="247">
        <v>2100</v>
      </c>
      <c r="G37" s="247">
        <v>1800</v>
      </c>
      <c r="H37" s="247">
        <f t="shared" si="0"/>
        <v>2033.3333333333333</v>
      </c>
      <c r="I37" s="247">
        <v>4.07</v>
      </c>
    </row>
    <row r="38" spans="1:9" x14ac:dyDescent="0.25">
      <c r="A38" s="244" t="s">
        <v>89</v>
      </c>
      <c r="B38" s="244" t="s">
        <v>10</v>
      </c>
      <c r="C38" s="245">
        <v>500</v>
      </c>
      <c r="D38" s="246">
        <f>1940/2</f>
        <v>970</v>
      </c>
      <c r="E38" s="247">
        <v>3600</v>
      </c>
      <c r="F38" s="247">
        <v>3100</v>
      </c>
      <c r="G38" s="247">
        <v>2700</v>
      </c>
      <c r="H38" s="247">
        <f t="shared" si="0"/>
        <v>3133.3333333333335</v>
      </c>
      <c r="I38" s="247">
        <v>6.27</v>
      </c>
    </row>
    <row r="39" spans="1:9" x14ac:dyDescent="0.25">
      <c r="A39" s="244" t="s">
        <v>111</v>
      </c>
      <c r="B39" s="244" t="s">
        <v>10</v>
      </c>
      <c r="C39" s="245">
        <v>500</v>
      </c>
      <c r="D39" s="246">
        <f>8500/2</f>
        <v>4250</v>
      </c>
      <c r="E39" s="247">
        <v>6790</v>
      </c>
      <c r="F39" s="247">
        <v>6000</v>
      </c>
      <c r="G39" s="247">
        <v>6500</v>
      </c>
      <c r="H39" s="247">
        <f t="shared" si="0"/>
        <v>6430</v>
      </c>
      <c r="I39" s="247">
        <v>12.86</v>
      </c>
    </row>
    <row r="40" spans="1:9" x14ac:dyDescent="0.25">
      <c r="A40" s="244" t="s">
        <v>463</v>
      </c>
      <c r="B40" s="244" t="s">
        <v>10</v>
      </c>
      <c r="C40" s="245">
        <v>500</v>
      </c>
      <c r="D40" s="275" t="s">
        <v>272</v>
      </c>
      <c r="E40" s="247">
        <v>7500</v>
      </c>
      <c r="F40" s="247">
        <v>6800</v>
      </c>
      <c r="G40" s="247">
        <v>7000</v>
      </c>
      <c r="H40" s="247">
        <f t="shared" si="0"/>
        <v>7100</v>
      </c>
      <c r="I40" s="247">
        <v>14.2</v>
      </c>
    </row>
    <row r="41" spans="1:9" x14ac:dyDescent="0.25">
      <c r="A41" s="244" t="s">
        <v>65</v>
      </c>
      <c r="B41" s="244" t="s">
        <v>10</v>
      </c>
      <c r="C41" s="245">
        <v>500</v>
      </c>
      <c r="D41" s="275" t="s">
        <v>272</v>
      </c>
      <c r="E41" s="247">
        <v>4500</v>
      </c>
      <c r="F41" s="247">
        <v>4100</v>
      </c>
      <c r="G41" s="247">
        <v>3800</v>
      </c>
      <c r="H41" s="247">
        <f t="shared" si="0"/>
        <v>4133.333333333333</v>
      </c>
      <c r="I41" s="247">
        <v>8.27</v>
      </c>
    </row>
    <row r="42" spans="1:9" x14ac:dyDescent="0.25">
      <c r="A42" s="244" t="s">
        <v>69</v>
      </c>
      <c r="B42" s="244" t="s">
        <v>10</v>
      </c>
      <c r="C42" s="245">
        <v>500</v>
      </c>
      <c r="D42" s="246">
        <f>2439/2</f>
        <v>1219.5</v>
      </c>
      <c r="E42" s="247">
        <v>2900</v>
      </c>
      <c r="F42" s="247">
        <v>2000</v>
      </c>
      <c r="G42" s="247">
        <v>1700</v>
      </c>
      <c r="H42" s="247">
        <f t="shared" si="0"/>
        <v>2200</v>
      </c>
      <c r="I42" s="247">
        <v>4.4000000000000004</v>
      </c>
    </row>
    <row r="43" spans="1:9" x14ac:dyDescent="0.25">
      <c r="A43" s="244" t="s">
        <v>73</v>
      </c>
      <c r="B43" s="244" t="s">
        <v>10</v>
      </c>
      <c r="C43" s="245">
        <v>90</v>
      </c>
      <c r="D43" s="246">
        <f>(17917*90)/1000</f>
        <v>1612.53</v>
      </c>
      <c r="E43" s="247">
        <v>3300</v>
      </c>
      <c r="F43" s="247">
        <v>3000</v>
      </c>
      <c r="G43" s="247">
        <v>3500</v>
      </c>
      <c r="H43" s="247">
        <f t="shared" si="0"/>
        <v>3266.6666666666665</v>
      </c>
      <c r="I43" s="247">
        <v>36.299999999999997</v>
      </c>
    </row>
    <row r="44" spans="1:9" x14ac:dyDescent="0.25">
      <c r="A44" s="244" t="s">
        <v>245</v>
      </c>
      <c r="B44" s="244" t="s">
        <v>10</v>
      </c>
      <c r="C44" s="245">
        <v>500</v>
      </c>
      <c r="D44" s="275" t="s">
        <v>272</v>
      </c>
      <c r="E44" s="247">
        <v>9050</v>
      </c>
      <c r="F44" s="247">
        <v>8100</v>
      </c>
      <c r="G44" s="247">
        <v>8000</v>
      </c>
      <c r="H44" s="247">
        <f t="shared" si="0"/>
        <v>8383.3333333333339</v>
      </c>
      <c r="I44" s="247">
        <v>16.77</v>
      </c>
    </row>
    <row r="45" spans="1:9" x14ac:dyDescent="0.25">
      <c r="A45" s="244" t="s">
        <v>74</v>
      </c>
      <c r="B45" s="244" t="s">
        <v>10</v>
      </c>
      <c r="C45" s="245">
        <v>500</v>
      </c>
      <c r="D45" s="246">
        <f>24000/2</f>
        <v>12000</v>
      </c>
      <c r="E45" s="247">
        <v>15000</v>
      </c>
      <c r="F45" s="247">
        <v>16900</v>
      </c>
      <c r="G45" s="247">
        <v>13500</v>
      </c>
      <c r="H45" s="247">
        <f t="shared" si="0"/>
        <v>15133.333333333334</v>
      </c>
      <c r="I45" s="247">
        <v>30.27</v>
      </c>
    </row>
    <row r="46" spans="1:9" x14ac:dyDescent="0.25">
      <c r="A46" s="244" t="s">
        <v>81</v>
      </c>
      <c r="B46" s="244" t="s">
        <v>10</v>
      </c>
      <c r="C46" s="245">
        <v>500</v>
      </c>
      <c r="D46" s="246">
        <f>2467/2</f>
        <v>1233.5</v>
      </c>
      <c r="E46" s="247">
        <v>3200</v>
      </c>
      <c r="F46" s="247">
        <v>2850</v>
      </c>
      <c r="G46" s="247">
        <v>2300</v>
      </c>
      <c r="H46" s="247">
        <f t="shared" si="0"/>
        <v>2783.3333333333335</v>
      </c>
      <c r="I46" s="247">
        <v>5.57</v>
      </c>
    </row>
    <row r="47" spans="1:9" x14ac:dyDescent="0.25">
      <c r="A47" s="244" t="s">
        <v>42</v>
      </c>
      <c r="B47" s="244" t="s">
        <v>10</v>
      </c>
      <c r="C47" s="245">
        <v>500</v>
      </c>
      <c r="D47" s="246">
        <f>4556/2</f>
        <v>2278</v>
      </c>
      <c r="E47" s="247">
        <v>2750</v>
      </c>
      <c r="F47" s="247">
        <v>2400</v>
      </c>
      <c r="G47" s="247">
        <v>2300</v>
      </c>
      <c r="H47" s="247">
        <f t="shared" si="0"/>
        <v>2483.3333333333335</v>
      </c>
      <c r="I47" s="247">
        <v>4.97</v>
      </c>
    </row>
    <row r="48" spans="1:9" x14ac:dyDescent="0.25">
      <c r="A48" s="244" t="s">
        <v>85</v>
      </c>
      <c r="B48" s="244" t="s">
        <v>10</v>
      </c>
      <c r="C48" s="245">
        <v>500</v>
      </c>
      <c r="D48" s="246">
        <f>2911/2</f>
        <v>1455.5</v>
      </c>
      <c r="E48" s="247">
        <v>1950</v>
      </c>
      <c r="F48" s="247">
        <v>2100</v>
      </c>
      <c r="G48" s="247">
        <v>2000</v>
      </c>
      <c r="H48" s="247">
        <f t="shared" si="0"/>
        <v>2016.6666666666667</v>
      </c>
      <c r="I48" s="247">
        <v>4.03</v>
      </c>
    </row>
    <row r="49" spans="1:11" x14ac:dyDescent="0.25">
      <c r="A49" s="244" t="s">
        <v>88</v>
      </c>
      <c r="B49" s="244" t="s">
        <v>10</v>
      </c>
      <c r="C49" s="245">
        <v>500</v>
      </c>
      <c r="D49" s="246">
        <f>1567/2</f>
        <v>783.5</v>
      </c>
      <c r="E49" s="247">
        <v>2090</v>
      </c>
      <c r="F49" s="247">
        <v>2200</v>
      </c>
      <c r="G49" s="247">
        <v>2000</v>
      </c>
      <c r="H49" s="247">
        <f t="shared" si="0"/>
        <v>2096.6666666666665</v>
      </c>
      <c r="I49" s="247">
        <v>4.1900000000000004</v>
      </c>
    </row>
    <row r="50" spans="1:11" x14ac:dyDescent="0.25">
      <c r="A50" s="244" t="s">
        <v>103</v>
      </c>
      <c r="B50" s="244" t="s">
        <v>10</v>
      </c>
      <c r="C50" s="245">
        <v>500</v>
      </c>
      <c r="D50" s="246">
        <f>5000/2</f>
        <v>2500</v>
      </c>
      <c r="E50" s="247">
        <v>2190</v>
      </c>
      <c r="F50" s="247">
        <v>2000</v>
      </c>
      <c r="G50" s="247">
        <v>2500</v>
      </c>
      <c r="H50" s="247">
        <f t="shared" si="0"/>
        <v>2230</v>
      </c>
      <c r="I50" s="247">
        <v>4.46</v>
      </c>
    </row>
    <row r="51" spans="1:11" x14ac:dyDescent="0.25">
      <c r="A51" s="244" t="s">
        <v>95</v>
      </c>
      <c r="B51" s="244" t="s">
        <v>10</v>
      </c>
      <c r="C51" s="245">
        <v>500</v>
      </c>
      <c r="D51" s="246">
        <f>1650/2</f>
        <v>825</v>
      </c>
      <c r="E51" s="247">
        <v>1470</v>
      </c>
      <c r="F51" s="247">
        <v>1250</v>
      </c>
      <c r="G51" s="247">
        <v>1300</v>
      </c>
      <c r="H51" s="247">
        <f t="shared" si="0"/>
        <v>1340</v>
      </c>
      <c r="I51" s="247">
        <v>2.68</v>
      </c>
    </row>
    <row r="52" spans="1:11" x14ac:dyDescent="0.25">
      <c r="A52" s="244" t="s">
        <v>53</v>
      </c>
      <c r="B52" s="249" t="s">
        <v>12</v>
      </c>
      <c r="C52" s="245">
        <v>20000</v>
      </c>
      <c r="D52" s="275" t="s">
        <v>272</v>
      </c>
      <c r="E52" s="247">
        <v>14000</v>
      </c>
      <c r="F52" s="247">
        <v>12200</v>
      </c>
      <c r="G52" s="247">
        <v>14000</v>
      </c>
      <c r="H52" s="247">
        <f t="shared" si="0"/>
        <v>13400</v>
      </c>
      <c r="I52" s="247">
        <v>0.67</v>
      </c>
    </row>
    <row r="53" spans="1:11" x14ac:dyDescent="0.25">
      <c r="A53" s="250" t="s">
        <v>109</v>
      </c>
      <c r="B53" s="249" t="s">
        <v>12</v>
      </c>
      <c r="C53" s="260">
        <v>200</v>
      </c>
      <c r="D53" s="275" t="s">
        <v>272</v>
      </c>
      <c r="E53" s="261">
        <v>1000</v>
      </c>
      <c r="F53" s="261">
        <v>1200</v>
      </c>
      <c r="G53" s="262">
        <v>1200</v>
      </c>
      <c r="H53" s="247">
        <f t="shared" ref="H53:H84" si="1">AVERAGE(E53:G53)</f>
        <v>1133.3333333333333</v>
      </c>
      <c r="I53" s="247">
        <v>5.67</v>
      </c>
      <c r="K53" s="12"/>
    </row>
    <row r="54" spans="1:11" s="277" customFormat="1" ht="25.5" x14ac:dyDescent="0.25">
      <c r="A54" s="250" t="s">
        <v>387</v>
      </c>
      <c r="B54" s="276" t="s">
        <v>12</v>
      </c>
      <c r="C54" s="263">
        <v>200</v>
      </c>
      <c r="D54" s="248" t="s">
        <v>272</v>
      </c>
      <c r="E54" s="264">
        <v>1020</v>
      </c>
      <c r="F54" s="264">
        <v>1300</v>
      </c>
      <c r="G54" s="265">
        <v>1300</v>
      </c>
      <c r="H54" s="266">
        <f t="shared" si="1"/>
        <v>1206.6666666666667</v>
      </c>
      <c r="I54" s="266">
        <v>6.03</v>
      </c>
    </row>
    <row r="55" spans="1:11" s="277" customFormat="1" ht="25.5" x14ac:dyDescent="0.25">
      <c r="A55" s="250" t="s">
        <v>110</v>
      </c>
      <c r="B55" s="276" t="s">
        <v>12</v>
      </c>
      <c r="C55" s="263">
        <v>200</v>
      </c>
      <c r="D55" s="248" t="s">
        <v>272</v>
      </c>
      <c r="E55" s="264">
        <v>1040</v>
      </c>
      <c r="F55" s="264">
        <v>1600</v>
      </c>
      <c r="G55" s="265">
        <v>1600</v>
      </c>
      <c r="H55" s="266">
        <f t="shared" si="1"/>
        <v>1413.3333333333333</v>
      </c>
      <c r="I55" s="266">
        <v>7.07</v>
      </c>
    </row>
    <row r="56" spans="1:11" x14ac:dyDescent="0.25">
      <c r="A56" s="250" t="s">
        <v>405</v>
      </c>
      <c r="B56" s="267" t="s">
        <v>10</v>
      </c>
      <c r="C56" s="245">
        <v>30</v>
      </c>
      <c r="D56" s="248" t="s">
        <v>272</v>
      </c>
      <c r="E56" s="247">
        <v>370</v>
      </c>
      <c r="F56" s="247">
        <v>380</v>
      </c>
      <c r="G56" s="268">
        <v>390</v>
      </c>
      <c r="H56" s="247">
        <f t="shared" si="1"/>
        <v>380</v>
      </c>
      <c r="I56" s="247">
        <v>12.67</v>
      </c>
    </row>
    <row r="57" spans="1:11" x14ac:dyDescent="0.25">
      <c r="A57" s="250" t="s">
        <v>406</v>
      </c>
      <c r="B57" s="267" t="s">
        <v>10</v>
      </c>
      <c r="C57" s="245">
        <v>50</v>
      </c>
      <c r="D57" s="248" t="s">
        <v>272</v>
      </c>
      <c r="E57" s="247">
        <v>620</v>
      </c>
      <c r="F57" s="247">
        <v>630</v>
      </c>
      <c r="G57" s="268">
        <v>650</v>
      </c>
      <c r="H57" s="247">
        <f t="shared" si="1"/>
        <v>633.33333333333337</v>
      </c>
      <c r="I57" s="247">
        <v>12.67</v>
      </c>
    </row>
    <row r="58" spans="1:11" x14ac:dyDescent="0.25">
      <c r="A58" s="250" t="s">
        <v>407</v>
      </c>
      <c r="B58" s="267" t="s">
        <v>10</v>
      </c>
      <c r="C58" s="245">
        <v>60</v>
      </c>
      <c r="D58" s="248" t="s">
        <v>272</v>
      </c>
      <c r="E58" s="247">
        <v>740</v>
      </c>
      <c r="F58" s="247">
        <v>750</v>
      </c>
      <c r="G58" s="268">
        <v>780</v>
      </c>
      <c r="H58" s="247">
        <f t="shared" si="1"/>
        <v>756.66666666666663</v>
      </c>
      <c r="I58" s="247">
        <v>12.61</v>
      </c>
    </row>
    <row r="59" spans="1:11" x14ac:dyDescent="0.25">
      <c r="A59" s="250" t="s">
        <v>448</v>
      </c>
      <c r="B59" s="267" t="s">
        <v>10</v>
      </c>
      <c r="C59" s="245">
        <v>40</v>
      </c>
      <c r="D59" s="248" t="s">
        <v>272</v>
      </c>
      <c r="E59" s="247">
        <v>640</v>
      </c>
      <c r="F59" s="247">
        <v>680</v>
      </c>
      <c r="G59" s="268">
        <v>720</v>
      </c>
      <c r="H59" s="247">
        <f t="shared" si="1"/>
        <v>680</v>
      </c>
      <c r="I59" s="247">
        <v>17</v>
      </c>
    </row>
    <row r="60" spans="1:11" x14ac:dyDescent="0.25">
      <c r="A60" s="250" t="s">
        <v>408</v>
      </c>
      <c r="B60" s="267" t="s">
        <v>10</v>
      </c>
      <c r="C60" s="245">
        <v>50</v>
      </c>
      <c r="D60" s="248" t="s">
        <v>272</v>
      </c>
      <c r="E60" s="247">
        <v>800</v>
      </c>
      <c r="F60" s="247">
        <v>850</v>
      </c>
      <c r="G60" s="268">
        <v>900</v>
      </c>
      <c r="H60" s="247">
        <f t="shared" ref="H60" si="2">AVERAGE(E60:G60)</f>
        <v>850</v>
      </c>
      <c r="I60" s="247">
        <v>17</v>
      </c>
    </row>
    <row r="61" spans="1:11" x14ac:dyDescent="0.25">
      <c r="A61" s="250" t="s">
        <v>409</v>
      </c>
      <c r="B61" s="267" t="s">
        <v>10</v>
      </c>
      <c r="C61" s="245">
        <v>60</v>
      </c>
      <c r="D61" s="248" t="s">
        <v>272</v>
      </c>
      <c r="E61" s="247">
        <v>960</v>
      </c>
      <c r="F61" s="247">
        <v>1020</v>
      </c>
      <c r="G61" s="268">
        <v>1080</v>
      </c>
      <c r="H61" s="247">
        <f t="shared" si="1"/>
        <v>1020</v>
      </c>
      <c r="I61" s="247">
        <v>17</v>
      </c>
    </row>
    <row r="62" spans="1:11" x14ac:dyDescent="0.25">
      <c r="A62" s="250" t="s">
        <v>467</v>
      </c>
      <c r="B62" s="267" t="s">
        <v>10</v>
      </c>
      <c r="C62" s="245">
        <v>70</v>
      </c>
      <c r="D62" s="248" t="s">
        <v>272</v>
      </c>
      <c r="E62" s="247">
        <v>1120</v>
      </c>
      <c r="F62" s="247">
        <v>1190</v>
      </c>
      <c r="G62" s="268">
        <v>1260</v>
      </c>
      <c r="H62" s="247">
        <f t="shared" si="1"/>
        <v>1190</v>
      </c>
      <c r="I62" s="247">
        <v>17</v>
      </c>
    </row>
    <row r="63" spans="1:11" x14ac:dyDescent="0.25">
      <c r="A63" s="250" t="s">
        <v>454</v>
      </c>
      <c r="B63" s="267" t="s">
        <v>10</v>
      </c>
      <c r="C63" s="245">
        <v>40</v>
      </c>
      <c r="D63" s="248" t="s">
        <v>272</v>
      </c>
      <c r="E63" s="247">
        <v>670</v>
      </c>
      <c r="F63" s="247">
        <v>680</v>
      </c>
      <c r="G63" s="268">
        <v>740</v>
      </c>
      <c r="H63" s="247">
        <f t="shared" si="1"/>
        <v>696.66666666666663</v>
      </c>
      <c r="I63" s="247">
        <v>17.420000000000002</v>
      </c>
    </row>
    <row r="64" spans="1:11" x14ac:dyDescent="0.25">
      <c r="A64" s="250" t="s">
        <v>410</v>
      </c>
      <c r="B64" s="267" t="s">
        <v>10</v>
      </c>
      <c r="C64" s="245">
        <v>50</v>
      </c>
      <c r="D64" s="248" t="s">
        <v>272</v>
      </c>
      <c r="E64" s="247">
        <v>850</v>
      </c>
      <c r="F64" s="247">
        <v>850</v>
      </c>
      <c r="G64" s="268">
        <v>930</v>
      </c>
      <c r="H64" s="247">
        <f t="shared" ref="H64" si="3">AVERAGE(E64:G64)</f>
        <v>876.66666666666663</v>
      </c>
      <c r="I64" s="247">
        <v>17.53</v>
      </c>
    </row>
    <row r="65" spans="1:9" x14ac:dyDescent="0.25">
      <c r="A65" s="250" t="s">
        <v>411</v>
      </c>
      <c r="B65" s="267" t="s">
        <v>10</v>
      </c>
      <c r="C65" s="245">
        <v>60</v>
      </c>
      <c r="D65" s="248" t="s">
        <v>272</v>
      </c>
      <c r="E65" s="247">
        <v>1000</v>
      </c>
      <c r="F65" s="247">
        <v>1020</v>
      </c>
      <c r="G65" s="268">
        <v>1110</v>
      </c>
      <c r="H65" s="247">
        <f t="shared" si="1"/>
        <v>1043.3333333333333</v>
      </c>
      <c r="I65" s="247">
        <v>17.39</v>
      </c>
    </row>
    <row r="66" spans="1:9" x14ac:dyDescent="0.25">
      <c r="A66" s="250" t="s">
        <v>466</v>
      </c>
      <c r="B66" s="267" t="s">
        <v>10</v>
      </c>
      <c r="C66" s="245">
        <v>70</v>
      </c>
      <c r="D66" s="248" t="s">
        <v>272</v>
      </c>
      <c r="E66" s="247">
        <v>1190</v>
      </c>
      <c r="F66" s="247">
        <v>1190</v>
      </c>
      <c r="G66" s="268">
        <v>1295</v>
      </c>
      <c r="H66" s="247">
        <f t="shared" si="1"/>
        <v>1225</v>
      </c>
      <c r="I66" s="247">
        <v>17.5</v>
      </c>
    </row>
    <row r="67" spans="1:9" x14ac:dyDescent="0.25">
      <c r="A67" s="250" t="s">
        <v>412</v>
      </c>
      <c r="B67" s="267" t="s">
        <v>10</v>
      </c>
      <c r="C67" s="245">
        <v>30</v>
      </c>
      <c r="D67" s="248" t="s">
        <v>272</v>
      </c>
      <c r="E67" s="247">
        <v>450</v>
      </c>
      <c r="F67" s="247">
        <v>460</v>
      </c>
      <c r="G67" s="268">
        <v>525</v>
      </c>
      <c r="H67" s="247">
        <f t="shared" si="1"/>
        <v>478.33333333333331</v>
      </c>
      <c r="I67" s="247">
        <v>15.94</v>
      </c>
    </row>
    <row r="68" spans="1:9" x14ac:dyDescent="0.25">
      <c r="A68" s="250" t="s">
        <v>413</v>
      </c>
      <c r="B68" s="267" t="s">
        <v>10</v>
      </c>
      <c r="C68" s="245">
        <v>50</v>
      </c>
      <c r="D68" s="248" t="s">
        <v>272</v>
      </c>
      <c r="E68" s="247">
        <v>700</v>
      </c>
      <c r="F68" s="247">
        <v>770</v>
      </c>
      <c r="G68" s="268">
        <v>875</v>
      </c>
      <c r="H68" s="247">
        <f t="shared" si="1"/>
        <v>781.66666666666663</v>
      </c>
      <c r="I68" s="247">
        <v>15.63</v>
      </c>
    </row>
    <row r="69" spans="1:9" x14ac:dyDescent="0.25">
      <c r="A69" s="250" t="s">
        <v>414</v>
      </c>
      <c r="B69" s="267" t="s">
        <v>10</v>
      </c>
      <c r="C69" s="245">
        <v>60</v>
      </c>
      <c r="D69" s="248" t="s">
        <v>272</v>
      </c>
      <c r="E69" s="247">
        <v>800</v>
      </c>
      <c r="F69" s="247">
        <v>930</v>
      </c>
      <c r="G69" s="268">
        <v>1050</v>
      </c>
      <c r="H69" s="247">
        <f t="shared" si="1"/>
        <v>926.66666666666663</v>
      </c>
      <c r="I69" s="247">
        <v>15.44</v>
      </c>
    </row>
    <row r="70" spans="1:9" x14ac:dyDescent="0.25">
      <c r="A70" s="250" t="s">
        <v>460</v>
      </c>
      <c r="B70" s="267" t="s">
        <v>10</v>
      </c>
      <c r="C70" s="245">
        <v>30</v>
      </c>
      <c r="D70" s="248" t="s">
        <v>272</v>
      </c>
      <c r="E70" s="247">
        <v>560</v>
      </c>
      <c r="F70" s="247">
        <v>580</v>
      </c>
      <c r="G70" s="268">
        <v>640</v>
      </c>
      <c r="H70" s="247">
        <f t="shared" si="1"/>
        <v>593.33333333333337</v>
      </c>
      <c r="I70" s="247">
        <v>19.78</v>
      </c>
    </row>
    <row r="71" spans="1:9" x14ac:dyDescent="0.25">
      <c r="A71" s="250" t="s">
        <v>415</v>
      </c>
      <c r="B71" s="267" t="s">
        <v>10</v>
      </c>
      <c r="C71" s="245">
        <v>40</v>
      </c>
      <c r="D71" s="248" t="s">
        <v>272</v>
      </c>
      <c r="E71" s="247">
        <v>700</v>
      </c>
      <c r="F71" s="247">
        <v>730</v>
      </c>
      <c r="G71" s="268">
        <v>800</v>
      </c>
      <c r="H71" s="247">
        <f t="shared" ref="H71" si="4">AVERAGE(E71:G71)</f>
        <v>743.33333333333337</v>
      </c>
      <c r="I71" s="247">
        <v>18.579999999999998</v>
      </c>
    </row>
    <row r="72" spans="1:9" x14ac:dyDescent="0.25">
      <c r="A72" s="250" t="s">
        <v>416</v>
      </c>
      <c r="B72" s="267" t="s">
        <v>10</v>
      </c>
      <c r="C72" s="245">
        <v>50</v>
      </c>
      <c r="D72" s="248" t="s">
        <v>272</v>
      </c>
      <c r="E72" s="247">
        <v>840</v>
      </c>
      <c r="F72" s="247">
        <v>870</v>
      </c>
      <c r="G72" s="268">
        <v>960</v>
      </c>
      <c r="H72" s="247">
        <f t="shared" si="1"/>
        <v>890</v>
      </c>
      <c r="I72" s="247">
        <v>17.8</v>
      </c>
    </row>
    <row r="73" spans="1:9" x14ac:dyDescent="0.25">
      <c r="A73" s="250" t="s">
        <v>468</v>
      </c>
      <c r="B73" s="267" t="s">
        <v>10</v>
      </c>
      <c r="C73" s="245">
        <v>60</v>
      </c>
      <c r="D73" s="248" t="s">
        <v>272</v>
      </c>
      <c r="E73" s="247">
        <v>980</v>
      </c>
      <c r="F73" s="247">
        <v>1020</v>
      </c>
      <c r="G73" s="268">
        <v>1120</v>
      </c>
      <c r="H73" s="247">
        <f t="shared" si="1"/>
        <v>1040</v>
      </c>
      <c r="I73" s="247">
        <v>17.329999999999998</v>
      </c>
    </row>
    <row r="74" spans="1:9" x14ac:dyDescent="0.25">
      <c r="A74" s="250" t="s">
        <v>450</v>
      </c>
      <c r="B74" s="267" t="s">
        <v>10</v>
      </c>
      <c r="C74" s="245">
        <v>30</v>
      </c>
      <c r="D74" s="248" t="s">
        <v>272</v>
      </c>
      <c r="E74" s="247">
        <v>640</v>
      </c>
      <c r="F74" s="247">
        <v>660</v>
      </c>
      <c r="G74" s="268">
        <v>720</v>
      </c>
      <c r="H74" s="247">
        <f t="shared" si="1"/>
        <v>673.33333333333337</v>
      </c>
      <c r="I74" s="247">
        <v>22.44</v>
      </c>
    </row>
    <row r="75" spans="1:9" x14ac:dyDescent="0.25">
      <c r="A75" s="250" t="s">
        <v>417</v>
      </c>
      <c r="B75" s="267" t="s">
        <v>10</v>
      </c>
      <c r="C75" s="245">
        <v>40</v>
      </c>
      <c r="D75" s="248" t="s">
        <v>272</v>
      </c>
      <c r="E75" s="247">
        <v>800</v>
      </c>
      <c r="F75" s="247">
        <v>830</v>
      </c>
      <c r="G75" s="268">
        <v>900</v>
      </c>
      <c r="H75" s="247">
        <f t="shared" ref="H75" si="5">AVERAGE(E75:G75)</f>
        <v>843.33333333333337</v>
      </c>
      <c r="I75" s="247">
        <v>21.08</v>
      </c>
    </row>
    <row r="76" spans="1:9" x14ac:dyDescent="0.25">
      <c r="A76" s="250" t="s">
        <v>418</v>
      </c>
      <c r="B76" s="267" t="s">
        <v>10</v>
      </c>
      <c r="C76" s="245">
        <v>50</v>
      </c>
      <c r="D76" s="248" t="s">
        <v>272</v>
      </c>
      <c r="E76" s="247">
        <v>960</v>
      </c>
      <c r="F76" s="247">
        <v>990</v>
      </c>
      <c r="G76" s="268">
        <v>1080</v>
      </c>
      <c r="H76" s="247">
        <f t="shared" si="1"/>
        <v>1010</v>
      </c>
      <c r="I76" s="247">
        <v>20.2</v>
      </c>
    </row>
    <row r="77" spans="1:9" x14ac:dyDescent="0.25">
      <c r="A77" s="250" t="s">
        <v>465</v>
      </c>
      <c r="B77" s="267" t="s">
        <v>10</v>
      </c>
      <c r="C77" s="245">
        <v>60</v>
      </c>
      <c r="D77" s="248" t="s">
        <v>272</v>
      </c>
      <c r="E77" s="247">
        <v>1020</v>
      </c>
      <c r="F77" s="247">
        <v>1160</v>
      </c>
      <c r="G77" s="268">
        <v>1260</v>
      </c>
      <c r="H77" s="247">
        <f t="shared" si="1"/>
        <v>1146.6666666666667</v>
      </c>
      <c r="I77" s="247">
        <v>19.11</v>
      </c>
    </row>
    <row r="78" spans="1:9" x14ac:dyDescent="0.25">
      <c r="A78" s="250" t="s">
        <v>419</v>
      </c>
      <c r="B78" s="267" t="s">
        <v>10</v>
      </c>
      <c r="C78" s="245">
        <v>30</v>
      </c>
      <c r="D78" s="248" t="s">
        <v>272</v>
      </c>
      <c r="E78" s="247">
        <v>570</v>
      </c>
      <c r="F78" s="247">
        <v>600</v>
      </c>
      <c r="G78" s="268">
        <v>615</v>
      </c>
      <c r="H78" s="247">
        <f t="shared" si="1"/>
        <v>595</v>
      </c>
      <c r="I78" s="247">
        <v>19.829999999999998</v>
      </c>
    </row>
    <row r="79" spans="1:9" x14ac:dyDescent="0.25">
      <c r="A79" s="250" t="s">
        <v>420</v>
      </c>
      <c r="B79" s="267" t="s">
        <v>10</v>
      </c>
      <c r="C79" s="245">
        <v>50</v>
      </c>
      <c r="D79" s="248" t="s">
        <v>272</v>
      </c>
      <c r="E79" s="247">
        <v>950</v>
      </c>
      <c r="F79" s="247">
        <v>1000</v>
      </c>
      <c r="G79" s="268">
        <v>1025</v>
      </c>
      <c r="H79" s="247">
        <f t="shared" si="1"/>
        <v>991.66666666666663</v>
      </c>
      <c r="I79" s="247">
        <v>19.829999999999998</v>
      </c>
    </row>
    <row r="80" spans="1:9" x14ac:dyDescent="0.25">
      <c r="A80" s="250" t="s">
        <v>421</v>
      </c>
      <c r="B80" s="267" t="s">
        <v>10</v>
      </c>
      <c r="C80" s="245">
        <v>60</v>
      </c>
      <c r="D80" s="248" t="s">
        <v>272</v>
      </c>
      <c r="E80" s="247">
        <v>1140</v>
      </c>
      <c r="F80" s="247">
        <v>1200</v>
      </c>
      <c r="G80" s="268">
        <v>1230</v>
      </c>
      <c r="H80" s="247">
        <f t="shared" si="1"/>
        <v>1190</v>
      </c>
      <c r="I80" s="247">
        <v>19.829999999999998</v>
      </c>
    </row>
    <row r="81" spans="1:9" s="270" customFormat="1" ht="25.5" x14ac:dyDescent="0.25">
      <c r="A81" s="250" t="s">
        <v>425</v>
      </c>
      <c r="B81" s="269" t="s">
        <v>10</v>
      </c>
      <c r="C81" s="263">
        <v>20</v>
      </c>
      <c r="D81" s="248" t="s">
        <v>272</v>
      </c>
      <c r="E81" s="264">
        <v>380</v>
      </c>
      <c r="F81" s="264">
        <v>420</v>
      </c>
      <c r="G81" s="265">
        <v>420</v>
      </c>
      <c r="H81" s="266">
        <f t="shared" si="1"/>
        <v>406.66666666666669</v>
      </c>
      <c r="I81" s="266">
        <v>20.329999999999998</v>
      </c>
    </row>
    <row r="82" spans="1:9" s="271" customFormat="1" x14ac:dyDescent="0.25">
      <c r="A82" s="250" t="s">
        <v>422</v>
      </c>
      <c r="B82" s="267" t="s">
        <v>10</v>
      </c>
      <c r="C82" s="260">
        <v>20</v>
      </c>
      <c r="D82" s="248" t="s">
        <v>272</v>
      </c>
      <c r="E82" s="261">
        <v>456</v>
      </c>
      <c r="F82" s="261">
        <v>504</v>
      </c>
      <c r="G82" s="262">
        <v>479</v>
      </c>
      <c r="H82" s="247">
        <f t="shared" si="1"/>
        <v>479.66666666666669</v>
      </c>
      <c r="I82" s="247">
        <v>23.98</v>
      </c>
    </row>
    <row r="83" spans="1:9" x14ac:dyDescent="0.25">
      <c r="A83" s="267" t="s">
        <v>426</v>
      </c>
      <c r="B83" s="267" t="s">
        <v>10</v>
      </c>
      <c r="C83" s="260">
        <v>20</v>
      </c>
      <c r="D83" s="248" t="s">
        <v>272</v>
      </c>
      <c r="E83" s="247">
        <v>399</v>
      </c>
      <c r="F83" s="247">
        <v>399</v>
      </c>
      <c r="G83" s="268">
        <v>380</v>
      </c>
      <c r="H83" s="247">
        <f t="shared" si="1"/>
        <v>392.66666666666669</v>
      </c>
      <c r="I83" s="247">
        <v>19.63</v>
      </c>
    </row>
    <row r="84" spans="1:9" s="271" customFormat="1" x14ac:dyDescent="0.25">
      <c r="A84" s="249" t="s">
        <v>423</v>
      </c>
      <c r="B84" s="267" t="s">
        <v>10</v>
      </c>
      <c r="C84" s="260">
        <v>20</v>
      </c>
      <c r="D84" s="248" t="s">
        <v>272</v>
      </c>
      <c r="E84" s="261">
        <v>340</v>
      </c>
      <c r="F84" s="261">
        <v>380</v>
      </c>
      <c r="G84" s="262">
        <v>350</v>
      </c>
      <c r="H84" s="247">
        <f t="shared" si="1"/>
        <v>356.66666666666669</v>
      </c>
      <c r="I84" s="247">
        <v>17.829999999999998</v>
      </c>
    </row>
    <row r="88" spans="1:9" x14ac:dyDescent="0.25">
      <c r="A88" s="305"/>
      <c r="B88" s="305"/>
      <c r="C88" s="305"/>
      <c r="D88" s="305"/>
      <c r="E88" s="305"/>
      <c r="F88" s="305"/>
      <c r="G88" s="305"/>
      <c r="H88" s="305"/>
      <c r="I88" s="305"/>
    </row>
    <row r="89" spans="1:9" x14ac:dyDescent="0.25">
      <c r="A89" s="305"/>
      <c r="B89" s="305"/>
      <c r="C89" s="305"/>
      <c r="D89" s="305"/>
      <c r="E89" s="305"/>
      <c r="F89" s="305"/>
      <c r="G89" s="305"/>
      <c r="H89" s="305"/>
      <c r="I89" s="305"/>
    </row>
    <row r="90" spans="1:9" x14ac:dyDescent="0.25">
      <c r="A90" s="306"/>
      <c r="B90" s="306"/>
      <c r="C90" s="306"/>
      <c r="D90" s="306"/>
      <c r="E90" s="306"/>
      <c r="F90" s="306"/>
      <c r="G90" s="306"/>
      <c r="H90" s="306"/>
      <c r="I90" s="306"/>
    </row>
  </sheetData>
  <mergeCells count="10">
    <mergeCell ref="A1:I1"/>
    <mergeCell ref="A2:I2"/>
    <mergeCell ref="A3:I3"/>
    <mergeCell ref="A4:I4"/>
    <mergeCell ref="A90:I90"/>
    <mergeCell ref="A7:I7"/>
    <mergeCell ref="A5:I5"/>
    <mergeCell ref="A88:I88"/>
    <mergeCell ref="A89:I89"/>
    <mergeCell ref="A6:I6"/>
  </mergeCells>
  <printOptions horizontalCentered="1"/>
  <pageMargins left="0.31496062992125984" right="0.31496062992125984" top="0.78740157480314965" bottom="0.78740157480314965" header="0.31496062992125984" footer="0.39370078740157483"/>
  <pageSetup paperSize="41" scale="70" orientation="portrait" r:id="rId1"/>
  <headerFooter>
    <oddFooter>&amp;CPágina &amp;P  de  &amp;N</oddFooter>
  </headerFooter>
  <rowBreaks count="1" manualBreakCount="1">
    <brk id="52"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9"/>
  <sheetViews>
    <sheetView view="pageBreakPreview" topLeftCell="A23" zoomScaleNormal="84" zoomScaleSheetLayoutView="100" zoomScalePageLayoutView="77" workbookViewId="0">
      <selection activeCell="A389" sqref="A389:F389"/>
    </sheetView>
  </sheetViews>
  <sheetFormatPr baseColWidth="10" defaultColWidth="11.42578125" defaultRowHeight="14.25" x14ac:dyDescent="0.2"/>
  <cols>
    <col min="1" max="1" width="21" style="191" customWidth="1"/>
    <col min="2" max="2" width="36" style="191" customWidth="1"/>
    <col min="3" max="3" width="24.140625" style="191" customWidth="1"/>
    <col min="4" max="4" width="23.28515625" style="191" customWidth="1"/>
    <col min="5" max="5" width="14" style="191" customWidth="1"/>
    <col min="6" max="6" width="14.7109375" style="191" customWidth="1"/>
    <col min="7" max="16384" width="11.42578125" style="1"/>
  </cols>
  <sheetData>
    <row r="1" spans="1:9" ht="15.75" x14ac:dyDescent="0.25">
      <c r="A1" s="311" t="s">
        <v>0</v>
      </c>
      <c r="B1" s="311"/>
      <c r="C1" s="311"/>
      <c r="D1" s="311"/>
      <c r="E1" s="311"/>
      <c r="F1" s="311"/>
      <c r="G1" s="210"/>
      <c r="H1" s="210"/>
      <c r="I1" s="210"/>
    </row>
    <row r="2" spans="1:9" ht="15.75" x14ac:dyDescent="0.25">
      <c r="A2" s="311" t="s">
        <v>307</v>
      </c>
      <c r="B2" s="311"/>
      <c r="C2" s="311"/>
      <c r="D2" s="311"/>
      <c r="E2" s="311"/>
      <c r="F2" s="311"/>
      <c r="G2" s="210"/>
      <c r="H2" s="210"/>
      <c r="I2" s="210"/>
    </row>
    <row r="3" spans="1:9" ht="15.75" x14ac:dyDescent="0.25">
      <c r="A3" s="311" t="s">
        <v>273</v>
      </c>
      <c r="B3" s="311"/>
      <c r="C3" s="311"/>
      <c r="D3" s="311"/>
      <c r="E3" s="311"/>
      <c r="F3" s="311"/>
      <c r="G3" s="210"/>
      <c r="H3" s="210"/>
      <c r="I3" s="210"/>
    </row>
    <row r="4" spans="1:9" ht="15.75" x14ac:dyDescent="0.25">
      <c r="A4" s="311" t="s">
        <v>346</v>
      </c>
      <c r="B4" s="311"/>
      <c r="C4" s="311"/>
      <c r="D4" s="311"/>
      <c r="E4" s="311"/>
      <c r="F4" s="311"/>
      <c r="G4" s="210"/>
      <c r="H4" s="210"/>
      <c r="I4" s="210"/>
    </row>
    <row r="5" spans="1:9" ht="20.25" customHeight="1" x14ac:dyDescent="0.25">
      <c r="A5" s="171"/>
      <c r="B5" s="171"/>
      <c r="C5" s="171"/>
      <c r="D5" s="171"/>
      <c r="E5" s="171"/>
      <c r="F5" s="171"/>
    </row>
    <row r="6" spans="1:9" s="4" customFormat="1" ht="20.25" customHeight="1" x14ac:dyDescent="0.25">
      <c r="A6" s="313" t="s">
        <v>461</v>
      </c>
      <c r="B6" s="313"/>
      <c r="C6" s="313"/>
      <c r="D6" s="313"/>
      <c r="E6" s="313"/>
      <c r="F6" s="313"/>
    </row>
    <row r="7" spans="1:9" s="4" customFormat="1" ht="19.5" customHeight="1" x14ac:dyDescent="0.25">
      <c r="A7" s="351" t="s">
        <v>17</v>
      </c>
      <c r="B7" s="351"/>
      <c r="C7" s="321" t="s">
        <v>328</v>
      </c>
      <c r="D7" s="321"/>
      <c r="E7" s="321"/>
      <c r="F7" s="321"/>
    </row>
    <row r="8" spans="1:9" s="4" customFormat="1" ht="19.5" customHeight="1" x14ac:dyDescent="0.25">
      <c r="A8" s="160"/>
      <c r="B8" s="160"/>
      <c r="C8" s="161"/>
      <c r="D8" s="161"/>
      <c r="E8" s="161"/>
      <c r="F8" s="161"/>
    </row>
    <row r="9" spans="1:9" s="4" customFormat="1" ht="19.5" customHeight="1" x14ac:dyDescent="0.25">
      <c r="A9" s="351" t="s">
        <v>18</v>
      </c>
      <c r="B9" s="351"/>
      <c r="C9" s="201" t="s">
        <v>19</v>
      </c>
      <c r="D9" s="161"/>
      <c r="E9" s="161"/>
      <c r="F9" s="161"/>
    </row>
    <row r="10" spans="1:9" s="4" customFormat="1" ht="19.5" customHeight="1" x14ac:dyDescent="0.25">
      <c r="A10" s="160"/>
      <c r="B10" s="162"/>
      <c r="C10" s="162"/>
      <c r="D10" s="162"/>
      <c r="E10" s="162"/>
      <c r="F10" s="162"/>
    </row>
    <row r="11" spans="1:9" s="4" customFormat="1" ht="19.5" customHeight="1" x14ac:dyDescent="0.25">
      <c r="A11" s="205" t="s">
        <v>20</v>
      </c>
      <c r="B11" s="205"/>
      <c r="C11" s="321"/>
      <c r="D11" s="321"/>
      <c r="E11" s="163"/>
      <c r="F11" s="165"/>
    </row>
    <row r="12" spans="1:9" s="4" customFormat="1" ht="19.5" customHeight="1" x14ac:dyDescent="0.25">
      <c r="A12" s="160"/>
      <c r="B12" s="162"/>
      <c r="C12" s="162"/>
      <c r="D12" s="162"/>
      <c r="E12" s="162"/>
      <c r="F12" s="162"/>
    </row>
    <row r="13" spans="1:9" s="4" customFormat="1" ht="19.5" customHeight="1" x14ac:dyDescent="0.25">
      <c r="A13" s="351" t="s">
        <v>21</v>
      </c>
      <c r="B13" s="351"/>
      <c r="C13" s="352" t="s">
        <v>22</v>
      </c>
      <c r="D13" s="352"/>
      <c r="E13" s="162"/>
      <c r="F13" s="162"/>
    </row>
    <row r="14" spans="1:9" s="4" customFormat="1" ht="19.5" customHeight="1" x14ac:dyDescent="0.25">
      <c r="A14" s="160"/>
      <c r="B14" s="162"/>
      <c r="C14" s="162"/>
      <c r="D14" s="162"/>
      <c r="E14" s="162"/>
      <c r="F14" s="162"/>
    </row>
    <row r="15" spans="1:9" s="4" customFormat="1" ht="19.5" customHeight="1" x14ac:dyDescent="0.25">
      <c r="A15" s="348" t="s">
        <v>23</v>
      </c>
      <c r="B15" s="348"/>
      <c r="C15" s="164" t="s">
        <v>24</v>
      </c>
      <c r="D15" s="165"/>
      <c r="E15" s="165"/>
      <c r="F15" s="165"/>
    </row>
    <row r="16" spans="1:9" s="4" customFormat="1" ht="19.5" customHeight="1" x14ac:dyDescent="0.25">
      <c r="A16" s="160"/>
      <c r="B16" s="162"/>
      <c r="C16" s="162"/>
      <c r="D16" s="162"/>
      <c r="E16" s="162"/>
      <c r="F16" s="162"/>
    </row>
    <row r="17" spans="1:6" s="4" customFormat="1" ht="19.5" customHeight="1" x14ac:dyDescent="0.25">
      <c r="A17" s="204" t="s">
        <v>25</v>
      </c>
      <c r="B17" s="350" t="s">
        <v>26</v>
      </c>
      <c r="C17" s="350"/>
      <c r="D17" s="162"/>
      <c r="E17" s="162"/>
      <c r="F17" s="162"/>
    </row>
    <row r="18" spans="1:6" s="4" customFormat="1" ht="19.5" customHeight="1" x14ac:dyDescent="0.25">
      <c r="A18" s="160"/>
      <c r="B18" s="162"/>
      <c r="C18" s="162"/>
      <c r="D18" s="162"/>
      <c r="E18" s="162"/>
      <c r="F18" s="162"/>
    </row>
    <row r="19" spans="1:6" s="4" customFormat="1" ht="19.5" customHeight="1" x14ac:dyDescent="0.25">
      <c r="A19" s="166" t="s">
        <v>27</v>
      </c>
      <c r="B19" s="201">
        <v>1</v>
      </c>
      <c r="C19" s="167"/>
      <c r="D19" s="167"/>
      <c r="E19" s="167"/>
      <c r="F19" s="167"/>
    </row>
    <row r="20" spans="1:6" s="4" customFormat="1" ht="19.5" customHeight="1" x14ac:dyDescent="0.25">
      <c r="A20" s="167"/>
      <c r="B20" s="161"/>
      <c r="C20" s="167"/>
      <c r="D20" s="167"/>
      <c r="E20" s="167"/>
      <c r="F20" s="167"/>
    </row>
    <row r="21" spans="1:6" ht="12.75" customHeight="1" x14ac:dyDescent="0.2">
      <c r="A21" s="321" t="s">
        <v>28</v>
      </c>
      <c r="B21" s="321" t="s">
        <v>29</v>
      </c>
      <c r="C21" s="321" t="s">
        <v>30</v>
      </c>
      <c r="D21" s="321" t="s">
        <v>31</v>
      </c>
      <c r="E21" s="321" t="s">
        <v>32</v>
      </c>
      <c r="F21" s="322" t="s">
        <v>33</v>
      </c>
    </row>
    <row r="22" spans="1:6" ht="32.25" customHeight="1" x14ac:dyDescent="0.2">
      <c r="A22" s="321"/>
      <c r="B22" s="321"/>
      <c r="C22" s="321"/>
      <c r="D22" s="321"/>
      <c r="E22" s="321"/>
      <c r="F22" s="349"/>
    </row>
    <row r="23" spans="1:6" ht="33" customHeight="1" x14ac:dyDescent="0.2">
      <c r="A23" s="314" t="s">
        <v>34</v>
      </c>
      <c r="B23" s="195" t="s">
        <v>35</v>
      </c>
      <c r="C23" s="329" t="s">
        <v>329</v>
      </c>
      <c r="D23" s="203" t="s">
        <v>58</v>
      </c>
      <c r="E23" s="203">
        <v>10</v>
      </c>
      <c r="F23" s="214">
        <v>86</v>
      </c>
    </row>
    <row r="24" spans="1:6" ht="30" customHeight="1" x14ac:dyDescent="0.2">
      <c r="A24" s="319"/>
      <c r="B24" s="319" t="s">
        <v>37</v>
      </c>
      <c r="C24" s="330"/>
      <c r="D24" s="203" t="s">
        <v>38</v>
      </c>
      <c r="E24" s="203">
        <v>13</v>
      </c>
      <c r="F24" s="214">
        <v>493.61</v>
      </c>
    </row>
    <row r="25" spans="1:6" ht="35.25" customHeight="1" x14ac:dyDescent="0.2">
      <c r="A25" s="319"/>
      <c r="B25" s="315"/>
      <c r="C25" s="333"/>
      <c r="D25" s="203" t="s">
        <v>39</v>
      </c>
      <c r="E25" s="203">
        <v>2</v>
      </c>
      <c r="F25" s="214">
        <v>176.46</v>
      </c>
    </row>
    <row r="26" spans="1:6" ht="30" customHeight="1" x14ac:dyDescent="0.2">
      <c r="A26" s="326" t="s">
        <v>59</v>
      </c>
      <c r="B26" s="314" t="s">
        <v>60</v>
      </c>
      <c r="C26" s="329" t="s">
        <v>446</v>
      </c>
      <c r="D26" s="203" t="s">
        <v>61</v>
      </c>
      <c r="E26" s="203">
        <v>59.2</v>
      </c>
      <c r="F26" s="214">
        <v>1073.296</v>
      </c>
    </row>
    <row r="27" spans="1:6" ht="29.25" customHeight="1" x14ac:dyDescent="0.2">
      <c r="A27" s="327"/>
      <c r="B27" s="319"/>
      <c r="C27" s="330"/>
      <c r="D27" s="203" t="s">
        <v>62</v>
      </c>
      <c r="E27" s="203">
        <v>10</v>
      </c>
      <c r="F27" s="214">
        <v>50.300000000000004</v>
      </c>
    </row>
    <row r="28" spans="1:6" ht="28.5" customHeight="1" x14ac:dyDescent="0.2">
      <c r="A28" s="327"/>
      <c r="B28" s="319"/>
      <c r="C28" s="330"/>
      <c r="D28" s="203" t="s">
        <v>63</v>
      </c>
      <c r="E28" s="203">
        <v>10</v>
      </c>
      <c r="F28" s="214">
        <v>91.6</v>
      </c>
    </row>
    <row r="29" spans="1:6" ht="30.75" customHeight="1" x14ac:dyDescent="0.2">
      <c r="A29" s="327"/>
      <c r="B29" s="319"/>
      <c r="C29" s="330"/>
      <c r="D29" s="203" t="s">
        <v>64</v>
      </c>
      <c r="E29" s="203">
        <v>10</v>
      </c>
      <c r="F29" s="214">
        <v>36.800000000000004</v>
      </c>
    </row>
    <row r="30" spans="1:6" ht="20.25" customHeight="1" x14ac:dyDescent="0.2">
      <c r="A30" s="327"/>
      <c r="B30" s="319"/>
      <c r="C30" s="330"/>
      <c r="D30" s="203" t="s">
        <v>11</v>
      </c>
      <c r="E30" s="203">
        <v>2</v>
      </c>
      <c r="F30" s="214">
        <v>24.2</v>
      </c>
    </row>
    <row r="31" spans="1:6" ht="22.5" customHeight="1" x14ac:dyDescent="0.2">
      <c r="A31" s="327"/>
      <c r="B31" s="319"/>
      <c r="C31" s="330"/>
      <c r="D31" s="203" t="s">
        <v>65</v>
      </c>
      <c r="E31" s="203">
        <v>1</v>
      </c>
      <c r="F31" s="214">
        <v>8.27</v>
      </c>
    </row>
    <row r="32" spans="1:6" ht="20.25" customHeight="1" x14ac:dyDescent="0.2">
      <c r="A32" s="328"/>
      <c r="B32" s="315"/>
      <c r="C32" s="333"/>
      <c r="D32" s="203" t="s">
        <v>43</v>
      </c>
      <c r="E32" s="203">
        <v>0.1</v>
      </c>
      <c r="F32" s="214">
        <v>0.19</v>
      </c>
    </row>
    <row r="33" spans="1:6" ht="34.5" customHeight="1" x14ac:dyDescent="0.2">
      <c r="A33" s="326" t="s">
        <v>40</v>
      </c>
      <c r="B33" s="314" t="s">
        <v>41</v>
      </c>
      <c r="C33" s="329" t="s">
        <v>330</v>
      </c>
      <c r="D33" s="206" t="s">
        <v>93</v>
      </c>
      <c r="E33" s="203">
        <v>20</v>
      </c>
      <c r="F33" s="214">
        <v>149.4</v>
      </c>
    </row>
    <row r="34" spans="1:6" ht="22.5" customHeight="1" x14ac:dyDescent="0.2">
      <c r="A34" s="327"/>
      <c r="B34" s="319"/>
      <c r="C34" s="330"/>
      <c r="D34" s="206" t="s">
        <v>79</v>
      </c>
      <c r="E34" s="203">
        <v>10</v>
      </c>
      <c r="F34" s="214">
        <v>50.9</v>
      </c>
    </row>
    <row r="35" spans="1:6" ht="18.75" customHeight="1" x14ac:dyDescent="0.2">
      <c r="A35" s="327"/>
      <c r="B35" s="319"/>
      <c r="C35" s="330"/>
      <c r="D35" s="206" t="s">
        <v>11</v>
      </c>
      <c r="E35" s="203">
        <v>2</v>
      </c>
      <c r="F35" s="214">
        <v>24.2</v>
      </c>
    </row>
    <row r="36" spans="1:6" ht="30" customHeight="1" x14ac:dyDescent="0.2">
      <c r="A36" s="327"/>
      <c r="B36" s="319"/>
      <c r="C36" s="330"/>
      <c r="D36" s="206" t="s">
        <v>62</v>
      </c>
      <c r="E36" s="203">
        <v>10</v>
      </c>
      <c r="F36" s="214">
        <v>50.300000000000004</v>
      </c>
    </row>
    <row r="37" spans="1:6" ht="20.25" customHeight="1" x14ac:dyDescent="0.2">
      <c r="A37" s="328"/>
      <c r="B37" s="315"/>
      <c r="C37" s="333"/>
      <c r="D37" s="206" t="s">
        <v>43</v>
      </c>
      <c r="E37" s="203">
        <v>0.1</v>
      </c>
      <c r="F37" s="214">
        <v>0.19</v>
      </c>
    </row>
    <row r="38" spans="1:6" ht="29.25" customHeight="1" x14ac:dyDescent="0.2">
      <c r="A38" s="202" t="s">
        <v>46</v>
      </c>
      <c r="B38" s="202" t="s">
        <v>47</v>
      </c>
      <c r="C38" s="203" t="s">
        <v>67</v>
      </c>
      <c r="D38" s="203" t="s">
        <v>68</v>
      </c>
      <c r="E38" s="203">
        <v>5</v>
      </c>
      <c r="F38" s="214">
        <v>25.75</v>
      </c>
    </row>
    <row r="39" spans="1:6" ht="33" customHeight="1" x14ac:dyDescent="0.2">
      <c r="A39" s="202" t="s">
        <v>49</v>
      </c>
      <c r="B39" s="202" t="s">
        <v>50</v>
      </c>
      <c r="C39" s="203" t="s">
        <v>51</v>
      </c>
      <c r="D39" s="203" t="s">
        <v>52</v>
      </c>
      <c r="E39" s="203">
        <v>3</v>
      </c>
      <c r="F39" s="214">
        <v>37.74</v>
      </c>
    </row>
    <row r="40" spans="1:6" ht="24.95" customHeight="1" x14ac:dyDescent="0.2">
      <c r="A40" s="199" t="s">
        <v>53</v>
      </c>
      <c r="B40" s="316" t="s">
        <v>54</v>
      </c>
      <c r="C40" s="320"/>
      <c r="D40" s="203" t="s">
        <v>53</v>
      </c>
      <c r="E40" s="169">
        <v>150</v>
      </c>
      <c r="F40" s="214">
        <v>100.5</v>
      </c>
    </row>
    <row r="41" spans="1:6" ht="18.75" customHeight="1" x14ac:dyDescent="0.2">
      <c r="A41" s="334" t="s">
        <v>331</v>
      </c>
      <c r="B41" s="335"/>
      <c r="C41" s="335"/>
      <c r="D41" s="335"/>
      <c r="E41" s="336"/>
      <c r="F41" s="213">
        <v>2479.71</v>
      </c>
    </row>
    <row r="42" spans="1:6" ht="19.5" customHeight="1" x14ac:dyDescent="0.2">
      <c r="A42" s="160"/>
      <c r="B42" s="162"/>
      <c r="C42" s="162"/>
      <c r="D42" s="162"/>
      <c r="E42" s="162"/>
      <c r="F42" s="162"/>
    </row>
    <row r="43" spans="1:6" ht="19.5" customHeight="1" x14ac:dyDescent="0.2">
      <c r="A43" s="166" t="s">
        <v>27</v>
      </c>
      <c r="B43" s="201">
        <v>2</v>
      </c>
      <c r="C43" s="167"/>
      <c r="D43" s="167"/>
      <c r="E43" s="167"/>
      <c r="F43" s="167"/>
    </row>
    <row r="44" spans="1:6" ht="19.5" customHeight="1" x14ac:dyDescent="0.2">
      <c r="A44" s="167"/>
      <c r="B44" s="161"/>
      <c r="C44" s="167"/>
      <c r="D44" s="167"/>
      <c r="E44" s="167"/>
      <c r="F44" s="167"/>
    </row>
    <row r="45" spans="1:6" ht="12.75" customHeight="1" x14ac:dyDescent="0.2">
      <c r="A45" s="313" t="s">
        <v>28</v>
      </c>
      <c r="B45" s="321" t="s">
        <v>29</v>
      </c>
      <c r="C45" s="313" t="s">
        <v>56</v>
      </c>
      <c r="D45" s="313" t="s">
        <v>31</v>
      </c>
      <c r="E45" s="313" t="s">
        <v>32</v>
      </c>
      <c r="F45" s="314" t="s">
        <v>33</v>
      </c>
    </row>
    <row r="46" spans="1:6" ht="33" customHeight="1" x14ac:dyDescent="0.2">
      <c r="A46" s="313"/>
      <c r="B46" s="321"/>
      <c r="C46" s="313"/>
      <c r="D46" s="313"/>
      <c r="E46" s="313"/>
      <c r="F46" s="315"/>
    </row>
    <row r="47" spans="1:6" ht="47.25" customHeight="1" x14ac:dyDescent="0.2">
      <c r="A47" s="313" t="s">
        <v>34</v>
      </c>
      <c r="B47" s="314" t="s">
        <v>293</v>
      </c>
      <c r="C47" s="329" t="s">
        <v>76</v>
      </c>
      <c r="D47" s="203" t="s">
        <v>245</v>
      </c>
      <c r="E47" s="203">
        <v>10</v>
      </c>
      <c r="F47" s="214">
        <v>167.7</v>
      </c>
    </row>
    <row r="48" spans="1:6" ht="37.5" customHeight="1" x14ac:dyDescent="0.2">
      <c r="A48" s="313"/>
      <c r="B48" s="315"/>
      <c r="C48" s="333"/>
      <c r="D48" s="203" t="s">
        <v>38</v>
      </c>
      <c r="E48" s="203">
        <v>13</v>
      </c>
      <c r="F48" s="214">
        <v>493.61</v>
      </c>
    </row>
    <row r="49" spans="1:6" ht="36" customHeight="1" x14ac:dyDescent="0.2">
      <c r="A49" s="319" t="s">
        <v>40</v>
      </c>
      <c r="B49" s="314" t="s">
        <v>41</v>
      </c>
      <c r="C49" s="329" t="s">
        <v>332</v>
      </c>
      <c r="D49" s="203" t="s">
        <v>42</v>
      </c>
      <c r="E49" s="203">
        <v>35</v>
      </c>
      <c r="F49" s="214">
        <v>173.95</v>
      </c>
    </row>
    <row r="50" spans="1:6" ht="21" customHeight="1" x14ac:dyDescent="0.2">
      <c r="A50" s="319"/>
      <c r="B50" s="315"/>
      <c r="C50" s="333"/>
      <c r="D50" s="203" t="s">
        <v>43</v>
      </c>
      <c r="E50" s="203">
        <v>0.1</v>
      </c>
      <c r="F50" s="214">
        <v>0.19</v>
      </c>
    </row>
    <row r="51" spans="1:6" ht="28.5" customHeight="1" x14ac:dyDescent="0.2">
      <c r="A51" s="202" t="s">
        <v>44</v>
      </c>
      <c r="B51" s="202" t="s">
        <v>45</v>
      </c>
      <c r="C51" s="197" t="s">
        <v>82</v>
      </c>
      <c r="D51" s="203" t="s">
        <v>83</v>
      </c>
      <c r="E51" s="203">
        <v>115</v>
      </c>
      <c r="F51" s="214">
        <v>267.95</v>
      </c>
    </row>
    <row r="52" spans="1:6" ht="30" customHeight="1" x14ac:dyDescent="0.2">
      <c r="A52" s="202" t="s">
        <v>46</v>
      </c>
      <c r="B52" s="202" t="s">
        <v>47</v>
      </c>
      <c r="C52" s="203" t="s">
        <v>67</v>
      </c>
      <c r="D52" s="203" t="s">
        <v>68</v>
      </c>
      <c r="E52" s="203">
        <v>5</v>
      </c>
      <c r="F52" s="214">
        <v>25.75</v>
      </c>
    </row>
    <row r="53" spans="1:6" ht="28.5" customHeight="1" x14ac:dyDescent="0.2">
      <c r="A53" s="202" t="s">
        <v>49</v>
      </c>
      <c r="B53" s="202" t="s">
        <v>50</v>
      </c>
      <c r="C53" s="203" t="s">
        <v>51</v>
      </c>
      <c r="D53" s="203" t="s">
        <v>52</v>
      </c>
      <c r="E53" s="203">
        <v>3</v>
      </c>
      <c r="F53" s="214">
        <v>37.74</v>
      </c>
    </row>
    <row r="54" spans="1:6" ht="24.95" customHeight="1" x14ac:dyDescent="0.2">
      <c r="A54" s="199" t="s">
        <v>53</v>
      </c>
      <c r="B54" s="316" t="s">
        <v>54</v>
      </c>
      <c r="C54" s="320"/>
      <c r="D54" s="203" t="s">
        <v>53</v>
      </c>
      <c r="E54" s="203">
        <v>150</v>
      </c>
      <c r="F54" s="214">
        <v>100.5</v>
      </c>
    </row>
    <row r="55" spans="1:6" ht="21" customHeight="1" x14ac:dyDescent="0.2">
      <c r="A55" s="334" t="s">
        <v>331</v>
      </c>
      <c r="B55" s="335"/>
      <c r="C55" s="335"/>
      <c r="D55" s="335"/>
      <c r="E55" s="336"/>
      <c r="F55" s="213">
        <v>1267.3900000000001</v>
      </c>
    </row>
    <row r="56" spans="1:6" s="2" customFormat="1" ht="19.5" customHeight="1" x14ac:dyDescent="0.25">
      <c r="A56" s="160"/>
      <c r="B56" s="162"/>
      <c r="C56" s="162"/>
      <c r="D56" s="162"/>
      <c r="E56" s="162"/>
      <c r="F56" s="162"/>
    </row>
    <row r="57" spans="1:6" s="2" customFormat="1" ht="19.5" customHeight="1" x14ac:dyDescent="0.25">
      <c r="A57" s="166" t="s">
        <v>27</v>
      </c>
      <c r="B57" s="201">
        <v>3</v>
      </c>
      <c r="C57" s="167"/>
      <c r="D57" s="167"/>
      <c r="E57" s="167"/>
      <c r="F57" s="167"/>
    </row>
    <row r="58" spans="1:6" s="2" customFormat="1" ht="19.5" customHeight="1" x14ac:dyDescent="0.25">
      <c r="A58" s="167"/>
      <c r="B58" s="161"/>
      <c r="C58" s="167"/>
      <c r="D58" s="167"/>
      <c r="E58" s="167"/>
      <c r="F58" s="167"/>
    </row>
    <row r="59" spans="1:6" ht="12.75" customHeight="1" x14ac:dyDescent="0.2">
      <c r="A59" s="313" t="s">
        <v>28</v>
      </c>
      <c r="B59" s="321" t="s">
        <v>29</v>
      </c>
      <c r="C59" s="313" t="s">
        <v>56</v>
      </c>
      <c r="D59" s="313" t="s">
        <v>31</v>
      </c>
      <c r="E59" s="313" t="s">
        <v>32</v>
      </c>
      <c r="F59" s="314" t="s">
        <v>33</v>
      </c>
    </row>
    <row r="60" spans="1:6" ht="33" customHeight="1" x14ac:dyDescent="0.2">
      <c r="A60" s="313"/>
      <c r="B60" s="321"/>
      <c r="C60" s="313"/>
      <c r="D60" s="313"/>
      <c r="E60" s="313"/>
      <c r="F60" s="315"/>
    </row>
    <row r="61" spans="1:6" ht="31.5" customHeight="1" x14ac:dyDescent="0.2">
      <c r="A61" s="314" t="s">
        <v>34</v>
      </c>
      <c r="B61" s="195" t="s">
        <v>57</v>
      </c>
      <c r="C61" s="329" t="s">
        <v>276</v>
      </c>
      <c r="D61" s="203" t="s">
        <v>73</v>
      </c>
      <c r="E61" s="203">
        <v>10</v>
      </c>
      <c r="F61" s="214">
        <v>363</v>
      </c>
    </row>
    <row r="62" spans="1:6" ht="31.5" customHeight="1" x14ac:dyDescent="0.2">
      <c r="A62" s="319"/>
      <c r="B62" s="319" t="s">
        <v>37</v>
      </c>
      <c r="C62" s="330"/>
      <c r="D62" s="203" t="s">
        <v>38</v>
      </c>
      <c r="E62" s="203">
        <v>13</v>
      </c>
      <c r="F62" s="214">
        <v>493.61</v>
      </c>
    </row>
    <row r="63" spans="1:6" ht="29.25" customHeight="1" x14ac:dyDescent="0.2">
      <c r="A63" s="315"/>
      <c r="B63" s="315"/>
      <c r="C63" s="333"/>
      <c r="D63" s="203" t="s">
        <v>39</v>
      </c>
      <c r="E63" s="203">
        <v>2</v>
      </c>
      <c r="F63" s="214">
        <v>176.46</v>
      </c>
    </row>
    <row r="64" spans="1:6" ht="34.5" customHeight="1" x14ac:dyDescent="0.2">
      <c r="A64" s="314" t="s">
        <v>277</v>
      </c>
      <c r="B64" s="314" t="s">
        <v>60</v>
      </c>
      <c r="C64" s="329" t="s">
        <v>447</v>
      </c>
      <c r="D64" s="203" t="s">
        <v>74</v>
      </c>
      <c r="E64" s="203">
        <v>56</v>
      </c>
      <c r="F64" s="214">
        <v>1695.12</v>
      </c>
    </row>
    <row r="65" spans="1:6" ht="28.5" customHeight="1" x14ac:dyDescent="0.2">
      <c r="A65" s="319"/>
      <c r="B65" s="319"/>
      <c r="C65" s="330"/>
      <c r="D65" s="203" t="s">
        <v>62</v>
      </c>
      <c r="E65" s="203">
        <v>10</v>
      </c>
      <c r="F65" s="214">
        <v>50.300000000000004</v>
      </c>
    </row>
    <row r="66" spans="1:6" ht="30.75" customHeight="1" x14ac:dyDescent="0.2">
      <c r="A66" s="319"/>
      <c r="B66" s="319"/>
      <c r="C66" s="330"/>
      <c r="D66" s="203" t="s">
        <v>104</v>
      </c>
      <c r="E66" s="203">
        <v>10</v>
      </c>
      <c r="F66" s="214">
        <v>24.6</v>
      </c>
    </row>
    <row r="67" spans="1:6" ht="21" customHeight="1" x14ac:dyDescent="0.2">
      <c r="A67" s="319"/>
      <c r="B67" s="319"/>
      <c r="C67" s="330"/>
      <c r="D67" s="170" t="s">
        <v>11</v>
      </c>
      <c r="E67" s="203">
        <v>2</v>
      </c>
      <c r="F67" s="214">
        <v>24.2</v>
      </c>
    </row>
    <row r="68" spans="1:6" ht="29.25" customHeight="1" x14ac:dyDescent="0.2">
      <c r="A68" s="319"/>
      <c r="B68" s="319"/>
      <c r="C68" s="330"/>
      <c r="D68" s="203" t="s">
        <v>63</v>
      </c>
      <c r="E68" s="203">
        <v>10</v>
      </c>
      <c r="F68" s="214">
        <v>91.6</v>
      </c>
    </row>
    <row r="69" spans="1:6" ht="32.25" customHeight="1" x14ac:dyDescent="0.2">
      <c r="A69" s="319"/>
      <c r="B69" s="319"/>
      <c r="C69" s="330"/>
      <c r="D69" s="203" t="s">
        <v>64</v>
      </c>
      <c r="E69" s="203">
        <v>10</v>
      </c>
      <c r="F69" s="214">
        <v>36.800000000000004</v>
      </c>
    </row>
    <row r="70" spans="1:6" ht="24.95" customHeight="1" x14ac:dyDescent="0.2">
      <c r="A70" s="319"/>
      <c r="B70" s="319"/>
      <c r="C70" s="330"/>
      <c r="D70" s="170" t="s">
        <v>65</v>
      </c>
      <c r="E70" s="203">
        <v>1</v>
      </c>
      <c r="F70" s="214">
        <v>8.27</v>
      </c>
    </row>
    <row r="71" spans="1:6" ht="24.95" customHeight="1" x14ac:dyDescent="0.2">
      <c r="A71" s="315"/>
      <c r="B71" s="315"/>
      <c r="C71" s="333"/>
      <c r="D71" s="203" t="s">
        <v>43</v>
      </c>
      <c r="E71" s="203">
        <v>0.1</v>
      </c>
      <c r="F71" s="214">
        <v>0.19</v>
      </c>
    </row>
    <row r="72" spans="1:6" ht="30.75" customHeight="1" x14ac:dyDescent="0.2">
      <c r="A72" s="326" t="s">
        <v>40</v>
      </c>
      <c r="B72" s="314" t="s">
        <v>41</v>
      </c>
      <c r="C72" s="329" t="s">
        <v>90</v>
      </c>
      <c r="D72" s="203" t="s">
        <v>36</v>
      </c>
      <c r="E72" s="203">
        <v>22.95</v>
      </c>
      <c r="F72" s="214">
        <v>104.65199999999999</v>
      </c>
    </row>
    <row r="73" spans="1:6" ht="31.5" customHeight="1" x14ac:dyDescent="0.2">
      <c r="A73" s="327"/>
      <c r="B73" s="319"/>
      <c r="C73" s="330"/>
      <c r="D73" s="203" t="s">
        <v>62</v>
      </c>
      <c r="E73" s="203">
        <v>10</v>
      </c>
      <c r="F73" s="214">
        <v>50.300000000000004</v>
      </c>
    </row>
    <row r="74" spans="1:6" ht="24.95" customHeight="1" x14ac:dyDescent="0.2">
      <c r="A74" s="327"/>
      <c r="B74" s="319"/>
      <c r="C74" s="330"/>
      <c r="D74" s="203" t="s">
        <v>11</v>
      </c>
      <c r="E74" s="203">
        <v>2</v>
      </c>
      <c r="F74" s="214">
        <v>24.2</v>
      </c>
    </row>
    <row r="75" spans="1:6" ht="24.95" customHeight="1" x14ac:dyDescent="0.2">
      <c r="A75" s="328"/>
      <c r="B75" s="315"/>
      <c r="C75" s="333"/>
      <c r="D75" s="203" t="s">
        <v>43</v>
      </c>
      <c r="E75" s="203">
        <v>0.1</v>
      </c>
      <c r="F75" s="214">
        <v>0.19</v>
      </c>
    </row>
    <row r="76" spans="1:6" ht="30.75" customHeight="1" x14ac:dyDescent="0.2">
      <c r="A76" s="202" t="s">
        <v>46</v>
      </c>
      <c r="B76" s="202" t="s">
        <v>47</v>
      </c>
      <c r="C76" s="203" t="s">
        <v>67</v>
      </c>
      <c r="D76" s="203" t="s">
        <v>68</v>
      </c>
      <c r="E76" s="203">
        <v>5</v>
      </c>
      <c r="F76" s="214">
        <v>25.75</v>
      </c>
    </row>
    <row r="77" spans="1:6" ht="30.75" customHeight="1" x14ac:dyDescent="0.2">
      <c r="A77" s="202" t="s">
        <v>49</v>
      </c>
      <c r="B77" s="202" t="s">
        <v>50</v>
      </c>
      <c r="C77" s="203" t="s">
        <v>51</v>
      </c>
      <c r="D77" s="203" t="s">
        <v>52</v>
      </c>
      <c r="E77" s="203">
        <v>4</v>
      </c>
      <c r="F77" s="214">
        <v>50.32</v>
      </c>
    </row>
    <row r="78" spans="1:6" ht="24.95" customHeight="1" x14ac:dyDescent="0.2">
      <c r="A78" s="199" t="s">
        <v>53</v>
      </c>
      <c r="B78" s="316" t="s">
        <v>54</v>
      </c>
      <c r="C78" s="320"/>
      <c r="D78" s="203" t="s">
        <v>53</v>
      </c>
      <c r="E78" s="203">
        <v>150</v>
      </c>
      <c r="F78" s="214">
        <v>100.5</v>
      </c>
    </row>
    <row r="79" spans="1:6" ht="21" customHeight="1" x14ac:dyDescent="0.2">
      <c r="A79" s="334" t="s">
        <v>331</v>
      </c>
      <c r="B79" s="335"/>
      <c r="C79" s="335"/>
      <c r="D79" s="335"/>
      <c r="E79" s="336"/>
      <c r="F79" s="213">
        <v>3320.06</v>
      </c>
    </row>
    <row r="80" spans="1:6" s="2" customFormat="1" ht="19.5" customHeight="1" x14ac:dyDescent="0.25">
      <c r="A80" s="160"/>
      <c r="B80" s="162"/>
      <c r="C80" s="162"/>
      <c r="D80" s="162"/>
      <c r="E80" s="162"/>
      <c r="F80" s="162"/>
    </row>
    <row r="81" spans="1:6" ht="19.5" customHeight="1" x14ac:dyDescent="0.2">
      <c r="A81" s="166" t="s">
        <v>27</v>
      </c>
      <c r="B81" s="201">
        <v>4</v>
      </c>
      <c r="C81" s="167"/>
      <c r="D81" s="167"/>
      <c r="E81" s="167"/>
      <c r="F81" s="167"/>
    </row>
    <row r="82" spans="1:6" ht="16.5" customHeight="1" x14ac:dyDescent="0.2">
      <c r="A82" s="160"/>
      <c r="B82" s="162"/>
      <c r="C82" s="162"/>
      <c r="D82" s="162"/>
      <c r="E82" s="162"/>
      <c r="F82" s="162"/>
    </row>
    <row r="83" spans="1:6" ht="12.75" customHeight="1" x14ac:dyDescent="0.2">
      <c r="A83" s="313" t="s">
        <v>28</v>
      </c>
      <c r="B83" s="321" t="s">
        <v>29</v>
      </c>
      <c r="C83" s="313" t="s">
        <v>56</v>
      </c>
      <c r="D83" s="313" t="s">
        <v>31</v>
      </c>
      <c r="E83" s="313" t="s">
        <v>32</v>
      </c>
      <c r="F83" s="314" t="s">
        <v>33</v>
      </c>
    </row>
    <row r="84" spans="1:6" ht="34.5" customHeight="1" x14ac:dyDescent="0.2">
      <c r="A84" s="313"/>
      <c r="B84" s="322"/>
      <c r="C84" s="313"/>
      <c r="D84" s="313"/>
      <c r="E84" s="313"/>
      <c r="F84" s="315"/>
    </row>
    <row r="85" spans="1:6" ht="32.25" customHeight="1" x14ac:dyDescent="0.2">
      <c r="A85" s="345" t="s">
        <v>34</v>
      </c>
      <c r="B85" s="195" t="s">
        <v>57</v>
      </c>
      <c r="C85" s="317" t="s">
        <v>296</v>
      </c>
      <c r="D85" s="203" t="s">
        <v>69</v>
      </c>
      <c r="E85" s="203">
        <v>10</v>
      </c>
      <c r="F85" s="214">
        <v>44</v>
      </c>
    </row>
    <row r="86" spans="1:6" ht="34.5" customHeight="1" x14ac:dyDescent="0.2">
      <c r="A86" s="346"/>
      <c r="B86" s="319" t="s">
        <v>37</v>
      </c>
      <c r="C86" s="318"/>
      <c r="D86" s="203" t="s">
        <v>38</v>
      </c>
      <c r="E86" s="203">
        <v>13</v>
      </c>
      <c r="F86" s="214">
        <v>493.61</v>
      </c>
    </row>
    <row r="87" spans="1:6" ht="24.95" customHeight="1" x14ac:dyDescent="0.2">
      <c r="A87" s="346"/>
      <c r="B87" s="315"/>
      <c r="C87" s="340"/>
      <c r="D87" s="203" t="s">
        <v>39</v>
      </c>
      <c r="E87" s="203">
        <v>2</v>
      </c>
      <c r="F87" s="214">
        <v>176.46</v>
      </c>
    </row>
    <row r="88" spans="1:6" ht="30.75" customHeight="1" x14ac:dyDescent="0.2">
      <c r="A88" s="202" t="s">
        <v>40</v>
      </c>
      <c r="B88" s="217" t="s">
        <v>41</v>
      </c>
      <c r="C88" s="206" t="s">
        <v>428</v>
      </c>
      <c r="D88" s="206" t="s">
        <v>448</v>
      </c>
      <c r="E88" s="206">
        <v>40</v>
      </c>
      <c r="F88" s="272">
        <v>680</v>
      </c>
    </row>
    <row r="89" spans="1:6" ht="27" customHeight="1" x14ac:dyDescent="0.2">
      <c r="A89" s="202" t="s">
        <v>44</v>
      </c>
      <c r="B89" s="202" t="s">
        <v>45</v>
      </c>
      <c r="C89" s="197" t="s">
        <v>15</v>
      </c>
      <c r="D89" s="203" t="s">
        <v>111</v>
      </c>
      <c r="E89" s="203">
        <v>95</v>
      </c>
      <c r="F89" s="214">
        <v>1221.7</v>
      </c>
    </row>
    <row r="90" spans="1:6" ht="30.75" customHeight="1" x14ac:dyDescent="0.2">
      <c r="A90" s="202" t="s">
        <v>46</v>
      </c>
      <c r="B90" s="202" t="s">
        <v>47</v>
      </c>
      <c r="C90" s="203" t="s">
        <v>67</v>
      </c>
      <c r="D90" s="203" t="s">
        <v>68</v>
      </c>
      <c r="E90" s="203">
        <v>5</v>
      </c>
      <c r="F90" s="214">
        <v>25.75</v>
      </c>
    </row>
    <row r="91" spans="1:6" ht="24.95" customHeight="1" x14ac:dyDescent="0.2">
      <c r="A91" s="199" t="s">
        <v>53</v>
      </c>
      <c r="B91" s="316" t="s">
        <v>54</v>
      </c>
      <c r="C91" s="320"/>
      <c r="D91" s="203" t="s">
        <v>53</v>
      </c>
      <c r="E91" s="203">
        <v>150</v>
      </c>
      <c r="F91" s="214">
        <v>100.5</v>
      </c>
    </row>
    <row r="92" spans="1:6" ht="19.5" customHeight="1" x14ac:dyDescent="0.2">
      <c r="A92" s="348" t="s">
        <v>331</v>
      </c>
      <c r="B92" s="348"/>
      <c r="C92" s="348"/>
      <c r="D92" s="348"/>
      <c r="E92" s="348"/>
      <c r="F92" s="213">
        <v>2742.02</v>
      </c>
    </row>
    <row r="93" spans="1:6" ht="19.5" customHeight="1" x14ac:dyDescent="0.25">
      <c r="A93" s="304"/>
      <c r="B93" s="304"/>
      <c r="C93" s="304"/>
      <c r="D93" s="304"/>
      <c r="E93" s="304"/>
      <c r="F93" s="304"/>
    </row>
    <row r="94" spans="1:6" ht="22.5" customHeight="1" x14ac:dyDescent="0.2">
      <c r="A94" s="166" t="s">
        <v>27</v>
      </c>
      <c r="B94" s="201">
        <v>5</v>
      </c>
      <c r="C94" s="211"/>
      <c r="D94" s="167"/>
      <c r="E94" s="167"/>
      <c r="F94" s="167"/>
    </row>
    <row r="95" spans="1:6" ht="22.5" customHeight="1" x14ac:dyDescent="0.2">
      <c r="A95" s="167"/>
      <c r="B95" s="161"/>
      <c r="C95" s="167"/>
      <c r="D95" s="167"/>
      <c r="E95" s="167"/>
      <c r="F95" s="167"/>
    </row>
    <row r="96" spans="1:6" ht="12.75" customHeight="1" x14ac:dyDescent="0.2">
      <c r="A96" s="313" t="s">
        <v>28</v>
      </c>
      <c r="B96" s="321" t="s">
        <v>29</v>
      </c>
      <c r="C96" s="313" t="s">
        <v>56</v>
      </c>
      <c r="D96" s="313" t="s">
        <v>31</v>
      </c>
      <c r="E96" s="313" t="s">
        <v>32</v>
      </c>
      <c r="F96" s="314" t="s">
        <v>33</v>
      </c>
    </row>
    <row r="97" spans="1:6" ht="35.25" customHeight="1" x14ac:dyDescent="0.2">
      <c r="A97" s="313"/>
      <c r="B97" s="322"/>
      <c r="C97" s="313"/>
      <c r="D97" s="313"/>
      <c r="E97" s="313"/>
      <c r="F97" s="315"/>
    </row>
    <row r="98" spans="1:6" ht="33.75" customHeight="1" x14ac:dyDescent="0.2">
      <c r="A98" s="337" t="s">
        <v>34</v>
      </c>
      <c r="B98" s="195" t="s">
        <v>57</v>
      </c>
      <c r="C98" s="317" t="s">
        <v>86</v>
      </c>
      <c r="D98" s="203" t="s">
        <v>36</v>
      </c>
      <c r="E98" s="203">
        <v>10</v>
      </c>
      <c r="F98" s="214">
        <v>45.599999999999994</v>
      </c>
    </row>
    <row r="99" spans="1:6" ht="35.25" customHeight="1" x14ac:dyDescent="0.2">
      <c r="A99" s="338"/>
      <c r="B99" s="315" t="s">
        <v>37</v>
      </c>
      <c r="C99" s="318"/>
      <c r="D99" s="203" t="s">
        <v>38</v>
      </c>
      <c r="E99" s="203">
        <v>13</v>
      </c>
      <c r="F99" s="214">
        <v>493.61</v>
      </c>
    </row>
    <row r="100" spans="1:6" ht="28.5" customHeight="1" x14ac:dyDescent="0.2">
      <c r="A100" s="339"/>
      <c r="B100" s="313"/>
      <c r="C100" s="340"/>
      <c r="D100" s="203" t="s">
        <v>39</v>
      </c>
      <c r="E100" s="203">
        <v>2</v>
      </c>
      <c r="F100" s="214">
        <v>176.46</v>
      </c>
    </row>
    <row r="101" spans="1:6" ht="28.5" customHeight="1" x14ac:dyDescent="0.2">
      <c r="A101" s="326" t="s">
        <v>277</v>
      </c>
      <c r="B101" s="314" t="s">
        <v>60</v>
      </c>
      <c r="C101" s="331" t="s">
        <v>333</v>
      </c>
      <c r="D101" s="203" t="s">
        <v>70</v>
      </c>
      <c r="E101" s="203">
        <v>55</v>
      </c>
      <c r="F101" s="214">
        <v>593.44999999999993</v>
      </c>
    </row>
    <row r="102" spans="1:6" ht="24.95" customHeight="1" x14ac:dyDescent="0.2">
      <c r="A102" s="327"/>
      <c r="B102" s="315"/>
      <c r="C102" s="344"/>
      <c r="D102" s="203" t="s">
        <v>43</v>
      </c>
      <c r="E102" s="203">
        <v>0.1</v>
      </c>
      <c r="F102" s="214">
        <v>0.19</v>
      </c>
    </row>
    <row r="103" spans="1:6" ht="33.75" customHeight="1" x14ac:dyDescent="0.2">
      <c r="A103" s="328"/>
      <c r="B103" s="202" t="s">
        <v>45</v>
      </c>
      <c r="C103" s="332"/>
      <c r="D103" s="206" t="s">
        <v>378</v>
      </c>
      <c r="E103" s="203">
        <v>20</v>
      </c>
      <c r="F103" s="214">
        <v>81.400000000000006</v>
      </c>
    </row>
    <row r="104" spans="1:6" ht="29.25" customHeight="1" x14ac:dyDescent="0.2">
      <c r="A104" s="326" t="s">
        <v>40</v>
      </c>
      <c r="B104" s="314" t="s">
        <v>41</v>
      </c>
      <c r="C104" s="329" t="s">
        <v>334</v>
      </c>
      <c r="D104" s="203" t="s">
        <v>42</v>
      </c>
      <c r="E104" s="203">
        <v>35</v>
      </c>
      <c r="F104" s="214">
        <v>173.95</v>
      </c>
    </row>
    <row r="105" spans="1:6" ht="24.95" customHeight="1" x14ac:dyDescent="0.2">
      <c r="A105" s="328"/>
      <c r="B105" s="315"/>
      <c r="C105" s="333"/>
      <c r="D105" s="203" t="s">
        <v>43</v>
      </c>
      <c r="E105" s="203">
        <v>0.1</v>
      </c>
      <c r="F105" s="214">
        <v>0.19</v>
      </c>
    </row>
    <row r="106" spans="1:6" ht="28.5" customHeight="1" x14ac:dyDescent="0.2">
      <c r="A106" s="202" t="s">
        <v>46</v>
      </c>
      <c r="B106" s="202" t="s">
        <v>47</v>
      </c>
      <c r="C106" s="203" t="s">
        <v>48</v>
      </c>
      <c r="D106" s="203" t="s">
        <v>13</v>
      </c>
      <c r="E106" s="203">
        <v>7</v>
      </c>
      <c r="F106" s="214">
        <v>41.09</v>
      </c>
    </row>
    <row r="107" spans="1:6" ht="30" customHeight="1" x14ac:dyDescent="0.2">
      <c r="A107" s="202" t="s">
        <v>49</v>
      </c>
      <c r="B107" s="202" t="s">
        <v>50</v>
      </c>
      <c r="C107" s="203" t="s">
        <v>51</v>
      </c>
      <c r="D107" s="203" t="s">
        <v>52</v>
      </c>
      <c r="E107" s="203">
        <v>5</v>
      </c>
      <c r="F107" s="214">
        <v>62.9</v>
      </c>
    </row>
    <row r="108" spans="1:6" ht="24.95" customHeight="1" x14ac:dyDescent="0.2">
      <c r="A108" s="199" t="s">
        <v>53</v>
      </c>
      <c r="B108" s="316" t="s">
        <v>54</v>
      </c>
      <c r="C108" s="320"/>
      <c r="D108" s="203" t="s">
        <v>53</v>
      </c>
      <c r="E108" s="203">
        <v>150</v>
      </c>
      <c r="F108" s="214">
        <v>100.5</v>
      </c>
    </row>
    <row r="109" spans="1:6" ht="20.100000000000001" customHeight="1" x14ac:dyDescent="0.2">
      <c r="A109" s="348" t="s">
        <v>331</v>
      </c>
      <c r="B109" s="348"/>
      <c r="C109" s="348"/>
      <c r="D109" s="348"/>
      <c r="E109" s="348"/>
      <c r="F109" s="213">
        <v>1769.34</v>
      </c>
    </row>
    <row r="110" spans="1:6" ht="20.100000000000001" customHeight="1" x14ac:dyDescent="0.25">
      <c r="A110" s="304"/>
      <c r="B110" s="304"/>
      <c r="C110" s="304"/>
      <c r="D110" s="304"/>
      <c r="E110" s="304"/>
      <c r="F110" s="304"/>
    </row>
    <row r="111" spans="1:6" ht="27" customHeight="1" x14ac:dyDescent="0.2">
      <c r="A111" s="166" t="s">
        <v>27</v>
      </c>
      <c r="B111" s="201">
        <v>6</v>
      </c>
      <c r="C111" s="167"/>
      <c r="D111" s="167"/>
      <c r="E111" s="167"/>
      <c r="F111" s="167"/>
    </row>
    <row r="112" spans="1:6" ht="27" customHeight="1" x14ac:dyDescent="0.2">
      <c r="A112" s="167"/>
      <c r="B112" s="161"/>
      <c r="C112" s="167"/>
      <c r="D112" s="167"/>
      <c r="E112" s="167"/>
      <c r="F112" s="167"/>
    </row>
    <row r="113" spans="1:6" ht="12.75" customHeight="1" x14ac:dyDescent="0.2">
      <c r="A113" s="313" t="s">
        <v>28</v>
      </c>
      <c r="B113" s="321" t="s">
        <v>29</v>
      </c>
      <c r="C113" s="313" t="s">
        <v>56</v>
      </c>
      <c r="D113" s="313" t="s">
        <v>31</v>
      </c>
      <c r="E113" s="313" t="s">
        <v>32</v>
      </c>
      <c r="F113" s="314" t="s">
        <v>33</v>
      </c>
    </row>
    <row r="114" spans="1:6" ht="32.25" customHeight="1" x14ac:dyDescent="0.2">
      <c r="A114" s="313"/>
      <c r="B114" s="321"/>
      <c r="C114" s="313"/>
      <c r="D114" s="313"/>
      <c r="E114" s="313"/>
      <c r="F114" s="315"/>
    </row>
    <row r="115" spans="1:6" ht="33" customHeight="1" x14ac:dyDescent="0.2">
      <c r="A115" s="314" t="s">
        <v>34</v>
      </c>
      <c r="B115" s="195" t="s">
        <v>57</v>
      </c>
      <c r="C115" s="329" t="s">
        <v>275</v>
      </c>
      <c r="D115" s="203" t="s">
        <v>58</v>
      </c>
      <c r="E115" s="203">
        <v>10</v>
      </c>
      <c r="F115" s="214">
        <v>86</v>
      </c>
    </row>
    <row r="116" spans="1:6" ht="33" customHeight="1" x14ac:dyDescent="0.2">
      <c r="A116" s="319"/>
      <c r="B116" s="319" t="s">
        <v>37</v>
      </c>
      <c r="C116" s="330"/>
      <c r="D116" s="203" t="s">
        <v>38</v>
      </c>
      <c r="E116" s="203">
        <v>13</v>
      </c>
      <c r="F116" s="214">
        <v>493.61</v>
      </c>
    </row>
    <row r="117" spans="1:6" ht="27.75" customHeight="1" x14ac:dyDescent="0.2">
      <c r="A117" s="208"/>
      <c r="B117" s="315"/>
      <c r="C117" s="330"/>
      <c r="D117" s="203" t="s">
        <v>39</v>
      </c>
      <c r="E117" s="203">
        <v>2</v>
      </c>
      <c r="F117" s="214">
        <v>176.46</v>
      </c>
    </row>
    <row r="118" spans="1:6" ht="31.5" customHeight="1" x14ac:dyDescent="0.2">
      <c r="A118" s="326" t="s">
        <v>277</v>
      </c>
      <c r="B118" s="314" t="s">
        <v>60</v>
      </c>
      <c r="C118" s="329" t="s">
        <v>449</v>
      </c>
      <c r="D118" s="203" t="s">
        <v>70</v>
      </c>
      <c r="E118" s="203">
        <v>55</v>
      </c>
      <c r="F118" s="214">
        <v>593.44999999999993</v>
      </c>
    </row>
    <row r="119" spans="1:6" ht="31.5" customHeight="1" x14ac:dyDescent="0.2">
      <c r="A119" s="327"/>
      <c r="B119" s="319"/>
      <c r="C119" s="330"/>
      <c r="D119" s="203" t="s">
        <v>79</v>
      </c>
      <c r="E119" s="203">
        <v>10</v>
      </c>
      <c r="F119" s="214">
        <v>50.9</v>
      </c>
    </row>
    <row r="120" spans="1:6" ht="31.5" customHeight="1" x14ac:dyDescent="0.2">
      <c r="A120" s="327"/>
      <c r="B120" s="319"/>
      <c r="C120" s="330"/>
      <c r="D120" s="203" t="s">
        <v>62</v>
      </c>
      <c r="E120" s="203">
        <v>10</v>
      </c>
      <c r="F120" s="214">
        <v>50.300000000000004</v>
      </c>
    </row>
    <row r="121" spans="1:6" ht="24.95" customHeight="1" x14ac:dyDescent="0.2">
      <c r="A121" s="328"/>
      <c r="B121" s="315"/>
      <c r="C121" s="333"/>
      <c r="D121" s="203" t="s">
        <v>43</v>
      </c>
      <c r="E121" s="203">
        <v>0.1</v>
      </c>
      <c r="F121" s="214">
        <v>0.19</v>
      </c>
    </row>
    <row r="122" spans="1:6" ht="29.25" customHeight="1" x14ac:dyDescent="0.2">
      <c r="A122" s="326" t="s">
        <v>40</v>
      </c>
      <c r="B122" s="314" t="s">
        <v>41</v>
      </c>
      <c r="C122" s="329" t="s">
        <v>91</v>
      </c>
      <c r="D122" s="203" t="s">
        <v>92</v>
      </c>
      <c r="E122" s="203">
        <v>50</v>
      </c>
      <c r="F122" s="214">
        <v>123.50000000000001</v>
      </c>
    </row>
    <row r="123" spans="1:6" ht="24.95" customHeight="1" x14ac:dyDescent="0.2">
      <c r="A123" s="328"/>
      <c r="B123" s="315"/>
      <c r="C123" s="333"/>
      <c r="D123" s="203" t="s">
        <v>43</v>
      </c>
      <c r="E123" s="203">
        <v>0.1</v>
      </c>
      <c r="F123" s="214">
        <v>0.19</v>
      </c>
    </row>
    <row r="124" spans="1:6" ht="30.75" customHeight="1" x14ac:dyDescent="0.2">
      <c r="A124" s="202" t="s">
        <v>46</v>
      </c>
      <c r="B124" s="202" t="s">
        <v>47</v>
      </c>
      <c r="C124" s="203" t="s">
        <v>67</v>
      </c>
      <c r="D124" s="203" t="s">
        <v>68</v>
      </c>
      <c r="E124" s="203">
        <v>5</v>
      </c>
      <c r="F124" s="214">
        <v>25.75</v>
      </c>
    </row>
    <row r="125" spans="1:6" ht="30" customHeight="1" x14ac:dyDescent="0.2">
      <c r="A125" s="202" t="s">
        <v>49</v>
      </c>
      <c r="B125" s="202" t="s">
        <v>50</v>
      </c>
      <c r="C125" s="203" t="s">
        <v>51</v>
      </c>
      <c r="D125" s="203" t="s">
        <v>52</v>
      </c>
      <c r="E125" s="203">
        <v>4</v>
      </c>
      <c r="F125" s="214">
        <v>50.32</v>
      </c>
    </row>
    <row r="126" spans="1:6" ht="24.95" customHeight="1" x14ac:dyDescent="0.2">
      <c r="A126" s="199" t="s">
        <v>53</v>
      </c>
      <c r="B126" s="316" t="s">
        <v>54</v>
      </c>
      <c r="C126" s="320"/>
      <c r="D126" s="203" t="s">
        <v>53</v>
      </c>
      <c r="E126" s="203">
        <v>150</v>
      </c>
      <c r="F126" s="214">
        <v>100.5</v>
      </c>
    </row>
    <row r="127" spans="1:6" ht="21" customHeight="1" x14ac:dyDescent="0.2">
      <c r="A127" s="334" t="s">
        <v>331</v>
      </c>
      <c r="B127" s="335"/>
      <c r="C127" s="335"/>
      <c r="D127" s="335"/>
      <c r="E127" s="336"/>
      <c r="F127" s="213">
        <v>1751.17</v>
      </c>
    </row>
    <row r="128" spans="1:6" s="2" customFormat="1" ht="17.25" customHeight="1" x14ac:dyDescent="0.25">
      <c r="A128" s="160"/>
      <c r="B128" s="162"/>
      <c r="C128" s="162"/>
      <c r="D128" s="162"/>
      <c r="E128" s="162"/>
      <c r="F128" s="162"/>
    </row>
    <row r="129" spans="1:6" ht="22.5" customHeight="1" x14ac:dyDescent="0.2">
      <c r="A129" s="166" t="s">
        <v>27</v>
      </c>
      <c r="B129" s="201">
        <v>7</v>
      </c>
      <c r="C129" s="167"/>
      <c r="D129" s="167"/>
      <c r="E129" s="167"/>
      <c r="F129" s="167"/>
    </row>
    <row r="130" spans="1:6" ht="22.5" customHeight="1" x14ac:dyDescent="0.2">
      <c r="A130" s="167"/>
      <c r="B130" s="161"/>
      <c r="C130" s="167"/>
      <c r="D130" s="167"/>
      <c r="E130" s="167"/>
      <c r="F130" s="167"/>
    </row>
    <row r="131" spans="1:6" ht="19.5" customHeight="1" x14ac:dyDescent="0.2">
      <c r="A131" s="313" t="s">
        <v>28</v>
      </c>
      <c r="B131" s="321" t="s">
        <v>29</v>
      </c>
      <c r="C131" s="313" t="s">
        <v>56</v>
      </c>
      <c r="D131" s="313" t="s">
        <v>31</v>
      </c>
      <c r="E131" s="313" t="s">
        <v>32</v>
      </c>
      <c r="F131" s="314" t="s">
        <v>33</v>
      </c>
    </row>
    <row r="132" spans="1:6" ht="28.5" customHeight="1" x14ac:dyDescent="0.2">
      <c r="A132" s="313"/>
      <c r="B132" s="322"/>
      <c r="C132" s="313"/>
      <c r="D132" s="313"/>
      <c r="E132" s="313"/>
      <c r="F132" s="315"/>
    </row>
    <row r="133" spans="1:6" ht="33" customHeight="1" x14ac:dyDescent="0.2">
      <c r="A133" s="337" t="s">
        <v>34</v>
      </c>
      <c r="B133" s="195" t="s">
        <v>57</v>
      </c>
      <c r="C133" s="317" t="s">
        <v>84</v>
      </c>
      <c r="D133" s="203" t="s">
        <v>85</v>
      </c>
      <c r="E133" s="203">
        <v>10</v>
      </c>
      <c r="F133" s="214">
        <v>40.300000000000004</v>
      </c>
    </row>
    <row r="134" spans="1:6" ht="30.75" customHeight="1" x14ac:dyDescent="0.2">
      <c r="A134" s="338"/>
      <c r="B134" s="315" t="s">
        <v>37</v>
      </c>
      <c r="C134" s="318"/>
      <c r="D134" s="203" t="s">
        <v>38</v>
      </c>
      <c r="E134" s="203">
        <v>13</v>
      </c>
      <c r="F134" s="214">
        <v>493.61</v>
      </c>
    </row>
    <row r="135" spans="1:6" ht="29.25" customHeight="1" x14ac:dyDescent="0.2">
      <c r="A135" s="338"/>
      <c r="B135" s="313"/>
      <c r="C135" s="318"/>
      <c r="D135" s="203" t="s">
        <v>39</v>
      </c>
      <c r="E135" s="203">
        <v>2</v>
      </c>
      <c r="F135" s="214">
        <v>176.46</v>
      </c>
    </row>
    <row r="136" spans="1:6" ht="37.5" customHeight="1" x14ac:dyDescent="0.2">
      <c r="A136" s="202" t="s">
        <v>40</v>
      </c>
      <c r="B136" s="195" t="s">
        <v>41</v>
      </c>
      <c r="C136" s="196" t="s">
        <v>424</v>
      </c>
      <c r="D136" s="206" t="s">
        <v>450</v>
      </c>
      <c r="E136" s="206">
        <v>40</v>
      </c>
      <c r="F136" s="272">
        <v>897.6</v>
      </c>
    </row>
    <row r="137" spans="1:6" ht="24.95" customHeight="1" x14ac:dyDescent="0.2">
      <c r="A137" s="198" t="s">
        <v>44</v>
      </c>
      <c r="B137" s="198" t="s">
        <v>45</v>
      </c>
      <c r="C137" s="203" t="s">
        <v>335</v>
      </c>
      <c r="D137" s="203" t="s">
        <v>77</v>
      </c>
      <c r="E137" s="203">
        <v>146</v>
      </c>
      <c r="F137" s="214">
        <v>553.34</v>
      </c>
    </row>
    <row r="138" spans="1:6" ht="28.5" customHeight="1" x14ac:dyDescent="0.2">
      <c r="A138" s="202" t="s">
        <v>46</v>
      </c>
      <c r="B138" s="202" t="s">
        <v>47</v>
      </c>
      <c r="C138" s="203" t="s">
        <v>67</v>
      </c>
      <c r="D138" s="203" t="s">
        <v>68</v>
      </c>
      <c r="E138" s="203">
        <v>5</v>
      </c>
      <c r="F138" s="214">
        <v>25.75</v>
      </c>
    </row>
    <row r="139" spans="1:6" ht="24.95" customHeight="1" x14ac:dyDescent="0.2">
      <c r="A139" s="199" t="s">
        <v>53</v>
      </c>
      <c r="B139" s="316" t="s">
        <v>54</v>
      </c>
      <c r="C139" s="320"/>
      <c r="D139" s="203" t="s">
        <v>53</v>
      </c>
      <c r="E139" s="203">
        <v>150</v>
      </c>
      <c r="F139" s="214">
        <v>100.5</v>
      </c>
    </row>
    <row r="140" spans="1:6" ht="21" customHeight="1" x14ac:dyDescent="0.2">
      <c r="A140" s="334" t="s">
        <v>331</v>
      </c>
      <c r="B140" s="335"/>
      <c r="C140" s="335"/>
      <c r="D140" s="335"/>
      <c r="E140" s="336"/>
      <c r="F140" s="213">
        <v>2287.56</v>
      </c>
    </row>
    <row r="141" spans="1:6" s="2" customFormat="1" ht="15" customHeight="1" x14ac:dyDescent="0.25">
      <c r="A141" s="160"/>
      <c r="B141" s="162"/>
      <c r="C141" s="162"/>
      <c r="D141" s="162"/>
      <c r="E141" s="162"/>
      <c r="F141" s="162"/>
    </row>
    <row r="142" spans="1:6" ht="22.5" customHeight="1" x14ac:dyDescent="0.2">
      <c r="A142" s="166" t="s">
        <v>27</v>
      </c>
      <c r="B142" s="201">
        <v>8</v>
      </c>
      <c r="C142" s="167"/>
      <c r="D142" s="167"/>
      <c r="E142" s="167"/>
      <c r="F142" s="167"/>
    </row>
    <row r="143" spans="1:6" ht="22.5" customHeight="1" x14ac:dyDescent="0.2">
      <c r="A143" s="167"/>
      <c r="B143" s="161"/>
      <c r="C143" s="167"/>
      <c r="D143" s="167"/>
      <c r="E143" s="167"/>
      <c r="F143" s="167"/>
    </row>
    <row r="144" spans="1:6" ht="18.75" customHeight="1" x14ac:dyDescent="0.2">
      <c r="A144" s="313" t="s">
        <v>28</v>
      </c>
      <c r="B144" s="321" t="s">
        <v>29</v>
      </c>
      <c r="C144" s="313" t="s">
        <v>56</v>
      </c>
      <c r="D144" s="313" t="s">
        <v>31</v>
      </c>
      <c r="E144" s="313" t="s">
        <v>32</v>
      </c>
      <c r="F144" s="314" t="s">
        <v>33</v>
      </c>
    </row>
    <row r="145" spans="1:6" ht="34.5" customHeight="1" x14ac:dyDescent="0.2">
      <c r="A145" s="313"/>
      <c r="B145" s="322"/>
      <c r="C145" s="313"/>
      <c r="D145" s="313"/>
      <c r="E145" s="313"/>
      <c r="F145" s="315"/>
    </row>
    <row r="146" spans="1:6" ht="36" customHeight="1" x14ac:dyDescent="0.2">
      <c r="A146" s="337" t="s">
        <v>34</v>
      </c>
      <c r="B146" s="195" t="s">
        <v>57</v>
      </c>
      <c r="C146" s="317" t="s">
        <v>76</v>
      </c>
      <c r="D146" s="203" t="s">
        <v>245</v>
      </c>
      <c r="E146" s="203">
        <v>10</v>
      </c>
      <c r="F146" s="214">
        <v>167.7</v>
      </c>
    </row>
    <row r="147" spans="1:6" ht="61.5" customHeight="1" x14ac:dyDescent="0.2">
      <c r="A147" s="338"/>
      <c r="B147" s="200" t="s">
        <v>37</v>
      </c>
      <c r="C147" s="318"/>
      <c r="D147" s="203" t="s">
        <v>38</v>
      </c>
      <c r="E147" s="203">
        <v>13</v>
      </c>
      <c r="F147" s="214">
        <v>493.61</v>
      </c>
    </row>
    <row r="148" spans="1:6" ht="24.95" customHeight="1" x14ac:dyDescent="0.2">
      <c r="A148" s="326" t="s">
        <v>277</v>
      </c>
      <c r="B148" s="314" t="s">
        <v>60</v>
      </c>
      <c r="C148" s="314" t="s">
        <v>451</v>
      </c>
      <c r="D148" s="203" t="s">
        <v>78</v>
      </c>
      <c r="E148" s="203">
        <v>64.8</v>
      </c>
      <c r="F148" s="214">
        <v>1624.5360000000001</v>
      </c>
    </row>
    <row r="149" spans="1:6" ht="30" customHeight="1" x14ac:dyDescent="0.2">
      <c r="A149" s="327"/>
      <c r="B149" s="319"/>
      <c r="C149" s="319"/>
      <c r="D149" s="203" t="s">
        <v>62</v>
      </c>
      <c r="E149" s="203">
        <v>10</v>
      </c>
      <c r="F149" s="214">
        <v>50.300000000000004</v>
      </c>
    </row>
    <row r="150" spans="1:6" ht="30.75" customHeight="1" x14ac:dyDescent="0.2">
      <c r="A150" s="327"/>
      <c r="B150" s="319"/>
      <c r="C150" s="319"/>
      <c r="D150" s="203" t="s">
        <v>64</v>
      </c>
      <c r="E150" s="203">
        <v>10</v>
      </c>
      <c r="F150" s="214">
        <v>36.800000000000004</v>
      </c>
    </row>
    <row r="151" spans="1:6" ht="24.95" customHeight="1" x14ac:dyDescent="0.2">
      <c r="A151" s="327"/>
      <c r="B151" s="319"/>
      <c r="C151" s="319"/>
      <c r="D151" s="170" t="s">
        <v>11</v>
      </c>
      <c r="E151" s="203">
        <v>2</v>
      </c>
      <c r="F151" s="214">
        <v>24.2</v>
      </c>
    </row>
    <row r="152" spans="1:6" ht="29.25" customHeight="1" x14ac:dyDescent="0.2">
      <c r="A152" s="327"/>
      <c r="B152" s="319"/>
      <c r="C152" s="319"/>
      <c r="D152" s="203" t="s">
        <v>63</v>
      </c>
      <c r="E152" s="203">
        <v>10</v>
      </c>
      <c r="F152" s="214">
        <v>91.6</v>
      </c>
    </row>
    <row r="153" spans="1:6" ht="24.95" customHeight="1" x14ac:dyDescent="0.2">
      <c r="A153" s="327"/>
      <c r="B153" s="319"/>
      <c r="C153" s="319"/>
      <c r="D153" s="170" t="s">
        <v>65</v>
      </c>
      <c r="E153" s="203">
        <v>1</v>
      </c>
      <c r="F153" s="214">
        <v>8.27</v>
      </c>
    </row>
    <row r="154" spans="1:6" ht="24.95" customHeight="1" x14ac:dyDescent="0.2">
      <c r="A154" s="328"/>
      <c r="B154" s="315"/>
      <c r="C154" s="315"/>
      <c r="D154" s="203" t="s">
        <v>43</v>
      </c>
      <c r="E154" s="203">
        <v>0.1</v>
      </c>
      <c r="F154" s="214">
        <v>0.19</v>
      </c>
    </row>
    <row r="155" spans="1:6" ht="29.25" customHeight="1" x14ac:dyDescent="0.2">
      <c r="A155" s="326" t="s">
        <v>40</v>
      </c>
      <c r="B155" s="314" t="s">
        <v>41</v>
      </c>
      <c r="C155" s="329" t="s">
        <v>71</v>
      </c>
      <c r="D155" s="203" t="s">
        <v>72</v>
      </c>
      <c r="E155" s="203">
        <v>50</v>
      </c>
      <c r="F155" s="214">
        <v>285</v>
      </c>
    </row>
    <row r="156" spans="1:6" ht="24.95" customHeight="1" x14ac:dyDescent="0.2">
      <c r="A156" s="327"/>
      <c r="B156" s="319"/>
      <c r="C156" s="333"/>
      <c r="D156" s="203" t="s">
        <v>43</v>
      </c>
      <c r="E156" s="203">
        <v>0.1</v>
      </c>
      <c r="F156" s="214">
        <v>0.19</v>
      </c>
    </row>
    <row r="157" spans="1:6" ht="32.25" customHeight="1" x14ac:dyDescent="0.2">
      <c r="A157" s="202" t="s">
        <v>46</v>
      </c>
      <c r="B157" s="202" t="s">
        <v>47</v>
      </c>
      <c r="C157" s="203" t="s">
        <v>67</v>
      </c>
      <c r="D157" s="203" t="s">
        <v>68</v>
      </c>
      <c r="E157" s="203">
        <v>5</v>
      </c>
      <c r="F157" s="214">
        <v>25.75</v>
      </c>
    </row>
    <row r="158" spans="1:6" ht="29.25" customHeight="1" x14ac:dyDescent="0.2">
      <c r="A158" s="202" t="s">
        <v>49</v>
      </c>
      <c r="B158" s="202" t="s">
        <v>50</v>
      </c>
      <c r="C158" s="203" t="s">
        <v>51</v>
      </c>
      <c r="D158" s="203" t="s">
        <v>52</v>
      </c>
      <c r="E158" s="203">
        <v>3</v>
      </c>
      <c r="F158" s="214">
        <v>37.74</v>
      </c>
    </row>
    <row r="159" spans="1:6" ht="24.95" customHeight="1" x14ac:dyDescent="0.2">
      <c r="A159" s="199" t="s">
        <v>53</v>
      </c>
      <c r="B159" s="316" t="s">
        <v>54</v>
      </c>
      <c r="C159" s="320"/>
      <c r="D159" s="203" t="s">
        <v>53</v>
      </c>
      <c r="E159" s="203">
        <v>150</v>
      </c>
      <c r="F159" s="214">
        <v>100.5</v>
      </c>
    </row>
    <row r="160" spans="1:6" ht="20.100000000000001" customHeight="1" x14ac:dyDescent="0.2">
      <c r="A160" s="334" t="s">
        <v>331</v>
      </c>
      <c r="B160" s="335"/>
      <c r="C160" s="335"/>
      <c r="D160" s="335"/>
      <c r="E160" s="336"/>
      <c r="F160" s="213">
        <v>2946.39</v>
      </c>
    </row>
    <row r="161" spans="1:6" s="2" customFormat="1" ht="20.100000000000001" customHeight="1" x14ac:dyDescent="0.25">
      <c r="A161" s="160"/>
      <c r="B161" s="162"/>
      <c r="C161" s="162"/>
      <c r="D161" s="162"/>
      <c r="E161" s="162"/>
      <c r="F161" s="162"/>
    </row>
    <row r="162" spans="1:6" ht="20.25" customHeight="1" x14ac:dyDescent="0.2">
      <c r="A162" s="166" t="s">
        <v>27</v>
      </c>
      <c r="B162" s="201">
        <v>9</v>
      </c>
      <c r="C162" s="167"/>
      <c r="D162" s="167"/>
      <c r="E162" s="167"/>
      <c r="F162" s="167"/>
    </row>
    <row r="163" spans="1:6" ht="20.25" customHeight="1" x14ac:dyDescent="0.2">
      <c r="A163" s="167"/>
      <c r="B163" s="161"/>
      <c r="C163" s="167"/>
      <c r="D163" s="167"/>
      <c r="E163" s="167"/>
      <c r="F163" s="167"/>
    </row>
    <row r="164" spans="1:6" ht="12.75" customHeight="1" x14ac:dyDescent="0.2">
      <c r="A164" s="313" t="s">
        <v>28</v>
      </c>
      <c r="B164" s="321" t="s">
        <v>29</v>
      </c>
      <c r="C164" s="313" t="s">
        <v>56</v>
      </c>
      <c r="D164" s="313" t="s">
        <v>31</v>
      </c>
      <c r="E164" s="313" t="s">
        <v>32</v>
      </c>
      <c r="F164" s="314" t="s">
        <v>33</v>
      </c>
    </row>
    <row r="165" spans="1:6" ht="34.5" customHeight="1" x14ac:dyDescent="0.2">
      <c r="A165" s="313"/>
      <c r="B165" s="322"/>
      <c r="C165" s="313"/>
      <c r="D165" s="313"/>
      <c r="E165" s="313"/>
      <c r="F165" s="315"/>
    </row>
    <row r="166" spans="1:6" ht="32.25" customHeight="1" x14ac:dyDescent="0.2">
      <c r="A166" s="316" t="s">
        <v>34</v>
      </c>
      <c r="B166" s="195" t="s">
        <v>57</v>
      </c>
      <c r="C166" s="317" t="s">
        <v>86</v>
      </c>
      <c r="D166" s="203" t="s">
        <v>36</v>
      </c>
      <c r="E166" s="203">
        <v>10</v>
      </c>
      <c r="F166" s="214">
        <v>45.599999999999994</v>
      </c>
    </row>
    <row r="167" spans="1:6" ht="30.75" customHeight="1" x14ac:dyDescent="0.2">
      <c r="A167" s="316"/>
      <c r="B167" s="319" t="s">
        <v>37</v>
      </c>
      <c r="C167" s="318"/>
      <c r="D167" s="203" t="s">
        <v>38</v>
      </c>
      <c r="E167" s="203">
        <v>13</v>
      </c>
      <c r="F167" s="214">
        <v>493.61</v>
      </c>
    </row>
    <row r="168" spans="1:6" ht="28.5" customHeight="1" x14ac:dyDescent="0.2">
      <c r="A168" s="316"/>
      <c r="B168" s="315"/>
      <c r="C168" s="340"/>
      <c r="D168" s="203" t="s">
        <v>39</v>
      </c>
      <c r="E168" s="203">
        <v>2</v>
      </c>
      <c r="F168" s="214">
        <v>176.46</v>
      </c>
    </row>
    <row r="169" spans="1:6" ht="33" customHeight="1" x14ac:dyDescent="0.2">
      <c r="A169" s="326" t="s">
        <v>40</v>
      </c>
      <c r="B169" s="314" t="s">
        <v>41</v>
      </c>
      <c r="C169" s="329" t="s">
        <v>336</v>
      </c>
      <c r="D169" s="203" t="s">
        <v>42</v>
      </c>
      <c r="E169" s="203">
        <v>35</v>
      </c>
      <c r="F169" s="214">
        <v>173.95</v>
      </c>
    </row>
    <row r="170" spans="1:6" ht="24.95" customHeight="1" x14ac:dyDescent="0.2">
      <c r="A170" s="328"/>
      <c r="B170" s="315"/>
      <c r="C170" s="333"/>
      <c r="D170" s="203" t="s">
        <v>43</v>
      </c>
      <c r="E170" s="203">
        <v>0.1</v>
      </c>
      <c r="F170" s="214">
        <v>0.19</v>
      </c>
    </row>
    <row r="171" spans="1:6" ht="33" customHeight="1" x14ac:dyDescent="0.2">
      <c r="A171" s="202" t="s">
        <v>44</v>
      </c>
      <c r="B171" s="202" t="s">
        <v>45</v>
      </c>
      <c r="C171" s="196" t="s">
        <v>82</v>
      </c>
      <c r="D171" s="203" t="s">
        <v>83</v>
      </c>
      <c r="E171" s="203">
        <v>115</v>
      </c>
      <c r="F171" s="214">
        <v>267.95</v>
      </c>
    </row>
    <row r="172" spans="1:6" ht="24.95" customHeight="1" x14ac:dyDescent="0.2">
      <c r="A172" s="202" t="s">
        <v>46</v>
      </c>
      <c r="B172" s="202" t="s">
        <v>47</v>
      </c>
      <c r="C172" s="203" t="s">
        <v>48</v>
      </c>
      <c r="D172" s="203" t="s">
        <v>13</v>
      </c>
      <c r="E172" s="203">
        <v>7</v>
      </c>
      <c r="F172" s="214">
        <v>41.09</v>
      </c>
    </row>
    <row r="173" spans="1:6" ht="30" customHeight="1" x14ac:dyDescent="0.2">
      <c r="A173" s="202" t="s">
        <v>49</v>
      </c>
      <c r="B173" s="202" t="s">
        <v>50</v>
      </c>
      <c r="C173" s="203" t="s">
        <v>51</v>
      </c>
      <c r="D173" s="203" t="s">
        <v>52</v>
      </c>
      <c r="E173" s="203">
        <v>5</v>
      </c>
      <c r="F173" s="214">
        <v>62.9</v>
      </c>
    </row>
    <row r="174" spans="1:6" ht="24.95" customHeight="1" x14ac:dyDescent="0.2">
      <c r="A174" s="199" t="s">
        <v>53</v>
      </c>
      <c r="B174" s="316" t="s">
        <v>54</v>
      </c>
      <c r="C174" s="320"/>
      <c r="D174" s="203" t="s">
        <v>53</v>
      </c>
      <c r="E174" s="203">
        <v>150</v>
      </c>
      <c r="F174" s="214">
        <v>100.5</v>
      </c>
    </row>
    <row r="175" spans="1:6" ht="20.100000000000001" customHeight="1" x14ac:dyDescent="0.2">
      <c r="A175" s="334" t="s">
        <v>331</v>
      </c>
      <c r="B175" s="335"/>
      <c r="C175" s="335"/>
      <c r="D175" s="335"/>
      <c r="E175" s="336"/>
      <c r="F175" s="213">
        <v>1362.25</v>
      </c>
    </row>
    <row r="176" spans="1:6" s="2" customFormat="1" ht="19.5" customHeight="1" x14ac:dyDescent="0.25">
      <c r="A176" s="160"/>
      <c r="B176" s="162"/>
      <c r="C176" s="162"/>
      <c r="D176" s="162"/>
      <c r="E176" s="162"/>
      <c r="F176" s="162"/>
    </row>
    <row r="177" spans="1:6" ht="19.5" customHeight="1" x14ac:dyDescent="0.2">
      <c r="A177" s="166" t="s">
        <v>27</v>
      </c>
      <c r="B177" s="201">
        <v>10</v>
      </c>
      <c r="C177" s="167"/>
      <c r="D177" s="167"/>
      <c r="E177" s="167"/>
      <c r="F177" s="167"/>
    </row>
    <row r="178" spans="1:6" ht="19.5" customHeight="1" x14ac:dyDescent="0.2">
      <c r="A178" s="167"/>
      <c r="B178" s="161"/>
      <c r="C178" s="167"/>
      <c r="D178" s="167"/>
      <c r="E178" s="167"/>
      <c r="F178" s="167"/>
    </row>
    <row r="179" spans="1:6" ht="12.75" customHeight="1" x14ac:dyDescent="0.2">
      <c r="A179" s="313" t="s">
        <v>28</v>
      </c>
      <c r="B179" s="321" t="s">
        <v>29</v>
      </c>
      <c r="C179" s="313" t="s">
        <v>56</v>
      </c>
      <c r="D179" s="313" t="s">
        <v>31</v>
      </c>
      <c r="E179" s="313" t="s">
        <v>32</v>
      </c>
      <c r="F179" s="314" t="s">
        <v>33</v>
      </c>
    </row>
    <row r="180" spans="1:6" ht="35.25" customHeight="1" x14ac:dyDescent="0.2">
      <c r="A180" s="313"/>
      <c r="B180" s="322"/>
      <c r="C180" s="313"/>
      <c r="D180" s="313"/>
      <c r="E180" s="313"/>
      <c r="F180" s="315"/>
    </row>
    <row r="181" spans="1:6" ht="33.75" customHeight="1" x14ac:dyDescent="0.2">
      <c r="A181" s="316" t="s">
        <v>34</v>
      </c>
      <c r="B181" s="195" t="s">
        <v>57</v>
      </c>
      <c r="C181" s="317" t="s">
        <v>276</v>
      </c>
      <c r="D181" s="203" t="s">
        <v>73</v>
      </c>
      <c r="E181" s="203">
        <v>10</v>
      </c>
      <c r="F181" s="214">
        <v>363</v>
      </c>
    </row>
    <row r="182" spans="1:6" ht="32.25" customHeight="1" x14ac:dyDescent="0.2">
      <c r="A182" s="316"/>
      <c r="B182" s="315" t="s">
        <v>37</v>
      </c>
      <c r="C182" s="318"/>
      <c r="D182" s="203" t="s">
        <v>38</v>
      </c>
      <c r="E182" s="203">
        <v>13</v>
      </c>
      <c r="F182" s="214">
        <v>493.61</v>
      </c>
    </row>
    <row r="183" spans="1:6" ht="33" customHeight="1" x14ac:dyDescent="0.2">
      <c r="A183" s="316"/>
      <c r="B183" s="313"/>
      <c r="C183" s="340"/>
      <c r="D183" s="203" t="s">
        <v>39</v>
      </c>
      <c r="E183" s="203">
        <v>2</v>
      </c>
      <c r="F183" s="214">
        <v>176.46</v>
      </c>
    </row>
    <row r="184" spans="1:6" ht="33" customHeight="1" x14ac:dyDescent="0.2">
      <c r="A184" s="326" t="s">
        <v>59</v>
      </c>
      <c r="B184" s="314" t="s">
        <v>60</v>
      </c>
      <c r="C184" s="329" t="s">
        <v>452</v>
      </c>
      <c r="D184" s="203" t="s">
        <v>74</v>
      </c>
      <c r="E184" s="203">
        <v>56</v>
      </c>
      <c r="F184" s="214">
        <v>1695.12</v>
      </c>
    </row>
    <row r="185" spans="1:6" ht="30" customHeight="1" x14ac:dyDescent="0.2">
      <c r="A185" s="327"/>
      <c r="B185" s="319"/>
      <c r="C185" s="330"/>
      <c r="D185" s="203" t="s">
        <v>62</v>
      </c>
      <c r="E185" s="203">
        <v>10</v>
      </c>
      <c r="F185" s="214">
        <v>50.300000000000004</v>
      </c>
    </row>
    <row r="186" spans="1:6" ht="30.75" customHeight="1" x14ac:dyDescent="0.2">
      <c r="A186" s="327"/>
      <c r="B186" s="319"/>
      <c r="C186" s="330"/>
      <c r="D186" s="203" t="s">
        <v>64</v>
      </c>
      <c r="E186" s="203">
        <v>10</v>
      </c>
      <c r="F186" s="214">
        <v>36.800000000000004</v>
      </c>
    </row>
    <row r="187" spans="1:6" ht="24.95" customHeight="1" x14ac:dyDescent="0.2">
      <c r="A187" s="327"/>
      <c r="B187" s="319"/>
      <c r="C187" s="330"/>
      <c r="D187" s="170" t="s">
        <v>11</v>
      </c>
      <c r="E187" s="203">
        <v>2</v>
      </c>
      <c r="F187" s="214">
        <v>24.2</v>
      </c>
    </row>
    <row r="188" spans="1:6" ht="28.5" customHeight="1" x14ac:dyDescent="0.2">
      <c r="A188" s="327"/>
      <c r="B188" s="319"/>
      <c r="C188" s="330"/>
      <c r="D188" s="203" t="s">
        <v>63</v>
      </c>
      <c r="E188" s="203">
        <v>10</v>
      </c>
      <c r="F188" s="214">
        <v>91.6</v>
      </c>
    </row>
    <row r="189" spans="1:6" ht="30" customHeight="1" x14ac:dyDescent="0.2">
      <c r="A189" s="327"/>
      <c r="B189" s="319"/>
      <c r="C189" s="330"/>
      <c r="D189" s="203" t="s">
        <v>65</v>
      </c>
      <c r="E189" s="203">
        <v>1</v>
      </c>
      <c r="F189" s="214">
        <v>8.27</v>
      </c>
    </row>
    <row r="190" spans="1:6" ht="24.95" customHeight="1" x14ac:dyDescent="0.2">
      <c r="A190" s="328"/>
      <c r="B190" s="315"/>
      <c r="C190" s="333"/>
      <c r="D190" s="203" t="s">
        <v>43</v>
      </c>
      <c r="E190" s="203">
        <v>0.1</v>
      </c>
      <c r="F190" s="214">
        <v>0.19</v>
      </c>
    </row>
    <row r="191" spans="1:6" ht="33.75" customHeight="1" x14ac:dyDescent="0.2">
      <c r="A191" s="326" t="s">
        <v>40</v>
      </c>
      <c r="B191" s="314" t="s">
        <v>41</v>
      </c>
      <c r="C191" s="331" t="s">
        <v>340</v>
      </c>
      <c r="D191" s="203" t="s">
        <v>36</v>
      </c>
      <c r="E191" s="203">
        <v>22.95</v>
      </c>
      <c r="F191" s="214">
        <v>104.65199999999999</v>
      </c>
    </row>
    <row r="192" spans="1:6" ht="24.95" customHeight="1" x14ac:dyDescent="0.2">
      <c r="A192" s="327"/>
      <c r="B192" s="319"/>
      <c r="C192" s="344"/>
      <c r="D192" s="203" t="s">
        <v>75</v>
      </c>
      <c r="E192" s="203">
        <v>10</v>
      </c>
      <c r="F192" s="214">
        <v>136.30000000000001</v>
      </c>
    </row>
    <row r="193" spans="1:6" ht="24.95" customHeight="1" x14ac:dyDescent="0.2">
      <c r="A193" s="328"/>
      <c r="B193" s="315"/>
      <c r="C193" s="332"/>
      <c r="D193" s="203" t="s">
        <v>43</v>
      </c>
      <c r="E193" s="203">
        <v>0.1</v>
      </c>
      <c r="F193" s="214">
        <v>0.19</v>
      </c>
    </row>
    <row r="194" spans="1:6" ht="30.75" customHeight="1" x14ac:dyDescent="0.2">
      <c r="A194" s="202" t="s">
        <v>46</v>
      </c>
      <c r="B194" s="202" t="s">
        <v>47</v>
      </c>
      <c r="C194" s="203" t="s">
        <v>67</v>
      </c>
      <c r="D194" s="203" t="s">
        <v>68</v>
      </c>
      <c r="E194" s="203">
        <v>5</v>
      </c>
      <c r="F194" s="214">
        <v>25.75</v>
      </c>
    </row>
    <row r="195" spans="1:6" ht="31.5" customHeight="1" x14ac:dyDescent="0.2">
      <c r="A195" s="202" t="s">
        <v>49</v>
      </c>
      <c r="B195" s="202" t="s">
        <v>50</v>
      </c>
      <c r="C195" s="203" t="s">
        <v>51</v>
      </c>
      <c r="D195" s="203" t="s">
        <v>52</v>
      </c>
      <c r="E195" s="203">
        <v>3</v>
      </c>
      <c r="F195" s="214">
        <v>37.74</v>
      </c>
    </row>
    <row r="196" spans="1:6" ht="24.95" customHeight="1" x14ac:dyDescent="0.2">
      <c r="A196" s="199" t="s">
        <v>53</v>
      </c>
      <c r="B196" s="316" t="s">
        <v>54</v>
      </c>
      <c r="C196" s="320"/>
      <c r="D196" s="203" t="s">
        <v>53</v>
      </c>
      <c r="E196" s="203">
        <v>150</v>
      </c>
      <c r="F196" s="214">
        <v>100.5</v>
      </c>
    </row>
    <row r="197" spans="1:6" ht="20.100000000000001" customHeight="1" x14ac:dyDescent="0.2">
      <c r="A197" s="334" t="s">
        <v>331</v>
      </c>
      <c r="B197" s="335"/>
      <c r="C197" s="335"/>
      <c r="D197" s="335"/>
      <c r="E197" s="336"/>
      <c r="F197" s="213">
        <v>3344.68</v>
      </c>
    </row>
    <row r="198" spans="1:6" s="2" customFormat="1" ht="19.5" customHeight="1" x14ac:dyDescent="0.25">
      <c r="A198" s="160"/>
      <c r="B198" s="162"/>
      <c r="C198" s="162"/>
      <c r="D198" s="162"/>
      <c r="E198" s="162"/>
      <c r="F198" s="162"/>
    </row>
    <row r="199" spans="1:6" ht="20.25" customHeight="1" x14ac:dyDescent="0.2">
      <c r="A199" s="166" t="s">
        <v>27</v>
      </c>
      <c r="B199" s="201">
        <v>11</v>
      </c>
      <c r="C199" s="167"/>
      <c r="D199" s="167"/>
      <c r="E199" s="167"/>
      <c r="F199" s="167"/>
    </row>
    <row r="200" spans="1:6" ht="20.25" customHeight="1" x14ac:dyDescent="0.2">
      <c r="A200" s="167"/>
      <c r="B200" s="161"/>
      <c r="C200" s="167"/>
      <c r="D200" s="167"/>
      <c r="E200" s="167"/>
      <c r="F200" s="167"/>
    </row>
    <row r="201" spans="1:6" ht="12.75" customHeight="1" x14ac:dyDescent="0.2">
      <c r="A201" s="313" t="s">
        <v>28</v>
      </c>
      <c r="B201" s="321" t="s">
        <v>29</v>
      </c>
      <c r="C201" s="313" t="s">
        <v>56</v>
      </c>
      <c r="D201" s="313" t="s">
        <v>31</v>
      </c>
      <c r="E201" s="313" t="s">
        <v>32</v>
      </c>
      <c r="F201" s="314" t="s">
        <v>33</v>
      </c>
    </row>
    <row r="202" spans="1:6" ht="33" customHeight="1" x14ac:dyDescent="0.2">
      <c r="A202" s="313"/>
      <c r="B202" s="321"/>
      <c r="C202" s="313"/>
      <c r="D202" s="313"/>
      <c r="E202" s="313"/>
      <c r="F202" s="315"/>
    </row>
    <row r="203" spans="1:6" ht="79.5" customHeight="1" x14ac:dyDescent="0.2">
      <c r="A203" s="207" t="s">
        <v>34</v>
      </c>
      <c r="B203" s="202" t="s">
        <v>293</v>
      </c>
      <c r="C203" s="196" t="s">
        <v>294</v>
      </c>
      <c r="D203" s="203" t="s">
        <v>38</v>
      </c>
      <c r="E203" s="199">
        <v>13</v>
      </c>
      <c r="F203" s="214">
        <v>493.61</v>
      </c>
    </row>
    <row r="204" spans="1:6" ht="24.95" customHeight="1" x14ac:dyDescent="0.2">
      <c r="A204" s="314" t="s">
        <v>59</v>
      </c>
      <c r="B204" s="314" t="s">
        <v>60</v>
      </c>
      <c r="C204" s="329" t="s">
        <v>453</v>
      </c>
      <c r="D204" s="203" t="s">
        <v>78</v>
      </c>
      <c r="E204" s="203">
        <v>64.8</v>
      </c>
      <c r="F204" s="214">
        <v>1624.5360000000001</v>
      </c>
    </row>
    <row r="205" spans="1:6" ht="31.5" customHeight="1" x14ac:dyDescent="0.2">
      <c r="A205" s="319"/>
      <c r="B205" s="319"/>
      <c r="C205" s="330"/>
      <c r="D205" s="203" t="s">
        <v>62</v>
      </c>
      <c r="E205" s="203">
        <v>10</v>
      </c>
      <c r="F205" s="214">
        <v>50.300000000000004</v>
      </c>
    </row>
    <row r="206" spans="1:6" ht="30" customHeight="1" x14ac:dyDescent="0.2">
      <c r="A206" s="319"/>
      <c r="B206" s="319"/>
      <c r="C206" s="330"/>
      <c r="D206" s="203" t="s">
        <v>79</v>
      </c>
      <c r="E206" s="203">
        <v>10</v>
      </c>
      <c r="F206" s="214">
        <v>50.9</v>
      </c>
    </row>
    <row r="207" spans="1:6" ht="24.95" customHeight="1" x14ac:dyDescent="0.2">
      <c r="A207" s="319"/>
      <c r="B207" s="319"/>
      <c r="C207" s="330"/>
      <c r="D207" s="170" t="s">
        <v>11</v>
      </c>
      <c r="E207" s="203">
        <v>2</v>
      </c>
      <c r="F207" s="214">
        <v>24.2</v>
      </c>
    </row>
    <row r="208" spans="1:6" ht="29.25" customHeight="1" x14ac:dyDescent="0.2">
      <c r="A208" s="319"/>
      <c r="B208" s="319"/>
      <c r="C208" s="330"/>
      <c r="D208" s="203" t="s">
        <v>63</v>
      </c>
      <c r="E208" s="203">
        <v>10</v>
      </c>
      <c r="F208" s="214">
        <v>91.6</v>
      </c>
    </row>
    <row r="209" spans="1:6" ht="28.5" customHeight="1" x14ac:dyDescent="0.2">
      <c r="A209" s="319"/>
      <c r="B209" s="319"/>
      <c r="C209" s="330"/>
      <c r="D209" s="203" t="s">
        <v>65</v>
      </c>
      <c r="E209" s="203">
        <v>1</v>
      </c>
      <c r="F209" s="214">
        <v>8.27</v>
      </c>
    </row>
    <row r="210" spans="1:6" ht="24.95" customHeight="1" x14ac:dyDescent="0.2">
      <c r="A210" s="315"/>
      <c r="B210" s="315"/>
      <c r="C210" s="333"/>
      <c r="D210" s="203" t="s">
        <v>43</v>
      </c>
      <c r="E210" s="203">
        <v>0.1</v>
      </c>
      <c r="F210" s="214">
        <v>0.19</v>
      </c>
    </row>
    <row r="211" spans="1:6" ht="32.25" customHeight="1" x14ac:dyDescent="0.2">
      <c r="A211" s="314" t="s">
        <v>40</v>
      </c>
      <c r="B211" s="314" t="s">
        <v>41</v>
      </c>
      <c r="C211" s="329" t="s">
        <v>298</v>
      </c>
      <c r="D211" s="203" t="s">
        <v>36</v>
      </c>
      <c r="E211" s="203">
        <v>22.95</v>
      </c>
      <c r="F211" s="214">
        <v>104.65199999999999</v>
      </c>
    </row>
    <row r="212" spans="1:6" ht="30" customHeight="1" x14ac:dyDescent="0.2">
      <c r="A212" s="319"/>
      <c r="B212" s="319"/>
      <c r="C212" s="330"/>
      <c r="D212" s="203" t="s">
        <v>64</v>
      </c>
      <c r="E212" s="203">
        <v>10</v>
      </c>
      <c r="F212" s="214">
        <v>36.800000000000004</v>
      </c>
    </row>
    <row r="213" spans="1:6" ht="19.5" customHeight="1" x14ac:dyDescent="0.2">
      <c r="A213" s="319"/>
      <c r="B213" s="319"/>
      <c r="C213" s="330"/>
      <c r="D213" s="203" t="s">
        <v>11</v>
      </c>
      <c r="E213" s="203">
        <v>2</v>
      </c>
      <c r="F213" s="214">
        <v>24.2</v>
      </c>
    </row>
    <row r="214" spans="1:6" ht="21" customHeight="1" x14ac:dyDescent="0.2">
      <c r="A214" s="319"/>
      <c r="B214" s="319"/>
      <c r="C214" s="330"/>
      <c r="D214" s="203" t="s">
        <v>43</v>
      </c>
      <c r="E214" s="203">
        <v>0.1</v>
      </c>
      <c r="F214" s="214">
        <v>0.19</v>
      </c>
    </row>
    <row r="215" spans="1:6" ht="29.25" customHeight="1" x14ac:dyDescent="0.2">
      <c r="A215" s="202" t="s">
        <v>46</v>
      </c>
      <c r="B215" s="202" t="s">
        <v>47</v>
      </c>
      <c r="C215" s="203" t="s">
        <v>297</v>
      </c>
      <c r="D215" s="203" t="s">
        <v>13</v>
      </c>
      <c r="E215" s="203">
        <v>5</v>
      </c>
      <c r="F215" s="214">
        <v>29.35</v>
      </c>
    </row>
    <row r="216" spans="1:6" ht="31.5" customHeight="1" x14ac:dyDescent="0.2">
      <c r="A216" s="202" t="s">
        <v>49</v>
      </c>
      <c r="B216" s="202" t="s">
        <v>50</v>
      </c>
      <c r="C216" s="203" t="s">
        <v>51</v>
      </c>
      <c r="D216" s="203" t="s">
        <v>52</v>
      </c>
      <c r="E216" s="203">
        <v>3</v>
      </c>
      <c r="F216" s="214">
        <v>37.74</v>
      </c>
    </row>
    <row r="217" spans="1:6" ht="24.95" customHeight="1" x14ac:dyDescent="0.2">
      <c r="A217" s="199" t="s">
        <v>53</v>
      </c>
      <c r="B217" s="316" t="s">
        <v>54</v>
      </c>
      <c r="C217" s="320"/>
      <c r="D217" s="203" t="s">
        <v>53</v>
      </c>
      <c r="E217" s="203">
        <v>150</v>
      </c>
      <c r="F217" s="214">
        <v>100.5</v>
      </c>
    </row>
    <row r="218" spans="1:6" ht="20.100000000000001" customHeight="1" x14ac:dyDescent="0.2">
      <c r="A218" s="334" t="s">
        <v>331</v>
      </c>
      <c r="B218" s="335"/>
      <c r="C218" s="335"/>
      <c r="D218" s="335"/>
      <c r="E218" s="336"/>
      <c r="F218" s="213">
        <v>2677.04</v>
      </c>
    </row>
    <row r="219" spans="1:6" s="2" customFormat="1" ht="19.5" customHeight="1" x14ac:dyDescent="0.25">
      <c r="A219" s="160"/>
      <c r="B219" s="162"/>
      <c r="C219" s="162"/>
      <c r="D219" s="162"/>
      <c r="E219" s="162"/>
      <c r="F219" s="162"/>
    </row>
    <row r="220" spans="1:6" s="2" customFormat="1" ht="23.25" customHeight="1" x14ac:dyDescent="0.25">
      <c r="A220" s="166" t="s">
        <v>27</v>
      </c>
      <c r="B220" s="201">
        <v>12</v>
      </c>
      <c r="C220" s="167"/>
      <c r="D220" s="167"/>
      <c r="E220" s="167"/>
      <c r="F220" s="167"/>
    </row>
    <row r="221" spans="1:6" s="2" customFormat="1" ht="23.25" customHeight="1" x14ac:dyDescent="0.25">
      <c r="A221" s="167"/>
      <c r="B221" s="161"/>
      <c r="C221" s="167"/>
      <c r="D221" s="167"/>
      <c r="E221" s="167"/>
      <c r="F221" s="167"/>
    </row>
    <row r="222" spans="1:6" ht="12.75" customHeight="1" x14ac:dyDescent="0.2">
      <c r="A222" s="313" t="s">
        <v>28</v>
      </c>
      <c r="B222" s="321" t="s">
        <v>29</v>
      </c>
      <c r="C222" s="313" t="s">
        <v>56</v>
      </c>
      <c r="D222" s="313" t="s">
        <v>31</v>
      </c>
      <c r="E222" s="313" t="s">
        <v>32</v>
      </c>
      <c r="F222" s="314" t="s">
        <v>33</v>
      </c>
    </row>
    <row r="223" spans="1:6" ht="36" customHeight="1" x14ac:dyDescent="0.2">
      <c r="A223" s="313"/>
      <c r="B223" s="322"/>
      <c r="C223" s="313"/>
      <c r="D223" s="313"/>
      <c r="E223" s="313"/>
      <c r="F223" s="315"/>
    </row>
    <row r="224" spans="1:6" ht="32.25" customHeight="1" x14ac:dyDescent="0.2">
      <c r="A224" s="345" t="s">
        <v>34</v>
      </c>
      <c r="B224" s="195" t="s">
        <v>57</v>
      </c>
      <c r="C224" s="317" t="s">
        <v>86</v>
      </c>
      <c r="D224" s="203" t="s">
        <v>36</v>
      </c>
      <c r="E224" s="203">
        <v>10</v>
      </c>
      <c r="F224" s="214">
        <v>45.599999999999994</v>
      </c>
    </row>
    <row r="225" spans="1:6" ht="36.75" customHeight="1" x14ac:dyDescent="0.2">
      <c r="A225" s="346"/>
      <c r="B225" s="319" t="s">
        <v>37</v>
      </c>
      <c r="C225" s="318"/>
      <c r="D225" s="203" t="s">
        <v>38</v>
      </c>
      <c r="E225" s="203">
        <v>13</v>
      </c>
      <c r="F225" s="214">
        <v>493.61</v>
      </c>
    </row>
    <row r="226" spans="1:6" ht="28.5" customHeight="1" x14ac:dyDescent="0.2">
      <c r="A226" s="347"/>
      <c r="B226" s="315"/>
      <c r="C226" s="340"/>
      <c r="D226" s="203" t="s">
        <v>39</v>
      </c>
      <c r="E226" s="203">
        <v>2</v>
      </c>
      <c r="F226" s="214">
        <v>176.46</v>
      </c>
    </row>
    <row r="227" spans="1:6" ht="29.25" customHeight="1" x14ac:dyDescent="0.2">
      <c r="A227" s="327" t="s">
        <v>40</v>
      </c>
      <c r="B227" s="319" t="s">
        <v>41</v>
      </c>
      <c r="C227" s="331" t="s">
        <v>87</v>
      </c>
      <c r="D227" s="203" t="s">
        <v>42</v>
      </c>
      <c r="E227" s="203">
        <v>35</v>
      </c>
      <c r="F227" s="214">
        <v>173.95</v>
      </c>
    </row>
    <row r="228" spans="1:6" ht="24.95" customHeight="1" x14ac:dyDescent="0.2">
      <c r="A228" s="328"/>
      <c r="B228" s="315"/>
      <c r="C228" s="332"/>
      <c r="D228" s="203" t="s">
        <v>43</v>
      </c>
      <c r="E228" s="203">
        <v>0.1</v>
      </c>
      <c r="F228" s="214">
        <v>0.19</v>
      </c>
    </row>
    <row r="229" spans="1:6" ht="24.95" customHeight="1" x14ac:dyDescent="0.2">
      <c r="A229" s="202" t="s">
        <v>44</v>
      </c>
      <c r="B229" s="202" t="s">
        <v>45</v>
      </c>
      <c r="C229" s="196" t="s">
        <v>94</v>
      </c>
      <c r="D229" s="203" t="s">
        <v>95</v>
      </c>
      <c r="E229" s="203">
        <v>134</v>
      </c>
      <c r="F229" s="214">
        <v>359.12</v>
      </c>
    </row>
    <row r="230" spans="1:6" ht="30" customHeight="1" x14ac:dyDescent="0.2">
      <c r="A230" s="202" t="s">
        <v>46</v>
      </c>
      <c r="B230" s="202" t="s">
        <v>47</v>
      </c>
      <c r="C230" s="203" t="s">
        <v>67</v>
      </c>
      <c r="D230" s="203" t="s">
        <v>68</v>
      </c>
      <c r="E230" s="203">
        <v>2</v>
      </c>
      <c r="F230" s="214">
        <v>10.3</v>
      </c>
    </row>
    <row r="231" spans="1:6" ht="31.5" customHeight="1" x14ac:dyDescent="0.2">
      <c r="A231" s="202" t="s">
        <v>49</v>
      </c>
      <c r="B231" s="202" t="s">
        <v>50</v>
      </c>
      <c r="C231" s="203" t="s">
        <v>51</v>
      </c>
      <c r="D231" s="203" t="s">
        <v>52</v>
      </c>
      <c r="E231" s="203">
        <v>5</v>
      </c>
      <c r="F231" s="214">
        <v>62.9</v>
      </c>
    </row>
    <row r="232" spans="1:6" ht="24.95" customHeight="1" x14ac:dyDescent="0.2">
      <c r="A232" s="199" t="s">
        <v>53</v>
      </c>
      <c r="B232" s="316" t="s">
        <v>54</v>
      </c>
      <c r="C232" s="320"/>
      <c r="D232" s="203" t="s">
        <v>53</v>
      </c>
      <c r="E232" s="203">
        <v>150</v>
      </c>
      <c r="F232" s="214">
        <v>100.5</v>
      </c>
    </row>
    <row r="233" spans="1:6" ht="20.100000000000001" customHeight="1" x14ac:dyDescent="0.25">
      <c r="A233" s="323" t="s">
        <v>331</v>
      </c>
      <c r="B233" s="324"/>
      <c r="C233" s="324"/>
      <c r="D233" s="324"/>
      <c r="E233" s="325"/>
      <c r="F233" s="213">
        <v>1422.63</v>
      </c>
    </row>
    <row r="234" spans="1:6" s="2" customFormat="1" ht="19.5" customHeight="1" x14ac:dyDescent="0.25">
      <c r="A234" s="160"/>
      <c r="B234" s="162"/>
      <c r="C234" s="162"/>
      <c r="D234" s="162"/>
      <c r="E234" s="162"/>
      <c r="F234" s="162"/>
    </row>
    <row r="235" spans="1:6" ht="22.5" customHeight="1" x14ac:dyDescent="0.2">
      <c r="A235" s="166" t="s">
        <v>27</v>
      </c>
      <c r="B235" s="201">
        <v>13</v>
      </c>
      <c r="C235" s="167"/>
      <c r="D235" s="167"/>
      <c r="E235" s="167"/>
      <c r="F235" s="167"/>
    </row>
    <row r="236" spans="1:6" ht="22.5" customHeight="1" x14ac:dyDescent="0.2">
      <c r="A236" s="167"/>
      <c r="B236" s="161"/>
      <c r="C236" s="167"/>
      <c r="D236" s="167"/>
      <c r="E236" s="167"/>
      <c r="F236" s="167"/>
    </row>
    <row r="237" spans="1:6" ht="18.75" customHeight="1" x14ac:dyDescent="0.2">
      <c r="A237" s="313" t="s">
        <v>28</v>
      </c>
      <c r="B237" s="321" t="s">
        <v>29</v>
      </c>
      <c r="C237" s="313" t="s">
        <v>56</v>
      </c>
      <c r="D237" s="313" t="s">
        <v>31</v>
      </c>
      <c r="E237" s="313" t="s">
        <v>32</v>
      </c>
      <c r="F237" s="314" t="s">
        <v>33</v>
      </c>
    </row>
    <row r="238" spans="1:6" ht="28.5" customHeight="1" x14ac:dyDescent="0.2">
      <c r="A238" s="313"/>
      <c r="B238" s="322"/>
      <c r="C238" s="313"/>
      <c r="D238" s="313"/>
      <c r="E238" s="313"/>
      <c r="F238" s="315"/>
    </row>
    <row r="239" spans="1:6" ht="34.5" customHeight="1" x14ac:dyDescent="0.2">
      <c r="A239" s="337" t="s">
        <v>34</v>
      </c>
      <c r="B239" s="195" t="s">
        <v>57</v>
      </c>
      <c r="C239" s="317" t="s">
        <v>84</v>
      </c>
      <c r="D239" s="203" t="s">
        <v>85</v>
      </c>
      <c r="E239" s="203">
        <v>10</v>
      </c>
      <c r="F239" s="214">
        <v>40.300000000000004</v>
      </c>
    </row>
    <row r="240" spans="1:6" ht="30.75" customHeight="1" x14ac:dyDescent="0.2">
      <c r="A240" s="338"/>
      <c r="B240" s="319" t="s">
        <v>37</v>
      </c>
      <c r="C240" s="318"/>
      <c r="D240" s="203" t="s">
        <v>38</v>
      </c>
      <c r="E240" s="203">
        <v>13</v>
      </c>
      <c r="F240" s="214">
        <v>493.61</v>
      </c>
    </row>
    <row r="241" spans="1:6" ht="28.5" customHeight="1" x14ac:dyDescent="0.2">
      <c r="A241" s="338"/>
      <c r="B241" s="315"/>
      <c r="C241" s="340"/>
      <c r="D241" s="203" t="s">
        <v>39</v>
      </c>
      <c r="E241" s="203">
        <v>2</v>
      </c>
      <c r="F241" s="214">
        <v>176.46</v>
      </c>
    </row>
    <row r="242" spans="1:6" ht="31.5" customHeight="1" x14ac:dyDescent="0.2">
      <c r="A242" s="326" t="s">
        <v>277</v>
      </c>
      <c r="B242" s="314" t="s">
        <v>60</v>
      </c>
      <c r="C242" s="331" t="s">
        <v>337</v>
      </c>
      <c r="D242" s="203" t="s">
        <v>70</v>
      </c>
      <c r="E242" s="203">
        <v>55</v>
      </c>
      <c r="F242" s="214">
        <v>593.44999999999993</v>
      </c>
    </row>
    <row r="243" spans="1:6" ht="24.95" customHeight="1" x14ac:dyDescent="0.2">
      <c r="A243" s="327"/>
      <c r="B243" s="315"/>
      <c r="C243" s="344"/>
      <c r="D243" s="203" t="s">
        <v>43</v>
      </c>
      <c r="E243" s="203">
        <v>0.1</v>
      </c>
      <c r="F243" s="214">
        <v>0.19</v>
      </c>
    </row>
    <row r="244" spans="1:6" ht="24.95" customHeight="1" x14ac:dyDescent="0.2">
      <c r="A244" s="328"/>
      <c r="B244" s="199" t="s">
        <v>45</v>
      </c>
      <c r="C244" s="332"/>
      <c r="D244" s="206" t="s">
        <v>108</v>
      </c>
      <c r="E244" s="203">
        <v>20</v>
      </c>
      <c r="F244" s="214">
        <v>98.6</v>
      </c>
    </row>
    <row r="245" spans="1:6" ht="30.75" customHeight="1" x14ac:dyDescent="0.2">
      <c r="A245" s="314" t="s">
        <v>40</v>
      </c>
      <c r="B245" s="314" t="s">
        <v>41</v>
      </c>
      <c r="C245" s="341" t="s">
        <v>66</v>
      </c>
      <c r="D245" s="203" t="s">
        <v>96</v>
      </c>
      <c r="E245" s="203">
        <v>50</v>
      </c>
      <c r="F245" s="214">
        <v>356.5</v>
      </c>
    </row>
    <row r="246" spans="1:6" ht="24.95" customHeight="1" x14ac:dyDescent="0.2">
      <c r="A246" s="319"/>
      <c r="B246" s="319"/>
      <c r="C246" s="342"/>
      <c r="D246" s="203" t="s">
        <v>43</v>
      </c>
      <c r="E246" s="203">
        <v>0.1</v>
      </c>
      <c r="F246" s="214">
        <v>0.19</v>
      </c>
    </row>
    <row r="247" spans="1:6" ht="32.25" customHeight="1" x14ac:dyDescent="0.2">
      <c r="A247" s="202" t="s">
        <v>46</v>
      </c>
      <c r="B247" s="202" t="s">
        <v>47</v>
      </c>
      <c r="C247" s="203" t="s">
        <v>67</v>
      </c>
      <c r="D247" s="203" t="s">
        <v>68</v>
      </c>
      <c r="E247" s="203">
        <v>5</v>
      </c>
      <c r="F247" s="214">
        <v>25.75</v>
      </c>
    </row>
    <row r="248" spans="1:6" ht="29.25" customHeight="1" x14ac:dyDescent="0.2">
      <c r="A248" s="202" t="s">
        <v>49</v>
      </c>
      <c r="B248" s="202" t="s">
        <v>50</v>
      </c>
      <c r="C248" s="203" t="s">
        <v>51</v>
      </c>
      <c r="D248" s="203" t="s">
        <v>52</v>
      </c>
      <c r="E248" s="203">
        <v>3</v>
      </c>
      <c r="F248" s="214">
        <v>37.74</v>
      </c>
    </row>
    <row r="249" spans="1:6" ht="24.95" customHeight="1" x14ac:dyDescent="0.2">
      <c r="A249" s="199" t="s">
        <v>53</v>
      </c>
      <c r="B249" s="316" t="s">
        <v>54</v>
      </c>
      <c r="C249" s="320"/>
      <c r="D249" s="203" t="s">
        <v>53</v>
      </c>
      <c r="E249" s="203">
        <v>150</v>
      </c>
      <c r="F249" s="214">
        <v>100.5</v>
      </c>
    </row>
    <row r="250" spans="1:6" ht="19.5" customHeight="1" x14ac:dyDescent="0.2">
      <c r="A250" s="334" t="s">
        <v>331</v>
      </c>
      <c r="B250" s="335"/>
      <c r="C250" s="335"/>
      <c r="D250" s="335"/>
      <c r="E250" s="336"/>
      <c r="F250" s="213">
        <v>1923.29</v>
      </c>
    </row>
    <row r="251" spans="1:6" s="2" customFormat="1" ht="19.5" customHeight="1" x14ac:dyDescent="0.25">
      <c r="A251" s="160"/>
      <c r="B251" s="162"/>
      <c r="C251" s="162"/>
      <c r="D251" s="162"/>
      <c r="E251" s="162"/>
      <c r="F251" s="162"/>
    </row>
    <row r="252" spans="1:6" ht="23.25" customHeight="1" x14ac:dyDescent="0.2">
      <c r="A252" s="166" t="s">
        <v>27</v>
      </c>
      <c r="B252" s="201">
        <v>14</v>
      </c>
      <c r="C252" s="167"/>
      <c r="D252" s="167"/>
      <c r="E252" s="167"/>
      <c r="F252" s="167"/>
    </row>
    <row r="253" spans="1:6" ht="23.25" customHeight="1" x14ac:dyDescent="0.2">
      <c r="A253" s="167"/>
      <c r="B253" s="161"/>
      <c r="C253" s="167"/>
      <c r="D253" s="167"/>
      <c r="E253" s="167"/>
      <c r="F253" s="167"/>
    </row>
    <row r="254" spans="1:6" ht="12.75" customHeight="1" x14ac:dyDescent="0.2">
      <c r="A254" s="313" t="s">
        <v>28</v>
      </c>
      <c r="B254" s="321" t="s">
        <v>29</v>
      </c>
      <c r="C254" s="313" t="s">
        <v>56</v>
      </c>
      <c r="D254" s="313" t="s">
        <v>31</v>
      </c>
      <c r="E254" s="313" t="s">
        <v>32</v>
      </c>
      <c r="F254" s="314" t="s">
        <v>33</v>
      </c>
    </row>
    <row r="255" spans="1:6" ht="36" customHeight="1" x14ac:dyDescent="0.2">
      <c r="A255" s="313"/>
      <c r="B255" s="322"/>
      <c r="C255" s="313"/>
      <c r="D255" s="313"/>
      <c r="E255" s="313"/>
      <c r="F255" s="315"/>
    </row>
    <row r="256" spans="1:6" ht="30.75" customHeight="1" x14ac:dyDescent="0.2">
      <c r="A256" s="337" t="s">
        <v>34</v>
      </c>
      <c r="B256" s="195" t="s">
        <v>57</v>
      </c>
      <c r="C256" s="317" t="s">
        <v>76</v>
      </c>
      <c r="D256" s="203" t="s">
        <v>245</v>
      </c>
      <c r="E256" s="203">
        <v>10</v>
      </c>
      <c r="F256" s="214">
        <v>167.7</v>
      </c>
    </row>
    <row r="257" spans="1:6" ht="64.5" customHeight="1" x14ac:dyDescent="0.2">
      <c r="A257" s="338"/>
      <c r="B257" s="200" t="s">
        <v>37</v>
      </c>
      <c r="C257" s="318"/>
      <c r="D257" s="203" t="s">
        <v>38</v>
      </c>
      <c r="E257" s="203">
        <v>13</v>
      </c>
      <c r="F257" s="214">
        <v>493.61</v>
      </c>
    </row>
    <row r="258" spans="1:6" ht="33.75" customHeight="1" x14ac:dyDescent="0.2">
      <c r="A258" s="195" t="s">
        <v>40</v>
      </c>
      <c r="B258" s="195" t="s">
        <v>41</v>
      </c>
      <c r="C258" s="251" t="s">
        <v>392</v>
      </c>
      <c r="D258" s="206" t="s">
        <v>454</v>
      </c>
      <c r="E258" s="206">
        <v>40</v>
      </c>
      <c r="F258" s="272">
        <v>696.80000000000007</v>
      </c>
    </row>
    <row r="259" spans="1:6" ht="32.25" customHeight="1" x14ac:dyDescent="0.25">
      <c r="A259" s="195" t="s">
        <v>44</v>
      </c>
      <c r="B259" s="202" t="s">
        <v>45</v>
      </c>
      <c r="C259" s="203" t="s">
        <v>16</v>
      </c>
      <c r="D259" s="168" t="s">
        <v>88</v>
      </c>
      <c r="E259" s="203">
        <v>115</v>
      </c>
      <c r="F259" s="214">
        <v>481.85</v>
      </c>
    </row>
    <row r="260" spans="1:6" ht="31.5" customHeight="1" x14ac:dyDescent="0.2">
      <c r="A260" s="202" t="s">
        <v>46</v>
      </c>
      <c r="B260" s="202" t="s">
        <v>47</v>
      </c>
      <c r="C260" s="203" t="s">
        <v>278</v>
      </c>
      <c r="D260" s="203" t="s">
        <v>68</v>
      </c>
      <c r="E260" s="203">
        <v>5</v>
      </c>
      <c r="F260" s="214">
        <v>25.75</v>
      </c>
    </row>
    <row r="261" spans="1:6" ht="24.95" customHeight="1" x14ac:dyDescent="0.2">
      <c r="A261" s="199" t="s">
        <v>53</v>
      </c>
      <c r="B261" s="316" t="s">
        <v>54</v>
      </c>
      <c r="C261" s="320"/>
      <c r="D261" s="203" t="s">
        <v>53</v>
      </c>
      <c r="E261" s="203">
        <v>150</v>
      </c>
      <c r="F261" s="214">
        <v>100.5</v>
      </c>
    </row>
    <row r="262" spans="1:6" ht="20.100000000000001" customHeight="1" x14ac:dyDescent="0.2">
      <c r="A262" s="334" t="s">
        <v>331</v>
      </c>
      <c r="B262" s="335"/>
      <c r="C262" s="335"/>
      <c r="D262" s="335"/>
      <c r="E262" s="336"/>
      <c r="F262" s="213">
        <v>1966.21</v>
      </c>
    </row>
    <row r="263" spans="1:6" s="2" customFormat="1" ht="19.5" customHeight="1" x14ac:dyDescent="0.25">
      <c r="A263" s="160"/>
      <c r="B263" s="162"/>
      <c r="C263" s="162"/>
      <c r="D263" s="162"/>
      <c r="E263" s="162"/>
      <c r="F263" s="162"/>
    </row>
    <row r="264" spans="1:6" ht="21" customHeight="1" x14ac:dyDescent="0.2">
      <c r="A264" s="166" t="s">
        <v>27</v>
      </c>
      <c r="B264" s="201">
        <v>15</v>
      </c>
      <c r="C264" s="167"/>
      <c r="D264" s="167"/>
      <c r="E264" s="167"/>
      <c r="F264" s="167"/>
    </row>
    <row r="265" spans="1:6" ht="21" customHeight="1" x14ac:dyDescent="0.2">
      <c r="A265" s="167"/>
      <c r="B265" s="161"/>
      <c r="C265" s="167"/>
      <c r="D265" s="167"/>
      <c r="E265" s="167"/>
      <c r="F265" s="167"/>
    </row>
    <row r="266" spans="1:6" ht="12.75" customHeight="1" x14ac:dyDescent="0.2">
      <c r="A266" s="313" t="s">
        <v>28</v>
      </c>
      <c r="B266" s="321" t="s">
        <v>29</v>
      </c>
      <c r="C266" s="313" t="s">
        <v>56</v>
      </c>
      <c r="D266" s="313" t="s">
        <v>31</v>
      </c>
      <c r="E266" s="313" t="s">
        <v>32</v>
      </c>
      <c r="F266" s="314" t="s">
        <v>33</v>
      </c>
    </row>
    <row r="267" spans="1:6" ht="36.75" customHeight="1" x14ac:dyDescent="0.2">
      <c r="A267" s="313"/>
      <c r="B267" s="322"/>
      <c r="C267" s="313"/>
      <c r="D267" s="313"/>
      <c r="E267" s="313"/>
      <c r="F267" s="315"/>
    </row>
    <row r="268" spans="1:6" ht="30" customHeight="1" x14ac:dyDescent="0.2">
      <c r="A268" s="337" t="s">
        <v>34</v>
      </c>
      <c r="B268" s="195" t="s">
        <v>57</v>
      </c>
      <c r="C268" s="317" t="s">
        <v>329</v>
      </c>
      <c r="D268" s="203" t="s">
        <v>58</v>
      </c>
      <c r="E268" s="203">
        <v>10</v>
      </c>
      <c r="F268" s="215">
        <v>86</v>
      </c>
    </row>
    <row r="269" spans="1:6" ht="35.25" customHeight="1" x14ac:dyDescent="0.2">
      <c r="A269" s="338"/>
      <c r="B269" s="319" t="s">
        <v>37</v>
      </c>
      <c r="C269" s="318"/>
      <c r="D269" s="203" t="s">
        <v>38</v>
      </c>
      <c r="E269" s="203">
        <v>13</v>
      </c>
      <c r="F269" s="215">
        <v>493.61</v>
      </c>
    </row>
    <row r="270" spans="1:6" ht="24.95" customHeight="1" x14ac:dyDescent="0.2">
      <c r="A270" s="338"/>
      <c r="B270" s="315"/>
      <c r="C270" s="318"/>
      <c r="D270" s="203" t="s">
        <v>39</v>
      </c>
      <c r="E270" s="203">
        <v>2</v>
      </c>
      <c r="F270" s="215">
        <v>176.46</v>
      </c>
    </row>
    <row r="271" spans="1:6" ht="30.75" customHeight="1" x14ac:dyDescent="0.2">
      <c r="A271" s="314" t="s">
        <v>59</v>
      </c>
      <c r="B271" s="314" t="s">
        <v>60</v>
      </c>
      <c r="C271" s="329" t="s">
        <v>455</v>
      </c>
      <c r="D271" s="203" t="s">
        <v>61</v>
      </c>
      <c r="E271" s="203">
        <v>59.2</v>
      </c>
      <c r="F271" s="215">
        <v>1073.296</v>
      </c>
    </row>
    <row r="272" spans="1:6" ht="30.75" customHeight="1" x14ac:dyDescent="0.2">
      <c r="A272" s="319"/>
      <c r="B272" s="319"/>
      <c r="C272" s="330"/>
      <c r="D272" s="203" t="s">
        <v>62</v>
      </c>
      <c r="E272" s="203">
        <v>10</v>
      </c>
      <c r="F272" s="215">
        <v>50.300000000000004</v>
      </c>
    </row>
    <row r="273" spans="1:6" ht="29.25" customHeight="1" x14ac:dyDescent="0.2">
      <c r="A273" s="319"/>
      <c r="B273" s="319"/>
      <c r="C273" s="330"/>
      <c r="D273" s="203" t="s">
        <v>63</v>
      </c>
      <c r="E273" s="203">
        <v>10</v>
      </c>
      <c r="F273" s="215">
        <v>91.6</v>
      </c>
    </row>
    <row r="274" spans="1:6" ht="30.75" customHeight="1" x14ac:dyDescent="0.2">
      <c r="A274" s="319"/>
      <c r="B274" s="319"/>
      <c r="C274" s="330"/>
      <c r="D274" s="203" t="s">
        <v>64</v>
      </c>
      <c r="E274" s="203">
        <v>10</v>
      </c>
      <c r="F274" s="215">
        <v>36.800000000000004</v>
      </c>
    </row>
    <row r="275" spans="1:6" ht="21" customHeight="1" x14ac:dyDescent="0.2">
      <c r="A275" s="319"/>
      <c r="B275" s="319"/>
      <c r="C275" s="330"/>
      <c r="D275" s="203" t="s">
        <v>11</v>
      </c>
      <c r="E275" s="203">
        <v>2</v>
      </c>
      <c r="F275" s="215">
        <v>24.2</v>
      </c>
    </row>
    <row r="276" spans="1:6" ht="24.95" customHeight="1" x14ac:dyDescent="0.2">
      <c r="A276" s="319"/>
      <c r="B276" s="319"/>
      <c r="C276" s="330"/>
      <c r="D276" s="203" t="s">
        <v>65</v>
      </c>
      <c r="E276" s="203">
        <v>1</v>
      </c>
      <c r="F276" s="215">
        <v>8.27</v>
      </c>
    </row>
    <row r="277" spans="1:6" ht="24.95" customHeight="1" x14ac:dyDescent="0.2">
      <c r="A277" s="315"/>
      <c r="B277" s="315"/>
      <c r="C277" s="333"/>
      <c r="D277" s="203" t="s">
        <v>43</v>
      </c>
      <c r="E277" s="203">
        <v>0.1</v>
      </c>
      <c r="F277" s="215">
        <v>0.19</v>
      </c>
    </row>
    <row r="278" spans="1:6" ht="34.5" customHeight="1" x14ac:dyDescent="0.2">
      <c r="A278" s="314" t="s">
        <v>40</v>
      </c>
      <c r="B278" s="314" t="s">
        <v>41</v>
      </c>
      <c r="C278" s="341" t="s">
        <v>338</v>
      </c>
      <c r="D278" s="206" t="s">
        <v>93</v>
      </c>
      <c r="E278" s="203">
        <v>20</v>
      </c>
      <c r="F278" s="215">
        <v>149.4</v>
      </c>
    </row>
    <row r="279" spans="1:6" ht="24.95" customHeight="1" x14ac:dyDescent="0.2">
      <c r="A279" s="319"/>
      <c r="B279" s="319"/>
      <c r="C279" s="342"/>
      <c r="D279" s="206" t="s">
        <v>79</v>
      </c>
      <c r="E279" s="203">
        <v>10</v>
      </c>
      <c r="F279" s="215">
        <v>50.9</v>
      </c>
    </row>
    <row r="280" spans="1:6" ht="24.95" customHeight="1" x14ac:dyDescent="0.2">
      <c r="A280" s="319"/>
      <c r="B280" s="319"/>
      <c r="C280" s="342"/>
      <c r="D280" s="206" t="s">
        <v>11</v>
      </c>
      <c r="E280" s="203">
        <v>2</v>
      </c>
      <c r="F280" s="215">
        <v>24.2</v>
      </c>
    </row>
    <row r="281" spans="1:6" ht="29.25" customHeight="1" x14ac:dyDescent="0.2">
      <c r="A281" s="319"/>
      <c r="B281" s="319"/>
      <c r="C281" s="342"/>
      <c r="D281" s="206" t="s">
        <v>62</v>
      </c>
      <c r="E281" s="203">
        <v>10</v>
      </c>
      <c r="F281" s="215">
        <v>50.300000000000004</v>
      </c>
    </row>
    <row r="282" spans="1:6" ht="24.95" customHeight="1" x14ac:dyDescent="0.2">
      <c r="A282" s="315"/>
      <c r="B282" s="315"/>
      <c r="C282" s="343"/>
      <c r="D282" s="206" t="s">
        <v>43</v>
      </c>
      <c r="E282" s="203">
        <v>0.1</v>
      </c>
      <c r="F282" s="215">
        <v>0.19</v>
      </c>
    </row>
    <row r="283" spans="1:6" ht="28.5" customHeight="1" x14ac:dyDescent="0.2">
      <c r="A283" s="202" t="s">
        <v>46</v>
      </c>
      <c r="B283" s="202" t="s">
        <v>47</v>
      </c>
      <c r="C283" s="203" t="s">
        <v>67</v>
      </c>
      <c r="D283" s="203" t="s">
        <v>68</v>
      </c>
      <c r="E283" s="203">
        <v>5</v>
      </c>
      <c r="F283" s="215">
        <v>25.75</v>
      </c>
    </row>
    <row r="284" spans="1:6" ht="30" customHeight="1" x14ac:dyDescent="0.2">
      <c r="A284" s="202" t="s">
        <v>49</v>
      </c>
      <c r="B284" s="202" t="s">
        <v>50</v>
      </c>
      <c r="C284" s="203" t="s">
        <v>51</v>
      </c>
      <c r="D284" s="203" t="s">
        <v>52</v>
      </c>
      <c r="E284" s="203">
        <v>4</v>
      </c>
      <c r="F284" s="215">
        <v>50.32</v>
      </c>
    </row>
    <row r="285" spans="1:6" ht="24.95" customHeight="1" x14ac:dyDescent="0.2">
      <c r="A285" s="199" t="s">
        <v>53</v>
      </c>
      <c r="B285" s="316" t="s">
        <v>54</v>
      </c>
      <c r="C285" s="320"/>
      <c r="D285" s="203" t="s">
        <v>53</v>
      </c>
      <c r="E285" s="203">
        <v>150</v>
      </c>
      <c r="F285" s="215">
        <v>100.5</v>
      </c>
    </row>
    <row r="286" spans="1:6" ht="20.100000000000001" customHeight="1" x14ac:dyDescent="0.2">
      <c r="A286" s="334" t="s">
        <v>331</v>
      </c>
      <c r="B286" s="335"/>
      <c r="C286" s="335"/>
      <c r="D286" s="335"/>
      <c r="E286" s="336"/>
      <c r="F286" s="213">
        <v>2492.29</v>
      </c>
    </row>
    <row r="287" spans="1:6" s="2" customFormat="1" ht="19.5" customHeight="1" x14ac:dyDescent="0.25">
      <c r="A287" s="160"/>
      <c r="B287" s="162"/>
      <c r="C287" s="162"/>
      <c r="D287" s="162"/>
      <c r="E287" s="162"/>
      <c r="F287" s="162"/>
    </row>
    <row r="288" spans="1:6" ht="18" customHeight="1" x14ac:dyDescent="0.2">
      <c r="A288" s="166" t="s">
        <v>27</v>
      </c>
      <c r="B288" s="201">
        <v>16</v>
      </c>
      <c r="C288" s="167"/>
      <c r="D288" s="167"/>
      <c r="E288" s="167"/>
      <c r="F288" s="167"/>
    </row>
    <row r="289" spans="1:6" ht="18" customHeight="1" x14ac:dyDescent="0.2">
      <c r="A289" s="167"/>
      <c r="B289" s="161"/>
      <c r="C289" s="167"/>
      <c r="D289" s="167"/>
      <c r="E289" s="167"/>
      <c r="F289" s="167"/>
    </row>
    <row r="290" spans="1:6" ht="12.75" customHeight="1" x14ac:dyDescent="0.2">
      <c r="A290" s="313" t="s">
        <v>28</v>
      </c>
      <c r="B290" s="321" t="s">
        <v>29</v>
      </c>
      <c r="C290" s="313" t="s">
        <v>56</v>
      </c>
      <c r="D290" s="313" t="s">
        <v>31</v>
      </c>
      <c r="E290" s="313" t="s">
        <v>32</v>
      </c>
      <c r="F290" s="314" t="s">
        <v>33</v>
      </c>
    </row>
    <row r="291" spans="1:6" ht="33" customHeight="1" x14ac:dyDescent="0.2">
      <c r="A291" s="313"/>
      <c r="B291" s="322"/>
      <c r="C291" s="313"/>
      <c r="D291" s="313"/>
      <c r="E291" s="313"/>
      <c r="F291" s="315"/>
    </row>
    <row r="292" spans="1:6" ht="32.25" customHeight="1" x14ac:dyDescent="0.2">
      <c r="A292" s="337" t="s">
        <v>34</v>
      </c>
      <c r="B292" s="195" t="s">
        <v>57</v>
      </c>
      <c r="C292" s="317" t="s">
        <v>86</v>
      </c>
      <c r="D292" s="203" t="s">
        <v>36</v>
      </c>
      <c r="E292" s="203">
        <v>10</v>
      </c>
      <c r="F292" s="214">
        <v>45.599999999999994</v>
      </c>
    </row>
    <row r="293" spans="1:6" ht="38.25" customHeight="1" x14ac:dyDescent="0.2">
      <c r="A293" s="338"/>
      <c r="B293" s="319" t="s">
        <v>37</v>
      </c>
      <c r="C293" s="318"/>
      <c r="D293" s="203" t="s">
        <v>38</v>
      </c>
      <c r="E293" s="203">
        <v>13</v>
      </c>
      <c r="F293" s="214">
        <v>493.61</v>
      </c>
    </row>
    <row r="294" spans="1:6" ht="24.75" customHeight="1" x14ac:dyDescent="0.2">
      <c r="A294" s="339"/>
      <c r="B294" s="315"/>
      <c r="C294" s="318"/>
      <c r="D294" s="203" t="s">
        <v>39</v>
      </c>
      <c r="E294" s="203">
        <v>2</v>
      </c>
      <c r="F294" s="214">
        <v>176.46</v>
      </c>
    </row>
    <row r="295" spans="1:6" ht="19.5" customHeight="1" x14ac:dyDescent="0.2">
      <c r="A295" s="326" t="s">
        <v>59</v>
      </c>
      <c r="B295" s="319" t="s">
        <v>60</v>
      </c>
      <c r="C295" s="329" t="s">
        <v>456</v>
      </c>
      <c r="D295" s="203" t="s">
        <v>78</v>
      </c>
      <c r="E295" s="203">
        <v>64.8</v>
      </c>
      <c r="F295" s="214">
        <v>1624.5360000000001</v>
      </c>
    </row>
    <row r="296" spans="1:6" ht="31.5" x14ac:dyDescent="0.2">
      <c r="A296" s="327"/>
      <c r="B296" s="319"/>
      <c r="C296" s="330"/>
      <c r="D296" s="203" t="s">
        <v>62</v>
      </c>
      <c r="E296" s="203">
        <v>10</v>
      </c>
      <c r="F296" s="214">
        <v>50.300000000000004</v>
      </c>
    </row>
    <row r="297" spans="1:6" ht="36" customHeight="1" x14ac:dyDescent="0.2">
      <c r="A297" s="327"/>
      <c r="B297" s="319"/>
      <c r="C297" s="330"/>
      <c r="D297" s="203" t="s">
        <v>64</v>
      </c>
      <c r="E297" s="203">
        <v>10</v>
      </c>
      <c r="F297" s="214">
        <v>36.800000000000004</v>
      </c>
    </row>
    <row r="298" spans="1:6" s="159" customFormat="1" ht="19.5" customHeight="1" x14ac:dyDescent="0.2">
      <c r="A298" s="327"/>
      <c r="B298" s="319"/>
      <c r="C298" s="330"/>
      <c r="D298" s="170" t="s">
        <v>11</v>
      </c>
      <c r="E298" s="203">
        <v>2</v>
      </c>
      <c r="F298" s="214">
        <v>24.2</v>
      </c>
    </row>
    <row r="299" spans="1:6" s="159" customFormat="1" ht="31.5" x14ac:dyDescent="0.2">
      <c r="A299" s="327"/>
      <c r="B299" s="319"/>
      <c r="C299" s="330"/>
      <c r="D299" s="203" t="s">
        <v>63</v>
      </c>
      <c r="E299" s="203">
        <v>10</v>
      </c>
      <c r="F299" s="214">
        <v>91.6</v>
      </c>
    </row>
    <row r="300" spans="1:6" s="159" customFormat="1" ht="18" customHeight="1" x14ac:dyDescent="0.2">
      <c r="A300" s="327"/>
      <c r="B300" s="319"/>
      <c r="C300" s="330"/>
      <c r="D300" s="170" t="s">
        <v>79</v>
      </c>
      <c r="E300" s="203">
        <v>10</v>
      </c>
      <c r="F300" s="214">
        <v>50.9</v>
      </c>
    </row>
    <row r="301" spans="1:6" s="159" customFormat="1" ht="19.5" customHeight="1" x14ac:dyDescent="0.2">
      <c r="A301" s="327"/>
      <c r="B301" s="319"/>
      <c r="C301" s="330"/>
      <c r="D301" s="170" t="s">
        <v>65</v>
      </c>
      <c r="E301" s="203">
        <v>1</v>
      </c>
      <c r="F301" s="214">
        <v>8.27</v>
      </c>
    </row>
    <row r="302" spans="1:6" ht="20.25" customHeight="1" x14ac:dyDescent="0.2">
      <c r="A302" s="328"/>
      <c r="B302" s="315"/>
      <c r="C302" s="333"/>
      <c r="D302" s="203" t="s">
        <v>43</v>
      </c>
      <c r="E302" s="203">
        <v>0.1</v>
      </c>
      <c r="F302" s="214">
        <v>0.19</v>
      </c>
    </row>
    <row r="303" spans="1:6" ht="31.5" x14ac:dyDescent="0.2">
      <c r="A303" s="326" t="s">
        <v>40</v>
      </c>
      <c r="B303" s="314" t="s">
        <v>41</v>
      </c>
      <c r="C303" s="314" t="s">
        <v>80</v>
      </c>
      <c r="D303" s="203" t="s">
        <v>81</v>
      </c>
      <c r="E303" s="203">
        <v>50</v>
      </c>
      <c r="F303" s="214">
        <v>278.5</v>
      </c>
    </row>
    <row r="304" spans="1:6" ht="15.75" x14ac:dyDescent="0.2">
      <c r="A304" s="328"/>
      <c r="B304" s="315"/>
      <c r="C304" s="315"/>
      <c r="D304" s="203" t="s">
        <v>43</v>
      </c>
      <c r="E304" s="203">
        <v>0.1</v>
      </c>
      <c r="F304" s="214">
        <v>0.19</v>
      </c>
    </row>
    <row r="305" spans="1:6" ht="31.5" x14ac:dyDescent="0.2">
      <c r="A305" s="202" t="s">
        <v>46</v>
      </c>
      <c r="B305" s="202" t="s">
        <v>47</v>
      </c>
      <c r="C305" s="203" t="s">
        <v>48</v>
      </c>
      <c r="D305" s="203" t="s">
        <v>13</v>
      </c>
      <c r="E305" s="203">
        <v>7</v>
      </c>
      <c r="F305" s="214">
        <v>41.09</v>
      </c>
    </row>
    <row r="306" spans="1:6" ht="31.5" x14ac:dyDescent="0.2">
      <c r="A306" s="202" t="s">
        <v>49</v>
      </c>
      <c r="B306" s="202" t="s">
        <v>50</v>
      </c>
      <c r="C306" s="203" t="s">
        <v>51</v>
      </c>
      <c r="D306" s="203" t="s">
        <v>52</v>
      </c>
      <c r="E306" s="203">
        <v>3</v>
      </c>
      <c r="F306" s="214">
        <v>37.74</v>
      </c>
    </row>
    <row r="307" spans="1:6" ht="21" customHeight="1" x14ac:dyDescent="0.2">
      <c r="A307" s="199" t="s">
        <v>53</v>
      </c>
      <c r="B307" s="316" t="s">
        <v>54</v>
      </c>
      <c r="C307" s="320"/>
      <c r="D307" s="203" t="s">
        <v>53</v>
      </c>
      <c r="E307" s="203">
        <v>150</v>
      </c>
      <c r="F307" s="214">
        <v>100.5</v>
      </c>
    </row>
    <row r="308" spans="1:6" ht="21" customHeight="1" x14ac:dyDescent="0.2">
      <c r="A308" s="334" t="s">
        <v>331</v>
      </c>
      <c r="B308" s="335"/>
      <c r="C308" s="335"/>
      <c r="D308" s="335"/>
      <c r="E308" s="336"/>
      <c r="F308" s="213">
        <v>3060.49</v>
      </c>
    </row>
    <row r="309" spans="1:6" s="2" customFormat="1" ht="19.5" customHeight="1" x14ac:dyDescent="0.25">
      <c r="A309" s="160"/>
      <c r="B309" s="162"/>
      <c r="C309" s="162"/>
      <c r="D309" s="162"/>
      <c r="E309" s="162"/>
      <c r="F309" s="162"/>
    </row>
    <row r="310" spans="1:6" ht="19.5" customHeight="1" x14ac:dyDescent="0.2">
      <c r="A310" s="166" t="s">
        <v>27</v>
      </c>
      <c r="B310" s="201">
        <v>17</v>
      </c>
      <c r="C310" s="167"/>
      <c r="D310" s="167"/>
      <c r="E310" s="167"/>
      <c r="F310" s="167"/>
    </row>
    <row r="311" spans="1:6" ht="19.5" customHeight="1" x14ac:dyDescent="0.2">
      <c r="A311" s="167"/>
      <c r="B311" s="161"/>
      <c r="C311" s="167"/>
      <c r="D311" s="167"/>
      <c r="E311" s="167"/>
      <c r="F311" s="167"/>
    </row>
    <row r="312" spans="1:6" ht="18" customHeight="1" x14ac:dyDescent="0.2">
      <c r="A312" s="313" t="s">
        <v>28</v>
      </c>
      <c r="B312" s="321" t="s">
        <v>29</v>
      </c>
      <c r="C312" s="313" t="s">
        <v>56</v>
      </c>
      <c r="D312" s="313" t="s">
        <v>31</v>
      </c>
      <c r="E312" s="313" t="s">
        <v>32</v>
      </c>
      <c r="F312" s="314" t="s">
        <v>33</v>
      </c>
    </row>
    <row r="313" spans="1:6" ht="28.5" customHeight="1" x14ac:dyDescent="0.2">
      <c r="A313" s="313"/>
      <c r="B313" s="322"/>
      <c r="C313" s="313"/>
      <c r="D313" s="313"/>
      <c r="E313" s="313"/>
      <c r="F313" s="315"/>
    </row>
    <row r="314" spans="1:6" ht="27" customHeight="1" x14ac:dyDescent="0.2">
      <c r="A314" s="337" t="s">
        <v>34</v>
      </c>
      <c r="B314" s="195" t="s">
        <v>57</v>
      </c>
      <c r="C314" s="317" t="s">
        <v>76</v>
      </c>
      <c r="D314" s="203" t="s">
        <v>245</v>
      </c>
      <c r="E314" s="203">
        <v>10</v>
      </c>
      <c r="F314" s="214">
        <v>167.7</v>
      </c>
    </row>
    <row r="315" spans="1:6" ht="60.75" customHeight="1" x14ac:dyDescent="0.2">
      <c r="A315" s="339"/>
      <c r="B315" s="200" t="s">
        <v>37</v>
      </c>
      <c r="C315" s="340"/>
      <c r="D315" s="203" t="s">
        <v>38</v>
      </c>
      <c r="E315" s="203">
        <v>13</v>
      </c>
      <c r="F315" s="214">
        <v>493.61</v>
      </c>
    </row>
    <row r="316" spans="1:6" ht="28.5" customHeight="1" x14ac:dyDescent="0.2">
      <c r="A316" s="326" t="s">
        <v>277</v>
      </c>
      <c r="B316" s="314" t="s">
        <v>60</v>
      </c>
      <c r="C316" s="330" t="s">
        <v>457</v>
      </c>
      <c r="D316" s="203" t="s">
        <v>70</v>
      </c>
      <c r="E316" s="203">
        <v>55</v>
      </c>
      <c r="F316" s="214">
        <v>593.44999999999993</v>
      </c>
    </row>
    <row r="317" spans="1:6" ht="28.5" customHeight="1" x14ac:dyDescent="0.2">
      <c r="A317" s="327"/>
      <c r="B317" s="319"/>
      <c r="C317" s="330"/>
      <c r="D317" s="203" t="s">
        <v>62</v>
      </c>
      <c r="E317" s="203">
        <v>10</v>
      </c>
      <c r="F317" s="214">
        <v>50.300000000000004</v>
      </c>
    </row>
    <row r="318" spans="1:6" ht="28.5" customHeight="1" x14ac:dyDescent="0.2">
      <c r="A318" s="327"/>
      <c r="B318" s="319"/>
      <c r="C318" s="330"/>
      <c r="D318" s="203" t="s">
        <v>79</v>
      </c>
      <c r="E318" s="203">
        <v>10</v>
      </c>
      <c r="F318" s="214">
        <v>50.9</v>
      </c>
    </row>
    <row r="319" spans="1:6" ht="24.95" customHeight="1" x14ac:dyDescent="0.2">
      <c r="A319" s="328"/>
      <c r="B319" s="315"/>
      <c r="C319" s="333"/>
      <c r="D319" s="203" t="s">
        <v>43</v>
      </c>
      <c r="E319" s="203">
        <v>0.1</v>
      </c>
      <c r="F319" s="214">
        <v>0.19</v>
      </c>
    </row>
    <row r="320" spans="1:6" ht="32.25" customHeight="1" x14ac:dyDescent="0.2">
      <c r="A320" s="326" t="s">
        <v>40</v>
      </c>
      <c r="B320" s="314" t="s">
        <v>41</v>
      </c>
      <c r="C320" s="329" t="s">
        <v>339</v>
      </c>
      <c r="D320" s="206" t="s">
        <v>96</v>
      </c>
      <c r="E320" s="203">
        <v>50</v>
      </c>
      <c r="F320" s="214">
        <v>356.5</v>
      </c>
    </row>
    <row r="321" spans="1:6" ht="30.75" customHeight="1" x14ac:dyDescent="0.2">
      <c r="A321" s="327"/>
      <c r="B321" s="319"/>
      <c r="C321" s="330"/>
      <c r="D321" s="206" t="s">
        <v>62</v>
      </c>
      <c r="E321" s="203">
        <v>10</v>
      </c>
      <c r="F321" s="214">
        <v>50.300000000000004</v>
      </c>
    </row>
    <row r="322" spans="1:6" ht="24.95" customHeight="1" x14ac:dyDescent="0.2">
      <c r="A322" s="327"/>
      <c r="B322" s="319"/>
      <c r="C322" s="330"/>
      <c r="D322" s="206" t="s">
        <v>43</v>
      </c>
      <c r="E322" s="203">
        <v>0.1</v>
      </c>
      <c r="F322" s="214">
        <v>0.19</v>
      </c>
    </row>
    <row r="323" spans="1:6" ht="24.95" customHeight="1" x14ac:dyDescent="0.2">
      <c r="A323" s="328"/>
      <c r="B323" s="315"/>
      <c r="C323" s="330"/>
      <c r="D323" s="206" t="s">
        <v>11</v>
      </c>
      <c r="E323" s="203">
        <v>2</v>
      </c>
      <c r="F323" s="214">
        <v>24.2</v>
      </c>
    </row>
    <row r="324" spans="1:6" ht="30.75" customHeight="1" x14ac:dyDescent="0.2">
      <c r="A324" s="202" t="s">
        <v>46</v>
      </c>
      <c r="B324" s="202" t="s">
        <v>47</v>
      </c>
      <c r="C324" s="203" t="s">
        <v>278</v>
      </c>
      <c r="D324" s="203" t="s">
        <v>68</v>
      </c>
      <c r="E324" s="203">
        <v>5</v>
      </c>
      <c r="F324" s="214">
        <v>25.75</v>
      </c>
    </row>
    <row r="325" spans="1:6" ht="30" customHeight="1" x14ac:dyDescent="0.2">
      <c r="A325" s="202" t="s">
        <v>49</v>
      </c>
      <c r="B325" s="202" t="s">
        <v>50</v>
      </c>
      <c r="C325" s="203" t="s">
        <v>51</v>
      </c>
      <c r="D325" s="203" t="s">
        <v>52</v>
      </c>
      <c r="E325" s="203">
        <v>4</v>
      </c>
      <c r="F325" s="214">
        <v>50.32</v>
      </c>
    </row>
    <row r="326" spans="1:6" ht="24.95" customHeight="1" x14ac:dyDescent="0.2">
      <c r="A326" s="199" t="s">
        <v>53</v>
      </c>
      <c r="B326" s="316" t="s">
        <v>54</v>
      </c>
      <c r="C326" s="320"/>
      <c r="D326" s="203" t="s">
        <v>53</v>
      </c>
      <c r="E326" s="203">
        <v>150</v>
      </c>
      <c r="F326" s="214">
        <v>100.5</v>
      </c>
    </row>
    <row r="327" spans="1:6" ht="20.100000000000001" customHeight="1" x14ac:dyDescent="0.25">
      <c r="A327" s="323" t="s">
        <v>331</v>
      </c>
      <c r="B327" s="324"/>
      <c r="C327" s="324"/>
      <c r="D327" s="324"/>
      <c r="E327" s="325"/>
      <c r="F327" s="213">
        <v>1963.91</v>
      </c>
    </row>
    <row r="328" spans="1:6" s="2" customFormat="1" ht="19.5" customHeight="1" x14ac:dyDescent="0.25">
      <c r="A328" s="160"/>
      <c r="B328" s="162"/>
      <c r="C328" s="162"/>
      <c r="D328" s="162"/>
      <c r="E328" s="162"/>
      <c r="F328" s="162"/>
    </row>
    <row r="329" spans="1:6" ht="22.5" customHeight="1" x14ac:dyDescent="0.2">
      <c r="A329" s="166" t="s">
        <v>27</v>
      </c>
      <c r="B329" s="201">
        <v>18</v>
      </c>
      <c r="C329" s="167"/>
      <c r="D329" s="167"/>
      <c r="E329" s="167"/>
      <c r="F329" s="167"/>
    </row>
    <row r="330" spans="1:6" ht="22.5" customHeight="1" x14ac:dyDescent="0.2">
      <c r="A330" s="167"/>
      <c r="B330" s="161"/>
      <c r="C330" s="167"/>
      <c r="D330" s="167"/>
      <c r="E330" s="167"/>
      <c r="F330" s="167"/>
    </row>
    <row r="331" spans="1:6" ht="12.75" customHeight="1" x14ac:dyDescent="0.2">
      <c r="A331" s="313" t="s">
        <v>28</v>
      </c>
      <c r="B331" s="321" t="s">
        <v>29</v>
      </c>
      <c r="C331" s="313" t="s">
        <v>56</v>
      </c>
      <c r="D331" s="313" t="s">
        <v>31</v>
      </c>
      <c r="E331" s="313" t="s">
        <v>32</v>
      </c>
      <c r="F331" s="314" t="s">
        <v>33</v>
      </c>
    </row>
    <row r="332" spans="1:6" ht="36.75" customHeight="1" x14ac:dyDescent="0.2">
      <c r="A332" s="313"/>
      <c r="B332" s="322"/>
      <c r="C332" s="313"/>
      <c r="D332" s="313"/>
      <c r="E332" s="313"/>
      <c r="F332" s="315"/>
    </row>
    <row r="333" spans="1:6" ht="32.25" customHeight="1" x14ac:dyDescent="0.2">
      <c r="A333" s="337" t="s">
        <v>34</v>
      </c>
      <c r="B333" s="195" t="s">
        <v>57</v>
      </c>
      <c r="C333" s="317" t="s">
        <v>296</v>
      </c>
      <c r="D333" s="203" t="s">
        <v>69</v>
      </c>
      <c r="E333" s="199">
        <v>10</v>
      </c>
      <c r="F333" s="214">
        <v>44</v>
      </c>
    </row>
    <row r="334" spans="1:6" ht="30.75" customHeight="1" x14ac:dyDescent="0.2">
      <c r="A334" s="338"/>
      <c r="B334" s="319" t="s">
        <v>37</v>
      </c>
      <c r="C334" s="318"/>
      <c r="D334" s="203" t="s">
        <v>38</v>
      </c>
      <c r="E334" s="199">
        <v>13</v>
      </c>
      <c r="F334" s="214">
        <v>493.61</v>
      </c>
    </row>
    <row r="335" spans="1:6" ht="29.25" customHeight="1" x14ac:dyDescent="0.2">
      <c r="A335" s="339"/>
      <c r="B335" s="315"/>
      <c r="C335" s="340"/>
      <c r="D335" s="203" t="s">
        <v>39</v>
      </c>
      <c r="E335" s="203">
        <v>2</v>
      </c>
      <c r="F335" s="214">
        <v>176.46</v>
      </c>
    </row>
    <row r="336" spans="1:6" ht="32.25" customHeight="1" x14ac:dyDescent="0.2">
      <c r="A336" s="314" t="s">
        <v>277</v>
      </c>
      <c r="B336" s="314" t="s">
        <v>60</v>
      </c>
      <c r="C336" s="329" t="s">
        <v>458</v>
      </c>
      <c r="D336" s="203" t="s">
        <v>74</v>
      </c>
      <c r="E336" s="203">
        <v>56</v>
      </c>
      <c r="F336" s="214">
        <v>1695.12</v>
      </c>
    </row>
    <row r="337" spans="1:6" ht="31.5" customHeight="1" x14ac:dyDescent="0.2">
      <c r="A337" s="319"/>
      <c r="B337" s="319"/>
      <c r="C337" s="330"/>
      <c r="D337" s="203" t="s">
        <v>62</v>
      </c>
      <c r="E337" s="203">
        <v>10</v>
      </c>
      <c r="F337" s="214">
        <v>50.300000000000004</v>
      </c>
    </row>
    <row r="338" spans="1:6" ht="32.25" customHeight="1" x14ac:dyDescent="0.2">
      <c r="A338" s="319"/>
      <c r="B338" s="319"/>
      <c r="C338" s="330"/>
      <c r="D338" s="203" t="s">
        <v>104</v>
      </c>
      <c r="E338" s="203">
        <v>10</v>
      </c>
      <c r="F338" s="214">
        <v>24.6</v>
      </c>
    </row>
    <row r="339" spans="1:6" ht="24.95" customHeight="1" x14ac:dyDescent="0.2">
      <c r="A339" s="319"/>
      <c r="B339" s="319"/>
      <c r="C339" s="330"/>
      <c r="D339" s="170" t="s">
        <v>11</v>
      </c>
      <c r="E339" s="203">
        <v>2</v>
      </c>
      <c r="F339" s="214">
        <v>24.2</v>
      </c>
    </row>
    <row r="340" spans="1:6" ht="29.25" customHeight="1" x14ac:dyDescent="0.2">
      <c r="A340" s="319"/>
      <c r="B340" s="319"/>
      <c r="C340" s="330"/>
      <c r="D340" s="203" t="s">
        <v>63</v>
      </c>
      <c r="E340" s="203">
        <v>10</v>
      </c>
      <c r="F340" s="214">
        <v>91.6</v>
      </c>
    </row>
    <row r="341" spans="1:6" ht="31.5" customHeight="1" x14ac:dyDescent="0.2">
      <c r="A341" s="319"/>
      <c r="B341" s="319"/>
      <c r="C341" s="330"/>
      <c r="D341" s="203" t="s">
        <v>64</v>
      </c>
      <c r="E341" s="203">
        <v>10</v>
      </c>
      <c r="F341" s="214">
        <v>36.800000000000004</v>
      </c>
    </row>
    <row r="342" spans="1:6" ht="24.95" customHeight="1" x14ac:dyDescent="0.2">
      <c r="A342" s="319"/>
      <c r="B342" s="319"/>
      <c r="C342" s="330"/>
      <c r="D342" s="170" t="s">
        <v>65</v>
      </c>
      <c r="E342" s="203">
        <v>1</v>
      </c>
      <c r="F342" s="214">
        <v>8.27</v>
      </c>
    </row>
    <row r="343" spans="1:6" ht="24.95" customHeight="1" x14ac:dyDescent="0.2">
      <c r="A343" s="315"/>
      <c r="B343" s="315"/>
      <c r="C343" s="333"/>
      <c r="D343" s="203" t="s">
        <v>43</v>
      </c>
      <c r="E343" s="203">
        <v>0.1</v>
      </c>
      <c r="F343" s="214">
        <v>0.19</v>
      </c>
    </row>
    <row r="344" spans="1:6" ht="32.25" customHeight="1" x14ac:dyDescent="0.2">
      <c r="A344" s="314" t="s">
        <v>40</v>
      </c>
      <c r="B344" s="314" t="s">
        <v>41</v>
      </c>
      <c r="C344" s="329" t="s">
        <v>459</v>
      </c>
      <c r="D344" s="203" t="s">
        <v>36</v>
      </c>
      <c r="E344" s="203">
        <v>22.95</v>
      </c>
      <c r="F344" s="214">
        <v>104.65199999999999</v>
      </c>
    </row>
    <row r="345" spans="1:6" ht="24.95" customHeight="1" x14ac:dyDescent="0.2">
      <c r="A345" s="319"/>
      <c r="B345" s="319"/>
      <c r="C345" s="330"/>
      <c r="D345" s="203" t="s">
        <v>11</v>
      </c>
      <c r="E345" s="203">
        <v>2</v>
      </c>
      <c r="F345" s="214">
        <v>24.2</v>
      </c>
    </row>
    <row r="346" spans="1:6" ht="32.25" customHeight="1" x14ac:dyDescent="0.2">
      <c r="A346" s="319"/>
      <c r="B346" s="319"/>
      <c r="C346" s="330"/>
      <c r="D346" s="203" t="s">
        <v>93</v>
      </c>
      <c r="E346" s="203">
        <v>5</v>
      </c>
      <c r="F346" s="214">
        <v>37.35</v>
      </c>
    </row>
    <row r="347" spans="1:6" ht="24.95" customHeight="1" x14ac:dyDescent="0.2">
      <c r="A347" s="319"/>
      <c r="B347" s="319"/>
      <c r="C347" s="333"/>
      <c r="D347" s="203" t="s">
        <v>43</v>
      </c>
      <c r="E347" s="203">
        <v>0.1</v>
      </c>
      <c r="F347" s="214">
        <v>0.19</v>
      </c>
    </row>
    <row r="348" spans="1:6" ht="33" customHeight="1" x14ac:dyDescent="0.2">
      <c r="A348" s="202" t="s">
        <v>46</v>
      </c>
      <c r="B348" s="202" t="s">
        <v>47</v>
      </c>
      <c r="C348" s="203" t="s">
        <v>278</v>
      </c>
      <c r="D348" s="203" t="s">
        <v>68</v>
      </c>
      <c r="E348" s="203">
        <v>5</v>
      </c>
      <c r="F348" s="214">
        <v>25.75</v>
      </c>
    </row>
    <row r="349" spans="1:6" ht="33" customHeight="1" x14ac:dyDescent="0.2">
      <c r="A349" s="202" t="s">
        <v>49</v>
      </c>
      <c r="B349" s="202" t="s">
        <v>50</v>
      </c>
      <c r="C349" s="203" t="s">
        <v>51</v>
      </c>
      <c r="D349" s="203" t="s">
        <v>52</v>
      </c>
      <c r="E349" s="203">
        <v>3</v>
      </c>
      <c r="F349" s="214">
        <v>37.74</v>
      </c>
    </row>
    <row r="350" spans="1:6" ht="24.95" customHeight="1" x14ac:dyDescent="0.2">
      <c r="A350" s="199" t="s">
        <v>53</v>
      </c>
      <c r="B350" s="316" t="s">
        <v>54</v>
      </c>
      <c r="C350" s="320"/>
      <c r="D350" s="203" t="s">
        <v>53</v>
      </c>
      <c r="E350" s="203">
        <v>150</v>
      </c>
      <c r="F350" s="214">
        <v>100.5</v>
      </c>
    </row>
    <row r="351" spans="1:6" ht="20.100000000000001" customHeight="1" x14ac:dyDescent="0.2">
      <c r="A351" s="334" t="s">
        <v>331</v>
      </c>
      <c r="B351" s="335"/>
      <c r="C351" s="335"/>
      <c r="D351" s="335"/>
      <c r="E351" s="336"/>
      <c r="F351" s="213">
        <v>2975.53</v>
      </c>
    </row>
    <row r="352" spans="1:6" s="2" customFormat="1" ht="19.5" customHeight="1" x14ac:dyDescent="0.25">
      <c r="A352" s="160"/>
      <c r="B352" s="162"/>
      <c r="C352" s="162"/>
      <c r="D352" s="162"/>
      <c r="E352" s="162"/>
      <c r="F352" s="162"/>
    </row>
    <row r="353" spans="1:6" ht="18.75" customHeight="1" x14ac:dyDescent="0.2">
      <c r="A353" s="166" t="s">
        <v>27</v>
      </c>
      <c r="B353" s="201">
        <v>19</v>
      </c>
      <c r="C353" s="167"/>
      <c r="D353" s="167"/>
      <c r="E353" s="167"/>
      <c r="F353" s="167"/>
    </row>
    <row r="354" spans="1:6" ht="18.75" customHeight="1" x14ac:dyDescent="0.2">
      <c r="A354" s="167"/>
      <c r="B354" s="161"/>
      <c r="C354" s="167"/>
      <c r="D354" s="167"/>
      <c r="E354" s="167"/>
      <c r="F354" s="167"/>
    </row>
    <row r="355" spans="1:6" ht="17.25" customHeight="1" x14ac:dyDescent="0.2">
      <c r="A355" s="313" t="s">
        <v>28</v>
      </c>
      <c r="B355" s="321" t="s">
        <v>29</v>
      </c>
      <c r="C355" s="313" t="s">
        <v>56</v>
      </c>
      <c r="D355" s="313" t="s">
        <v>31</v>
      </c>
      <c r="E355" s="313" t="s">
        <v>32</v>
      </c>
      <c r="F355" s="314" t="s">
        <v>33</v>
      </c>
    </row>
    <row r="356" spans="1:6" ht="28.5" customHeight="1" x14ac:dyDescent="0.2">
      <c r="A356" s="313"/>
      <c r="B356" s="321"/>
      <c r="C356" s="313"/>
      <c r="D356" s="313"/>
      <c r="E356" s="313"/>
      <c r="F356" s="315"/>
    </row>
    <row r="357" spans="1:6" ht="30.75" customHeight="1" x14ac:dyDescent="0.2">
      <c r="A357" s="326" t="s">
        <v>34</v>
      </c>
      <c r="B357" s="195" t="s">
        <v>57</v>
      </c>
      <c r="C357" s="329" t="s">
        <v>329</v>
      </c>
      <c r="D357" s="203" t="s">
        <v>58</v>
      </c>
      <c r="E357" s="203">
        <v>10</v>
      </c>
      <c r="F357" s="214">
        <v>86</v>
      </c>
    </row>
    <row r="358" spans="1:6" ht="35.25" customHeight="1" x14ac:dyDescent="0.2">
      <c r="A358" s="327"/>
      <c r="B358" s="319" t="s">
        <v>37</v>
      </c>
      <c r="C358" s="330"/>
      <c r="D358" s="203" t="s">
        <v>38</v>
      </c>
      <c r="E358" s="203">
        <v>13</v>
      </c>
      <c r="F358" s="214">
        <v>493.61</v>
      </c>
    </row>
    <row r="359" spans="1:6" ht="24.95" customHeight="1" x14ac:dyDescent="0.2">
      <c r="A359" s="328"/>
      <c r="B359" s="315"/>
      <c r="C359" s="330"/>
      <c r="D359" s="203" t="s">
        <v>39</v>
      </c>
      <c r="E359" s="203">
        <v>2</v>
      </c>
      <c r="F359" s="214">
        <v>176.46</v>
      </c>
    </row>
    <row r="360" spans="1:6" ht="32.25" customHeight="1" x14ac:dyDescent="0.2">
      <c r="A360" s="326" t="s">
        <v>40</v>
      </c>
      <c r="B360" s="314" t="s">
        <v>41</v>
      </c>
      <c r="C360" s="331" t="s">
        <v>87</v>
      </c>
      <c r="D360" s="203" t="s">
        <v>42</v>
      </c>
      <c r="E360" s="203">
        <v>35</v>
      </c>
      <c r="F360" s="214">
        <v>173.95</v>
      </c>
    </row>
    <row r="361" spans="1:6" ht="24.95" customHeight="1" x14ac:dyDescent="0.2">
      <c r="A361" s="328"/>
      <c r="B361" s="315"/>
      <c r="C361" s="332"/>
      <c r="D361" s="203" t="s">
        <v>43</v>
      </c>
      <c r="E361" s="203">
        <v>0.1</v>
      </c>
      <c r="F361" s="214">
        <v>0.19</v>
      </c>
    </row>
    <row r="362" spans="1:6" ht="24.95" customHeight="1" x14ac:dyDescent="0.2">
      <c r="A362" s="195" t="s">
        <v>44</v>
      </c>
      <c r="B362" s="202" t="s">
        <v>45</v>
      </c>
      <c r="C362" s="196" t="s">
        <v>14</v>
      </c>
      <c r="D362" s="203" t="s">
        <v>89</v>
      </c>
      <c r="E362" s="203">
        <v>115</v>
      </c>
      <c r="F362" s="214">
        <v>721.05</v>
      </c>
    </row>
    <row r="363" spans="1:6" ht="31.5" customHeight="1" x14ac:dyDescent="0.2">
      <c r="A363" s="202" t="s">
        <v>46</v>
      </c>
      <c r="B363" s="202" t="s">
        <v>47</v>
      </c>
      <c r="C363" s="203" t="s">
        <v>278</v>
      </c>
      <c r="D363" s="203" t="s">
        <v>68</v>
      </c>
      <c r="E363" s="203">
        <v>5</v>
      </c>
      <c r="F363" s="214">
        <v>25.75</v>
      </c>
    </row>
    <row r="364" spans="1:6" ht="30" customHeight="1" x14ac:dyDescent="0.2">
      <c r="A364" s="202" t="s">
        <v>49</v>
      </c>
      <c r="B364" s="202" t="s">
        <v>50</v>
      </c>
      <c r="C364" s="203" t="s">
        <v>51</v>
      </c>
      <c r="D364" s="203" t="s">
        <v>52</v>
      </c>
      <c r="E364" s="203">
        <v>5</v>
      </c>
      <c r="F364" s="214">
        <v>62.9</v>
      </c>
    </row>
    <row r="365" spans="1:6" ht="24.95" customHeight="1" x14ac:dyDescent="0.2">
      <c r="A365" s="199" t="s">
        <v>53</v>
      </c>
      <c r="B365" s="316" t="s">
        <v>54</v>
      </c>
      <c r="C365" s="320"/>
      <c r="D365" s="203" t="s">
        <v>53</v>
      </c>
      <c r="E365" s="203">
        <v>150</v>
      </c>
      <c r="F365" s="214">
        <v>100.5</v>
      </c>
    </row>
    <row r="366" spans="1:6" ht="20.100000000000001" customHeight="1" x14ac:dyDescent="0.25">
      <c r="A366" s="323" t="s">
        <v>331</v>
      </c>
      <c r="B366" s="324"/>
      <c r="C366" s="324"/>
      <c r="D366" s="324"/>
      <c r="E366" s="325"/>
      <c r="F366" s="213">
        <v>1840.41</v>
      </c>
    </row>
    <row r="367" spans="1:6" s="2" customFormat="1" ht="19.5" customHeight="1" x14ac:dyDescent="0.25">
      <c r="A367" s="160"/>
      <c r="B367" s="162"/>
      <c r="C367" s="162"/>
      <c r="D367" s="162"/>
      <c r="E367" s="162"/>
      <c r="F367" s="162"/>
    </row>
    <row r="368" spans="1:6" ht="24" customHeight="1" x14ac:dyDescent="0.2">
      <c r="A368" s="166" t="s">
        <v>27</v>
      </c>
      <c r="B368" s="201">
        <v>20</v>
      </c>
      <c r="C368" s="167"/>
      <c r="D368" s="167"/>
      <c r="E368" s="167"/>
      <c r="F368" s="167"/>
    </row>
    <row r="369" spans="1:6" ht="24" customHeight="1" x14ac:dyDescent="0.2">
      <c r="A369" s="167"/>
      <c r="B369" s="161"/>
      <c r="C369" s="167"/>
      <c r="D369" s="167"/>
      <c r="E369" s="167"/>
      <c r="F369" s="167"/>
    </row>
    <row r="370" spans="1:6" ht="12.75" customHeight="1" x14ac:dyDescent="0.2">
      <c r="A370" s="313" t="s">
        <v>28</v>
      </c>
      <c r="B370" s="321" t="s">
        <v>29</v>
      </c>
      <c r="C370" s="313" t="s">
        <v>56</v>
      </c>
      <c r="D370" s="313" t="s">
        <v>31</v>
      </c>
      <c r="E370" s="313" t="s">
        <v>32</v>
      </c>
      <c r="F370" s="314" t="s">
        <v>33</v>
      </c>
    </row>
    <row r="371" spans="1:6" ht="34.5" customHeight="1" x14ac:dyDescent="0.2">
      <c r="A371" s="313"/>
      <c r="B371" s="322"/>
      <c r="C371" s="313"/>
      <c r="D371" s="313"/>
      <c r="E371" s="313"/>
      <c r="F371" s="315"/>
    </row>
    <row r="372" spans="1:6" ht="33" customHeight="1" x14ac:dyDescent="0.2">
      <c r="A372" s="316" t="s">
        <v>34</v>
      </c>
      <c r="B372" s="195" t="s">
        <v>57</v>
      </c>
      <c r="C372" s="317" t="s">
        <v>84</v>
      </c>
      <c r="D372" s="203" t="s">
        <v>85</v>
      </c>
      <c r="E372" s="203">
        <v>10</v>
      </c>
      <c r="F372" s="214">
        <v>40.300000000000004</v>
      </c>
    </row>
    <row r="373" spans="1:6" ht="40.5" customHeight="1" x14ac:dyDescent="0.2">
      <c r="A373" s="316"/>
      <c r="B373" s="319" t="s">
        <v>37</v>
      </c>
      <c r="C373" s="318"/>
      <c r="D373" s="203" t="s">
        <v>38</v>
      </c>
      <c r="E373" s="203">
        <v>13</v>
      </c>
      <c r="F373" s="214">
        <v>493.61</v>
      </c>
    </row>
    <row r="374" spans="1:6" ht="29.25" customHeight="1" x14ac:dyDescent="0.2">
      <c r="A374" s="316"/>
      <c r="B374" s="315"/>
      <c r="C374" s="318"/>
      <c r="D374" s="203" t="s">
        <v>39</v>
      </c>
      <c r="E374" s="203">
        <v>2</v>
      </c>
      <c r="F374" s="214">
        <v>176.46</v>
      </c>
    </row>
    <row r="375" spans="1:6" ht="34.5" customHeight="1" x14ac:dyDescent="0.2">
      <c r="A375" s="199" t="s">
        <v>40</v>
      </c>
      <c r="B375" s="200" t="s">
        <v>41</v>
      </c>
      <c r="C375" s="206" t="s">
        <v>398</v>
      </c>
      <c r="D375" s="206" t="s">
        <v>460</v>
      </c>
      <c r="E375" s="206">
        <v>40</v>
      </c>
      <c r="F375" s="272">
        <v>791.2</v>
      </c>
    </row>
    <row r="376" spans="1:6" ht="30.75" customHeight="1" x14ac:dyDescent="0.2">
      <c r="A376" s="195" t="s">
        <v>44</v>
      </c>
      <c r="B376" s="202" t="s">
        <v>45</v>
      </c>
      <c r="C376" s="197" t="s">
        <v>82</v>
      </c>
      <c r="D376" s="203" t="s">
        <v>83</v>
      </c>
      <c r="E376" s="203">
        <v>115</v>
      </c>
      <c r="F376" s="214">
        <v>267.95</v>
      </c>
    </row>
    <row r="377" spans="1:6" ht="33.75" customHeight="1" x14ac:dyDescent="0.2">
      <c r="A377" s="202" t="s">
        <v>46</v>
      </c>
      <c r="B377" s="202" t="s">
        <v>47</v>
      </c>
      <c r="C377" s="203" t="s">
        <v>67</v>
      </c>
      <c r="D377" s="203" t="s">
        <v>68</v>
      </c>
      <c r="E377" s="203">
        <v>5</v>
      </c>
      <c r="F377" s="214">
        <v>25.75</v>
      </c>
    </row>
    <row r="378" spans="1:6" ht="24.95" customHeight="1" x14ac:dyDescent="0.2">
      <c r="A378" s="199" t="s">
        <v>53</v>
      </c>
      <c r="B378" s="316" t="s">
        <v>54</v>
      </c>
      <c r="C378" s="320"/>
      <c r="D378" s="203" t="s">
        <v>53</v>
      </c>
      <c r="E378" s="203">
        <v>150</v>
      </c>
      <c r="F378" s="214">
        <v>100.5</v>
      </c>
    </row>
    <row r="379" spans="1:6" ht="20.100000000000001" customHeight="1" x14ac:dyDescent="0.25">
      <c r="A379" s="312" t="s">
        <v>331</v>
      </c>
      <c r="B379" s="312"/>
      <c r="C379" s="312"/>
      <c r="D379" s="312"/>
      <c r="E379" s="312"/>
      <c r="F379" s="213">
        <v>1895.77</v>
      </c>
    </row>
    <row r="380" spans="1:6" ht="20.100000000000001" customHeight="1" x14ac:dyDescent="0.25">
      <c r="A380" s="308" t="s">
        <v>120</v>
      </c>
      <c r="B380" s="309"/>
      <c r="C380" s="309"/>
      <c r="D380" s="309"/>
      <c r="E380" s="310"/>
      <c r="F380" s="216">
        <v>45488.14</v>
      </c>
    </row>
    <row r="381" spans="1:6" ht="20.100000000000001" customHeight="1" x14ac:dyDescent="0.25">
      <c r="A381" s="308" t="s">
        <v>98</v>
      </c>
      <c r="B381" s="309"/>
      <c r="C381" s="309"/>
      <c r="D381" s="309"/>
      <c r="E381" s="310"/>
      <c r="F381" s="216">
        <v>2274.41</v>
      </c>
    </row>
    <row r="382" spans="1:6" ht="20.100000000000001" customHeight="1" x14ac:dyDescent="0.25">
      <c r="A382" s="308" t="s">
        <v>99</v>
      </c>
      <c r="B382" s="309"/>
      <c r="C382" s="309"/>
      <c r="D382" s="309"/>
      <c r="E382" s="310"/>
      <c r="F382" s="216">
        <v>2621.21</v>
      </c>
    </row>
    <row r="383" spans="1:6" ht="20.100000000000001" customHeight="1" x14ac:dyDescent="0.25">
      <c r="A383" s="308" t="s">
        <v>100</v>
      </c>
      <c r="B383" s="309"/>
      <c r="C383" s="309"/>
      <c r="D383" s="309"/>
      <c r="E383" s="310"/>
      <c r="F383" s="253">
        <v>6.48</v>
      </c>
    </row>
    <row r="384" spans="1:6" ht="20.100000000000001" customHeight="1" x14ac:dyDescent="0.25">
      <c r="A384" s="308" t="s">
        <v>101</v>
      </c>
      <c r="B384" s="309"/>
      <c r="C384" s="309"/>
      <c r="D384" s="309"/>
      <c r="E384" s="310"/>
      <c r="F384" s="253">
        <v>7.42</v>
      </c>
    </row>
    <row r="385" spans="1:6" ht="20.100000000000001" customHeight="1" x14ac:dyDescent="0.25">
      <c r="A385" s="311"/>
      <c r="B385" s="311"/>
      <c r="C385" s="311"/>
      <c r="D385" s="311"/>
      <c r="E385" s="311"/>
      <c r="F385" s="311"/>
    </row>
    <row r="386" spans="1:6" ht="20.100000000000001" customHeight="1" x14ac:dyDescent="0.25">
      <c r="A386" s="311"/>
      <c r="B386" s="311"/>
      <c r="C386" s="311"/>
      <c r="D386" s="311"/>
      <c r="E386" s="311"/>
      <c r="F386" s="311"/>
    </row>
    <row r="387" spans="1:6" ht="20.100000000000001" customHeight="1" x14ac:dyDescent="0.25">
      <c r="A387" s="311"/>
      <c r="B387" s="311"/>
      <c r="C387" s="311"/>
      <c r="D387" s="311"/>
      <c r="E387" s="311"/>
      <c r="F387" s="311"/>
    </row>
    <row r="388" spans="1:6" ht="20.100000000000001" customHeight="1" x14ac:dyDescent="0.25">
      <c r="A388" s="311"/>
      <c r="B388" s="311"/>
      <c r="C388" s="311"/>
      <c r="D388" s="311"/>
      <c r="E388" s="311"/>
      <c r="F388" s="311"/>
    </row>
    <row r="389" spans="1:6" ht="19.5" customHeight="1" x14ac:dyDescent="0.25">
      <c r="A389" s="311"/>
      <c r="B389" s="311"/>
      <c r="C389" s="311"/>
      <c r="D389" s="311"/>
      <c r="E389" s="311"/>
      <c r="F389" s="311"/>
    </row>
  </sheetData>
  <mergeCells count="321">
    <mergeCell ref="A1:F1"/>
    <mergeCell ref="A2:F2"/>
    <mergeCell ref="A3:F3"/>
    <mergeCell ref="A4:F4"/>
    <mergeCell ref="A6:F6"/>
    <mergeCell ref="A15:B15"/>
    <mergeCell ref="B17:C17"/>
    <mergeCell ref="A21:A22"/>
    <mergeCell ref="B21:B22"/>
    <mergeCell ref="C21:C22"/>
    <mergeCell ref="D21:D22"/>
    <mergeCell ref="A7:B7"/>
    <mergeCell ref="C7:F7"/>
    <mergeCell ref="A9:B9"/>
    <mergeCell ref="C11:D11"/>
    <mergeCell ref="A13:B13"/>
    <mergeCell ref="C13:D13"/>
    <mergeCell ref="A33:A37"/>
    <mergeCell ref="B33:B37"/>
    <mergeCell ref="C33:C37"/>
    <mergeCell ref="B40:C40"/>
    <mergeCell ref="A41:E41"/>
    <mergeCell ref="E21:E22"/>
    <mergeCell ref="F21:F22"/>
    <mergeCell ref="A23:A25"/>
    <mergeCell ref="C23:C25"/>
    <mergeCell ref="B24:B25"/>
    <mergeCell ref="A26:A32"/>
    <mergeCell ref="B26:B32"/>
    <mergeCell ref="C26:C32"/>
    <mergeCell ref="B54:C54"/>
    <mergeCell ref="A55:E55"/>
    <mergeCell ref="F45:F46"/>
    <mergeCell ref="A47:A48"/>
    <mergeCell ref="C47:C48"/>
    <mergeCell ref="A49:A50"/>
    <mergeCell ref="B49:B50"/>
    <mergeCell ref="C49:C50"/>
    <mergeCell ref="B47:B48"/>
    <mergeCell ref="A45:A46"/>
    <mergeCell ref="B45:B46"/>
    <mergeCell ref="C45:C46"/>
    <mergeCell ref="D45:D46"/>
    <mergeCell ref="E45:E46"/>
    <mergeCell ref="F83:F84"/>
    <mergeCell ref="A72:A75"/>
    <mergeCell ref="B72:B75"/>
    <mergeCell ref="C72:C75"/>
    <mergeCell ref="B78:C78"/>
    <mergeCell ref="A79:E79"/>
    <mergeCell ref="E59:E60"/>
    <mergeCell ref="F59:F60"/>
    <mergeCell ref="C61:C63"/>
    <mergeCell ref="B62:B63"/>
    <mergeCell ref="A64:A71"/>
    <mergeCell ref="B64:B71"/>
    <mergeCell ref="C64:C71"/>
    <mergeCell ref="A61:A63"/>
    <mergeCell ref="A59:A60"/>
    <mergeCell ref="B59:B60"/>
    <mergeCell ref="C59:C60"/>
    <mergeCell ref="D59:D60"/>
    <mergeCell ref="A85:A87"/>
    <mergeCell ref="C85:C87"/>
    <mergeCell ref="B86:B87"/>
    <mergeCell ref="B91:C91"/>
    <mergeCell ref="A92:E92"/>
    <mergeCell ref="A83:A84"/>
    <mergeCell ref="B83:B84"/>
    <mergeCell ref="C83:C84"/>
    <mergeCell ref="D83:D84"/>
    <mergeCell ref="E83:E84"/>
    <mergeCell ref="E96:E97"/>
    <mergeCell ref="F96:F97"/>
    <mergeCell ref="A98:A100"/>
    <mergeCell ref="C98:C100"/>
    <mergeCell ref="B99:B100"/>
    <mergeCell ref="A101:A103"/>
    <mergeCell ref="B101:B102"/>
    <mergeCell ref="C101:C103"/>
    <mergeCell ref="A96:A97"/>
    <mergeCell ref="B96:B97"/>
    <mergeCell ref="C96:C97"/>
    <mergeCell ref="D96:D97"/>
    <mergeCell ref="A113:A114"/>
    <mergeCell ref="B113:B114"/>
    <mergeCell ref="C113:C114"/>
    <mergeCell ref="D113:D114"/>
    <mergeCell ref="E113:E114"/>
    <mergeCell ref="F113:F114"/>
    <mergeCell ref="A104:A105"/>
    <mergeCell ref="B104:B105"/>
    <mergeCell ref="C104:C105"/>
    <mergeCell ref="B108:C108"/>
    <mergeCell ref="A109:E109"/>
    <mergeCell ref="F131:F132"/>
    <mergeCell ref="A122:A123"/>
    <mergeCell ref="B122:B123"/>
    <mergeCell ref="C122:C123"/>
    <mergeCell ref="B126:C126"/>
    <mergeCell ref="A127:E127"/>
    <mergeCell ref="A115:A116"/>
    <mergeCell ref="C115:C117"/>
    <mergeCell ref="B116:B117"/>
    <mergeCell ref="A118:A121"/>
    <mergeCell ref="B118:B121"/>
    <mergeCell ref="C118:C121"/>
    <mergeCell ref="A133:A135"/>
    <mergeCell ref="C133:C135"/>
    <mergeCell ref="B134:B135"/>
    <mergeCell ref="B139:C139"/>
    <mergeCell ref="A140:E140"/>
    <mergeCell ref="A131:A132"/>
    <mergeCell ref="B131:B132"/>
    <mergeCell ref="C131:C132"/>
    <mergeCell ref="D131:D132"/>
    <mergeCell ref="E131:E132"/>
    <mergeCell ref="A155:A156"/>
    <mergeCell ref="B155:B156"/>
    <mergeCell ref="C155:C156"/>
    <mergeCell ref="B159:C159"/>
    <mergeCell ref="A160:E160"/>
    <mergeCell ref="E144:E145"/>
    <mergeCell ref="F144:F145"/>
    <mergeCell ref="A146:A147"/>
    <mergeCell ref="C146:C147"/>
    <mergeCell ref="A148:A154"/>
    <mergeCell ref="B148:B154"/>
    <mergeCell ref="C148:C154"/>
    <mergeCell ref="A144:A145"/>
    <mergeCell ref="B144:B145"/>
    <mergeCell ref="C144:C145"/>
    <mergeCell ref="D144:D145"/>
    <mergeCell ref="B174:C174"/>
    <mergeCell ref="A175:E175"/>
    <mergeCell ref="E164:E165"/>
    <mergeCell ref="F164:F165"/>
    <mergeCell ref="A166:A168"/>
    <mergeCell ref="C166:C168"/>
    <mergeCell ref="B167:B168"/>
    <mergeCell ref="A169:A170"/>
    <mergeCell ref="B169:B170"/>
    <mergeCell ref="C169:C170"/>
    <mergeCell ref="A164:A165"/>
    <mergeCell ref="B164:B165"/>
    <mergeCell ref="C164:C165"/>
    <mergeCell ref="D164:D165"/>
    <mergeCell ref="A191:A193"/>
    <mergeCell ref="B191:B193"/>
    <mergeCell ref="C191:C193"/>
    <mergeCell ref="B196:C196"/>
    <mergeCell ref="A197:E197"/>
    <mergeCell ref="E179:E180"/>
    <mergeCell ref="F179:F180"/>
    <mergeCell ref="A181:A183"/>
    <mergeCell ref="C181:C183"/>
    <mergeCell ref="B182:B183"/>
    <mergeCell ref="A184:A190"/>
    <mergeCell ref="B184:B190"/>
    <mergeCell ref="C184:C190"/>
    <mergeCell ref="A179:A180"/>
    <mergeCell ref="B179:B180"/>
    <mergeCell ref="C179:C180"/>
    <mergeCell ref="D179:D180"/>
    <mergeCell ref="B217:C217"/>
    <mergeCell ref="A218:E218"/>
    <mergeCell ref="E201:E202"/>
    <mergeCell ref="F201:F202"/>
    <mergeCell ref="A204:A210"/>
    <mergeCell ref="B204:B210"/>
    <mergeCell ref="C204:C210"/>
    <mergeCell ref="A211:A214"/>
    <mergeCell ref="B211:B214"/>
    <mergeCell ref="C211:C214"/>
    <mergeCell ref="A201:A202"/>
    <mergeCell ref="B201:B202"/>
    <mergeCell ref="C201:C202"/>
    <mergeCell ref="D201:D202"/>
    <mergeCell ref="B232:C232"/>
    <mergeCell ref="A233:E233"/>
    <mergeCell ref="E222:E223"/>
    <mergeCell ref="F222:F223"/>
    <mergeCell ref="A224:A226"/>
    <mergeCell ref="C224:C226"/>
    <mergeCell ref="B225:B226"/>
    <mergeCell ref="A227:A228"/>
    <mergeCell ref="B227:B228"/>
    <mergeCell ref="C227:C228"/>
    <mergeCell ref="A222:A223"/>
    <mergeCell ref="B222:B223"/>
    <mergeCell ref="C222:C223"/>
    <mergeCell ref="D222:D223"/>
    <mergeCell ref="E237:E238"/>
    <mergeCell ref="F237:F238"/>
    <mergeCell ref="A239:A241"/>
    <mergeCell ref="C239:C241"/>
    <mergeCell ref="B240:B241"/>
    <mergeCell ref="A242:A244"/>
    <mergeCell ref="B242:B243"/>
    <mergeCell ref="C242:C244"/>
    <mergeCell ref="A237:A238"/>
    <mergeCell ref="B237:B238"/>
    <mergeCell ref="C237:C238"/>
    <mergeCell ref="D237:D238"/>
    <mergeCell ref="A254:A255"/>
    <mergeCell ref="B254:B255"/>
    <mergeCell ref="C254:C255"/>
    <mergeCell ref="D254:D255"/>
    <mergeCell ref="E254:E255"/>
    <mergeCell ref="F254:F255"/>
    <mergeCell ref="A245:A246"/>
    <mergeCell ref="B245:B246"/>
    <mergeCell ref="C245:C246"/>
    <mergeCell ref="B249:C249"/>
    <mergeCell ref="A250:E250"/>
    <mergeCell ref="A266:A267"/>
    <mergeCell ref="B266:B267"/>
    <mergeCell ref="C266:C267"/>
    <mergeCell ref="D266:D267"/>
    <mergeCell ref="E266:E267"/>
    <mergeCell ref="F266:F267"/>
    <mergeCell ref="A256:A257"/>
    <mergeCell ref="C256:C257"/>
    <mergeCell ref="B261:C261"/>
    <mergeCell ref="A262:E262"/>
    <mergeCell ref="A278:A282"/>
    <mergeCell ref="B278:B282"/>
    <mergeCell ref="C278:C282"/>
    <mergeCell ref="B285:C285"/>
    <mergeCell ref="A286:E286"/>
    <mergeCell ref="A268:A270"/>
    <mergeCell ref="C268:C270"/>
    <mergeCell ref="B269:B270"/>
    <mergeCell ref="A271:A277"/>
    <mergeCell ref="B271:B277"/>
    <mergeCell ref="C271:C277"/>
    <mergeCell ref="A303:A304"/>
    <mergeCell ref="B303:B304"/>
    <mergeCell ref="C303:C304"/>
    <mergeCell ref="B307:C307"/>
    <mergeCell ref="A308:E308"/>
    <mergeCell ref="E290:E291"/>
    <mergeCell ref="F290:F291"/>
    <mergeCell ref="A292:A294"/>
    <mergeCell ref="C292:C294"/>
    <mergeCell ref="B293:B294"/>
    <mergeCell ref="A295:A302"/>
    <mergeCell ref="B295:B302"/>
    <mergeCell ref="C295:C302"/>
    <mergeCell ref="A290:A291"/>
    <mergeCell ref="B290:B291"/>
    <mergeCell ref="C290:C291"/>
    <mergeCell ref="D290:D291"/>
    <mergeCell ref="A320:A323"/>
    <mergeCell ref="B320:B323"/>
    <mergeCell ref="C320:C323"/>
    <mergeCell ref="B326:C326"/>
    <mergeCell ref="A327:E327"/>
    <mergeCell ref="E312:E313"/>
    <mergeCell ref="F312:F313"/>
    <mergeCell ref="A314:A315"/>
    <mergeCell ref="C314:C315"/>
    <mergeCell ref="A316:A319"/>
    <mergeCell ref="B316:B319"/>
    <mergeCell ref="C316:C319"/>
    <mergeCell ref="A312:A313"/>
    <mergeCell ref="B312:B313"/>
    <mergeCell ref="C312:C313"/>
    <mergeCell ref="D312:D313"/>
    <mergeCell ref="A344:A347"/>
    <mergeCell ref="B344:B347"/>
    <mergeCell ref="C344:C347"/>
    <mergeCell ref="B350:C350"/>
    <mergeCell ref="A351:E351"/>
    <mergeCell ref="E331:E332"/>
    <mergeCell ref="F331:F332"/>
    <mergeCell ref="A333:A335"/>
    <mergeCell ref="C333:C335"/>
    <mergeCell ref="B334:B335"/>
    <mergeCell ref="A336:A343"/>
    <mergeCell ref="B336:B343"/>
    <mergeCell ref="C336:C343"/>
    <mergeCell ref="A331:A332"/>
    <mergeCell ref="B331:B332"/>
    <mergeCell ref="C331:C332"/>
    <mergeCell ref="D331:D332"/>
    <mergeCell ref="B365:C365"/>
    <mergeCell ref="A366:E366"/>
    <mergeCell ref="E355:E356"/>
    <mergeCell ref="F355:F356"/>
    <mergeCell ref="A357:A359"/>
    <mergeCell ref="C357:C359"/>
    <mergeCell ref="B358:B359"/>
    <mergeCell ref="A360:A361"/>
    <mergeCell ref="B360:B361"/>
    <mergeCell ref="C360:C361"/>
    <mergeCell ref="A355:A356"/>
    <mergeCell ref="B355:B356"/>
    <mergeCell ref="C355:C356"/>
    <mergeCell ref="D355:D356"/>
    <mergeCell ref="A379:E379"/>
    <mergeCell ref="E370:E371"/>
    <mergeCell ref="F370:F371"/>
    <mergeCell ref="A372:A374"/>
    <mergeCell ref="C372:C374"/>
    <mergeCell ref="B373:B374"/>
    <mergeCell ref="B378:C378"/>
    <mergeCell ref="A370:A371"/>
    <mergeCell ref="B370:B371"/>
    <mergeCell ref="C370:C371"/>
    <mergeCell ref="D370:D371"/>
    <mergeCell ref="A380:E380"/>
    <mergeCell ref="A381:E381"/>
    <mergeCell ref="A382:E382"/>
    <mergeCell ref="A383:E383"/>
    <mergeCell ref="A385:F385"/>
    <mergeCell ref="A388:F388"/>
    <mergeCell ref="A389:F389"/>
    <mergeCell ref="A386:F386"/>
    <mergeCell ref="A387:F387"/>
    <mergeCell ref="A384:E384"/>
  </mergeCells>
  <dataValidations disablePrompts="1" count="5">
    <dataValidation type="list" allowBlank="1" showInputMessage="1" showErrorMessage="1" sqref="B17:C17">
      <formula1>"Preescolar,Primaria:Primero, Segundo y Tercero,Primaria:Cuarto y Quinto,Secundaria,Media y Nivel Complementario"</formula1>
    </dataValidation>
    <dataValidation type="list" allowBlank="1" showInputMessage="1" showErrorMessage="1" sqref="C9">
      <formula1>"Si,No"</formula1>
    </dataValidation>
    <dataValidation type="list" allowBlank="1" showInputMessage="1" showErrorMessage="1" sqref="C13:D13">
      <formula1>"Ración para Preparar en Sitio,Comida Caliente Transportada,Ración Industrializada"</formula1>
    </dataValidation>
    <dataValidation type="list" allowBlank="1" showInputMessage="1" showErrorMessage="1" sqref="C15">
      <formula1>"Complemento JM/JT,Almuerzo"</formula1>
    </dataValidation>
    <dataValidation type="list" allowBlank="1" showInputMessage="1" showErrorMessage="1" sqref="C11">
      <formula1>"Indígena,Afrocolombiano,Palenquero,Raizal,Rrom,Sin Pertenencia Étnica"</formula1>
    </dataValidation>
  </dataValidations>
  <pageMargins left="0.70866141732283472" right="0.70866141732283472" top="0.74803149606299213" bottom="0.74803149606299213" header="0.31496062992125984" footer="0.31496062992125984"/>
  <pageSetup paperSize="10000" scale="49" fitToHeight="0" orientation="landscape" r:id="rId1"/>
  <rowBreaks count="10" manualBreakCount="10">
    <brk id="56" max="5" man="1"/>
    <brk id="79" max="5" man="1"/>
    <brk id="128" max="5" man="1"/>
    <brk id="176" max="5" man="1"/>
    <brk id="197" max="5" man="1"/>
    <brk id="219" max="5" man="1"/>
    <brk id="263" max="5" man="1"/>
    <brk id="309" max="5" man="1"/>
    <brk id="328" max="5" man="1"/>
    <brk id="352"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9"/>
  <sheetViews>
    <sheetView view="pageBreakPreview" topLeftCell="A376" zoomScaleNormal="100" zoomScaleSheetLayoutView="100" zoomScalePageLayoutView="77" workbookViewId="0">
      <selection activeCell="A389" sqref="A389:F389"/>
    </sheetView>
  </sheetViews>
  <sheetFormatPr baseColWidth="10" defaultColWidth="11.42578125" defaultRowHeight="15" x14ac:dyDescent="0.25"/>
  <cols>
    <col min="1" max="1" width="21" style="218" customWidth="1"/>
    <col min="2" max="2" width="36" style="218" customWidth="1"/>
    <col min="3" max="3" width="24.140625" style="218" customWidth="1"/>
    <col min="4" max="4" width="23.28515625" style="218" customWidth="1"/>
    <col min="5" max="5" width="13.28515625" style="218" customWidth="1"/>
    <col min="6" max="6" width="13.7109375" style="218" customWidth="1"/>
    <col min="7" max="16384" width="11.42578125" style="1"/>
  </cols>
  <sheetData>
    <row r="1" spans="1:10" ht="15.75" x14ac:dyDescent="0.25">
      <c r="A1" s="311" t="s">
        <v>0</v>
      </c>
      <c r="B1" s="311"/>
      <c r="C1" s="311"/>
      <c r="D1" s="311"/>
      <c r="E1" s="311"/>
      <c r="F1" s="311"/>
    </row>
    <row r="2" spans="1:10" ht="15.75" x14ac:dyDescent="0.25">
      <c r="A2" s="311" t="s">
        <v>307</v>
      </c>
      <c r="B2" s="311"/>
      <c r="C2" s="311"/>
      <c r="D2" s="311"/>
      <c r="E2" s="311"/>
      <c r="F2" s="311"/>
    </row>
    <row r="3" spans="1:10" ht="15.75" x14ac:dyDescent="0.25">
      <c r="A3" s="311" t="s">
        <v>273</v>
      </c>
      <c r="B3" s="311"/>
      <c r="C3" s="311"/>
      <c r="D3" s="311"/>
      <c r="E3" s="311"/>
      <c r="F3" s="311"/>
    </row>
    <row r="4" spans="1:10" ht="15.75" x14ac:dyDescent="0.25">
      <c r="A4" s="311" t="s">
        <v>346</v>
      </c>
      <c r="B4" s="311"/>
      <c r="C4" s="311"/>
      <c r="D4" s="311"/>
      <c r="E4" s="311"/>
      <c r="F4" s="311"/>
    </row>
    <row r="5" spans="1:10" s="190" customFormat="1" ht="19.5" customHeight="1" x14ac:dyDescent="0.25">
      <c r="A5" s="353"/>
      <c r="B5" s="354"/>
      <c r="C5" s="354"/>
      <c r="D5" s="354"/>
      <c r="E5" s="354"/>
      <c r="F5" s="354"/>
      <c r="G5" s="1"/>
      <c r="H5" s="1"/>
      <c r="I5" s="1"/>
      <c r="J5" s="1"/>
    </row>
    <row r="6" spans="1:10" s="4" customFormat="1" ht="20.25" customHeight="1" x14ac:dyDescent="0.25">
      <c r="A6" s="313" t="s">
        <v>461</v>
      </c>
      <c r="B6" s="313"/>
      <c r="C6" s="313"/>
      <c r="D6" s="313"/>
      <c r="E6" s="313"/>
      <c r="F6" s="313"/>
    </row>
    <row r="7" spans="1:10" s="4" customFormat="1" ht="19.5" customHeight="1" x14ac:dyDescent="0.25">
      <c r="A7" s="351" t="s">
        <v>17</v>
      </c>
      <c r="B7" s="351"/>
      <c r="C7" s="321" t="s">
        <v>328</v>
      </c>
      <c r="D7" s="321"/>
      <c r="E7" s="321"/>
      <c r="F7" s="321"/>
    </row>
    <row r="8" spans="1:10" s="4" customFormat="1" ht="19.5" customHeight="1" x14ac:dyDescent="0.25">
      <c r="A8" s="160"/>
      <c r="B8" s="160"/>
      <c r="C8" s="161"/>
      <c r="D8" s="161"/>
      <c r="E8" s="161"/>
      <c r="F8" s="161"/>
    </row>
    <row r="9" spans="1:10" s="4" customFormat="1" ht="19.5" customHeight="1" x14ac:dyDescent="0.25">
      <c r="A9" s="351" t="s">
        <v>18</v>
      </c>
      <c r="B9" s="351"/>
      <c r="C9" s="201" t="s">
        <v>19</v>
      </c>
      <c r="D9" s="161"/>
      <c r="E9" s="161"/>
      <c r="F9" s="161"/>
    </row>
    <row r="10" spans="1:10" s="4" customFormat="1" ht="19.5" customHeight="1" x14ac:dyDescent="0.25">
      <c r="A10" s="160"/>
      <c r="B10" s="162"/>
      <c r="C10" s="162"/>
      <c r="D10" s="162"/>
      <c r="E10" s="162"/>
      <c r="F10" s="162"/>
    </row>
    <row r="11" spans="1:10" s="4" customFormat="1" ht="19.5" customHeight="1" x14ac:dyDescent="0.25">
      <c r="A11" s="205" t="s">
        <v>20</v>
      </c>
      <c r="B11" s="205"/>
      <c r="C11" s="321"/>
      <c r="D11" s="321"/>
      <c r="E11" s="163"/>
      <c r="F11" s="163"/>
    </row>
    <row r="12" spans="1:10" s="4" customFormat="1" ht="19.5" customHeight="1" x14ac:dyDescent="0.25">
      <c r="A12" s="160"/>
      <c r="B12" s="162"/>
      <c r="C12" s="162"/>
      <c r="D12" s="162"/>
      <c r="E12" s="162"/>
      <c r="F12" s="162"/>
    </row>
    <row r="13" spans="1:10" s="4" customFormat="1" ht="19.5" customHeight="1" x14ac:dyDescent="0.25">
      <c r="A13" s="351" t="s">
        <v>21</v>
      </c>
      <c r="B13" s="351"/>
      <c r="C13" s="352" t="s">
        <v>22</v>
      </c>
      <c r="D13" s="352"/>
      <c r="E13" s="162"/>
      <c r="F13" s="162"/>
    </row>
    <row r="14" spans="1:10" s="4" customFormat="1" ht="19.5" customHeight="1" x14ac:dyDescent="0.25">
      <c r="A14" s="160"/>
      <c r="B14" s="162"/>
      <c r="C14" s="162"/>
      <c r="D14" s="162"/>
      <c r="E14" s="162"/>
      <c r="F14" s="162"/>
    </row>
    <row r="15" spans="1:10" s="4" customFormat="1" ht="19.5" customHeight="1" x14ac:dyDescent="0.25">
      <c r="A15" s="348" t="s">
        <v>23</v>
      </c>
      <c r="B15" s="348"/>
      <c r="C15" s="164" t="s">
        <v>24</v>
      </c>
      <c r="D15" s="165"/>
      <c r="E15" s="165"/>
      <c r="F15" s="165"/>
    </row>
    <row r="16" spans="1:10" s="4" customFormat="1" ht="19.5" customHeight="1" x14ac:dyDescent="0.25">
      <c r="A16" s="160"/>
      <c r="B16" s="162"/>
      <c r="C16" s="162"/>
      <c r="D16" s="162"/>
      <c r="E16" s="162"/>
      <c r="F16" s="162"/>
    </row>
    <row r="17" spans="1:10" s="4" customFormat="1" ht="19.5" customHeight="1" x14ac:dyDescent="0.25">
      <c r="A17" s="204" t="s">
        <v>25</v>
      </c>
      <c r="B17" s="350" t="s">
        <v>102</v>
      </c>
      <c r="C17" s="350"/>
      <c r="D17" s="162"/>
      <c r="E17" s="162"/>
      <c r="F17" s="162"/>
    </row>
    <row r="18" spans="1:10" s="4" customFormat="1" ht="19.5" customHeight="1" x14ac:dyDescent="0.25">
      <c r="A18" s="160"/>
      <c r="B18" s="162"/>
      <c r="C18" s="162"/>
      <c r="D18" s="162"/>
      <c r="E18" s="162"/>
      <c r="F18" s="162"/>
    </row>
    <row r="19" spans="1:10" s="4" customFormat="1" ht="19.5" customHeight="1" x14ac:dyDescent="0.25">
      <c r="A19" s="166" t="s">
        <v>27</v>
      </c>
      <c r="B19" s="201">
        <v>1</v>
      </c>
      <c r="C19" s="167"/>
      <c r="D19" s="167"/>
      <c r="E19" s="167"/>
      <c r="F19" s="167"/>
    </row>
    <row r="20" spans="1:10" s="4" customFormat="1" ht="19.5" customHeight="1" x14ac:dyDescent="0.25">
      <c r="A20" s="167"/>
      <c r="B20" s="161"/>
      <c r="C20" s="167"/>
      <c r="D20" s="167"/>
      <c r="E20" s="167"/>
      <c r="F20" s="167"/>
    </row>
    <row r="21" spans="1:10" s="190" customFormat="1" ht="12.75" customHeight="1" x14ac:dyDescent="0.2">
      <c r="A21" s="321" t="s">
        <v>28</v>
      </c>
      <c r="B21" s="321" t="s">
        <v>29</v>
      </c>
      <c r="C21" s="321" t="s">
        <v>30</v>
      </c>
      <c r="D21" s="321" t="s">
        <v>31</v>
      </c>
      <c r="E21" s="321" t="s">
        <v>32</v>
      </c>
      <c r="F21" s="322" t="s">
        <v>33</v>
      </c>
      <c r="G21" s="1"/>
      <c r="H21" s="1"/>
      <c r="I21" s="1"/>
      <c r="J21" s="1"/>
    </row>
    <row r="22" spans="1:10" s="190" customFormat="1" ht="32.25" customHeight="1" x14ac:dyDescent="0.2">
      <c r="A22" s="321"/>
      <c r="B22" s="321"/>
      <c r="C22" s="321"/>
      <c r="D22" s="321"/>
      <c r="E22" s="321"/>
      <c r="F22" s="349"/>
      <c r="G22" s="1"/>
      <c r="H22" s="1"/>
      <c r="I22" s="1"/>
      <c r="J22" s="1"/>
    </row>
    <row r="23" spans="1:10" s="190" customFormat="1" ht="33" customHeight="1" x14ac:dyDescent="0.2">
      <c r="A23" s="314" t="s">
        <v>34</v>
      </c>
      <c r="B23" s="195" t="s">
        <v>35</v>
      </c>
      <c r="C23" s="329" t="s">
        <v>329</v>
      </c>
      <c r="D23" s="203" t="s">
        <v>58</v>
      </c>
      <c r="E23" s="203">
        <v>10</v>
      </c>
      <c r="F23" s="214">
        <v>86</v>
      </c>
      <c r="G23" s="1"/>
      <c r="H23" s="1"/>
      <c r="I23" s="1"/>
      <c r="J23" s="1"/>
    </row>
    <row r="24" spans="1:10" s="190" customFormat="1" ht="30.75" customHeight="1" x14ac:dyDescent="0.2">
      <c r="A24" s="319"/>
      <c r="B24" s="319" t="s">
        <v>37</v>
      </c>
      <c r="C24" s="330"/>
      <c r="D24" s="203" t="s">
        <v>38</v>
      </c>
      <c r="E24" s="203">
        <v>13</v>
      </c>
      <c r="F24" s="214">
        <v>493.61</v>
      </c>
      <c r="G24" s="1"/>
      <c r="H24" s="1"/>
      <c r="I24" s="1"/>
      <c r="J24" s="1"/>
    </row>
    <row r="25" spans="1:10" s="190" customFormat="1" ht="34.5" customHeight="1" x14ac:dyDescent="0.2">
      <c r="A25" s="319"/>
      <c r="B25" s="315"/>
      <c r="C25" s="333"/>
      <c r="D25" s="203" t="s">
        <v>39</v>
      </c>
      <c r="E25" s="203">
        <v>2</v>
      </c>
      <c r="F25" s="214">
        <v>176.46</v>
      </c>
      <c r="G25" s="1"/>
      <c r="H25" s="1"/>
      <c r="I25" s="1"/>
      <c r="J25" s="1"/>
    </row>
    <row r="26" spans="1:10" s="190" customFormat="1" ht="31.5" customHeight="1" x14ac:dyDescent="0.2">
      <c r="A26" s="326" t="s">
        <v>59</v>
      </c>
      <c r="B26" s="314" t="s">
        <v>60</v>
      </c>
      <c r="C26" s="329" t="s">
        <v>446</v>
      </c>
      <c r="D26" s="203" t="s">
        <v>61</v>
      </c>
      <c r="E26" s="203">
        <v>74</v>
      </c>
      <c r="F26" s="214">
        <v>1341.62</v>
      </c>
      <c r="G26" s="1"/>
      <c r="H26" s="1"/>
      <c r="I26" s="1"/>
      <c r="J26" s="1"/>
    </row>
    <row r="27" spans="1:10" s="190" customFormat="1" ht="31.5" customHeight="1" x14ac:dyDescent="0.2">
      <c r="A27" s="327"/>
      <c r="B27" s="319"/>
      <c r="C27" s="330"/>
      <c r="D27" s="203" t="s">
        <v>62</v>
      </c>
      <c r="E27" s="203">
        <v>10</v>
      </c>
      <c r="F27" s="214">
        <v>50.300000000000004</v>
      </c>
      <c r="G27" s="1"/>
      <c r="H27" s="1"/>
      <c r="I27" s="1"/>
      <c r="J27" s="1"/>
    </row>
    <row r="28" spans="1:10" s="190" customFormat="1" ht="31.5" customHeight="1" x14ac:dyDescent="0.2">
      <c r="A28" s="327"/>
      <c r="B28" s="319"/>
      <c r="C28" s="330"/>
      <c r="D28" s="203" t="s">
        <v>63</v>
      </c>
      <c r="E28" s="203">
        <v>10</v>
      </c>
      <c r="F28" s="214">
        <v>91.6</v>
      </c>
      <c r="G28" s="1"/>
      <c r="H28" s="1"/>
      <c r="I28" s="1"/>
      <c r="J28" s="1"/>
    </row>
    <row r="29" spans="1:10" s="190" customFormat="1" ht="31.5" customHeight="1" x14ac:dyDescent="0.2">
      <c r="A29" s="327"/>
      <c r="B29" s="319"/>
      <c r="C29" s="330"/>
      <c r="D29" s="203" t="s">
        <v>64</v>
      </c>
      <c r="E29" s="203">
        <v>10</v>
      </c>
      <c r="F29" s="214">
        <v>36.800000000000004</v>
      </c>
      <c r="G29" s="1"/>
      <c r="H29" s="1"/>
      <c r="I29" s="1"/>
      <c r="J29" s="1"/>
    </row>
    <row r="30" spans="1:10" s="190" customFormat="1" ht="24.95" customHeight="1" x14ac:dyDescent="0.2">
      <c r="A30" s="327"/>
      <c r="B30" s="319"/>
      <c r="C30" s="330"/>
      <c r="D30" s="203" t="s">
        <v>11</v>
      </c>
      <c r="E30" s="203">
        <v>2</v>
      </c>
      <c r="F30" s="214">
        <v>24.2</v>
      </c>
      <c r="G30" s="1"/>
      <c r="H30" s="1"/>
      <c r="I30" s="1"/>
      <c r="J30" s="1"/>
    </row>
    <row r="31" spans="1:10" s="190" customFormat="1" ht="24.95" customHeight="1" x14ac:dyDescent="0.2">
      <c r="A31" s="327"/>
      <c r="B31" s="319"/>
      <c r="C31" s="330"/>
      <c r="D31" s="203" t="s">
        <v>65</v>
      </c>
      <c r="E31" s="203">
        <v>1</v>
      </c>
      <c r="F31" s="214">
        <v>8.27</v>
      </c>
      <c r="G31" s="1"/>
      <c r="H31" s="1"/>
      <c r="I31" s="1"/>
      <c r="J31" s="1"/>
    </row>
    <row r="32" spans="1:10" s="190" customFormat="1" ht="24.95" customHeight="1" x14ac:dyDescent="0.2">
      <c r="A32" s="328"/>
      <c r="B32" s="315"/>
      <c r="C32" s="333"/>
      <c r="D32" s="203" t="s">
        <v>43</v>
      </c>
      <c r="E32" s="203">
        <v>0.1</v>
      </c>
      <c r="F32" s="214">
        <v>0.19</v>
      </c>
      <c r="G32" s="1"/>
      <c r="H32" s="1"/>
      <c r="I32" s="1"/>
      <c r="J32" s="1"/>
    </row>
    <row r="33" spans="1:10" s="190" customFormat="1" ht="36" customHeight="1" x14ac:dyDescent="0.2">
      <c r="A33" s="326" t="s">
        <v>40</v>
      </c>
      <c r="B33" s="314" t="s">
        <v>41</v>
      </c>
      <c r="C33" s="329" t="s">
        <v>330</v>
      </c>
      <c r="D33" s="206" t="s">
        <v>93</v>
      </c>
      <c r="E33" s="203">
        <v>29</v>
      </c>
      <c r="F33" s="214">
        <v>216.63</v>
      </c>
      <c r="G33" s="1"/>
      <c r="H33" s="1"/>
      <c r="I33" s="1"/>
      <c r="J33" s="1"/>
    </row>
    <row r="34" spans="1:10" s="190" customFormat="1" ht="24.95" customHeight="1" x14ac:dyDescent="0.2">
      <c r="A34" s="327"/>
      <c r="B34" s="319"/>
      <c r="C34" s="330"/>
      <c r="D34" s="206" t="s">
        <v>79</v>
      </c>
      <c r="E34" s="203">
        <v>10</v>
      </c>
      <c r="F34" s="214">
        <v>50.9</v>
      </c>
      <c r="G34" s="1"/>
      <c r="H34" s="1"/>
      <c r="I34" s="1"/>
      <c r="J34" s="1"/>
    </row>
    <row r="35" spans="1:10" s="190" customFormat="1" ht="24.95" customHeight="1" x14ac:dyDescent="0.2">
      <c r="A35" s="327"/>
      <c r="B35" s="319"/>
      <c r="C35" s="330"/>
      <c r="D35" s="206" t="s">
        <v>11</v>
      </c>
      <c r="E35" s="203">
        <v>2</v>
      </c>
      <c r="F35" s="214">
        <v>24.2</v>
      </c>
      <c r="G35" s="1"/>
      <c r="H35" s="1"/>
      <c r="I35" s="1"/>
      <c r="J35" s="1"/>
    </row>
    <row r="36" spans="1:10" s="190" customFormat="1" ht="31.5" customHeight="1" x14ac:dyDescent="0.2">
      <c r="A36" s="327"/>
      <c r="B36" s="319"/>
      <c r="C36" s="330"/>
      <c r="D36" s="206" t="s">
        <v>62</v>
      </c>
      <c r="E36" s="203">
        <v>10</v>
      </c>
      <c r="F36" s="214">
        <v>50.300000000000004</v>
      </c>
      <c r="G36" s="1"/>
      <c r="H36" s="1"/>
      <c r="I36" s="1"/>
      <c r="J36" s="1"/>
    </row>
    <row r="37" spans="1:10" s="190" customFormat="1" ht="24.95" customHeight="1" x14ac:dyDescent="0.2">
      <c r="A37" s="328"/>
      <c r="B37" s="315"/>
      <c r="C37" s="333"/>
      <c r="D37" s="206" t="s">
        <v>43</v>
      </c>
      <c r="E37" s="203">
        <v>0.1</v>
      </c>
      <c r="F37" s="214">
        <v>0.19</v>
      </c>
      <c r="G37" s="1"/>
      <c r="H37" s="1"/>
      <c r="I37" s="1"/>
      <c r="J37" s="1"/>
    </row>
    <row r="38" spans="1:10" s="190" customFormat="1" ht="33.75" customHeight="1" x14ac:dyDescent="0.2">
      <c r="A38" s="202" t="s">
        <v>46</v>
      </c>
      <c r="B38" s="202" t="s">
        <v>47</v>
      </c>
      <c r="C38" s="203" t="s">
        <v>67</v>
      </c>
      <c r="D38" s="203" t="s">
        <v>68</v>
      </c>
      <c r="E38" s="203">
        <v>5</v>
      </c>
      <c r="F38" s="214">
        <v>25.75</v>
      </c>
      <c r="G38" s="1"/>
      <c r="H38" s="1"/>
      <c r="I38" s="1"/>
      <c r="J38" s="1"/>
    </row>
    <row r="39" spans="1:10" s="190" customFormat="1" ht="33" customHeight="1" x14ac:dyDescent="0.2">
      <c r="A39" s="202" t="s">
        <v>49</v>
      </c>
      <c r="B39" s="202" t="s">
        <v>50</v>
      </c>
      <c r="C39" s="203" t="s">
        <v>51</v>
      </c>
      <c r="D39" s="203" t="s">
        <v>52</v>
      </c>
      <c r="E39" s="203">
        <v>5</v>
      </c>
      <c r="F39" s="214">
        <v>62.9</v>
      </c>
      <c r="G39" s="1"/>
      <c r="H39" s="1"/>
      <c r="I39" s="1"/>
      <c r="J39" s="1"/>
    </row>
    <row r="40" spans="1:10" s="190" customFormat="1" ht="24.95" customHeight="1" x14ac:dyDescent="0.2">
      <c r="A40" s="199" t="s">
        <v>53</v>
      </c>
      <c r="B40" s="316" t="s">
        <v>54</v>
      </c>
      <c r="C40" s="320"/>
      <c r="D40" s="203" t="s">
        <v>53</v>
      </c>
      <c r="E40" s="169">
        <v>150</v>
      </c>
      <c r="F40" s="214">
        <v>100.5</v>
      </c>
      <c r="G40" s="1"/>
      <c r="H40" s="1"/>
      <c r="I40" s="1"/>
      <c r="J40" s="1"/>
    </row>
    <row r="41" spans="1:10" s="190" customFormat="1" ht="19.5" customHeight="1" x14ac:dyDescent="0.2">
      <c r="A41" s="334" t="s">
        <v>331</v>
      </c>
      <c r="B41" s="335"/>
      <c r="C41" s="335"/>
      <c r="D41" s="335"/>
      <c r="E41" s="336"/>
      <c r="F41" s="213">
        <v>2840.42</v>
      </c>
      <c r="G41" s="1"/>
      <c r="H41" s="1"/>
      <c r="I41" s="1"/>
      <c r="J41" s="1"/>
    </row>
    <row r="42" spans="1:10" s="190" customFormat="1" ht="19.5" customHeight="1" x14ac:dyDescent="0.2">
      <c r="A42" s="160"/>
      <c r="B42" s="162"/>
      <c r="C42" s="162"/>
      <c r="D42" s="162"/>
      <c r="E42" s="162"/>
      <c r="F42" s="162"/>
      <c r="G42" s="1"/>
      <c r="H42" s="1"/>
      <c r="I42" s="1"/>
      <c r="J42" s="1"/>
    </row>
    <row r="43" spans="1:10" s="190" customFormat="1" ht="19.5" customHeight="1" x14ac:dyDescent="0.2">
      <c r="A43" s="166" t="s">
        <v>27</v>
      </c>
      <c r="B43" s="201">
        <v>2</v>
      </c>
      <c r="C43" s="167"/>
      <c r="D43" s="167"/>
      <c r="E43" s="167"/>
      <c r="F43" s="167"/>
      <c r="G43" s="1"/>
      <c r="H43" s="1"/>
      <c r="I43" s="1"/>
      <c r="J43" s="1"/>
    </row>
    <row r="44" spans="1:10" s="190" customFormat="1" ht="19.5" customHeight="1" x14ac:dyDescent="0.2">
      <c r="A44" s="167"/>
      <c r="B44" s="161"/>
      <c r="C44" s="167"/>
      <c r="D44" s="167"/>
      <c r="E44" s="167"/>
      <c r="F44" s="167"/>
      <c r="G44" s="1"/>
      <c r="H44" s="1"/>
      <c r="I44" s="1"/>
      <c r="J44" s="1"/>
    </row>
    <row r="45" spans="1:10" s="190" customFormat="1" ht="12.75" customHeight="1" x14ac:dyDescent="0.2">
      <c r="A45" s="313" t="s">
        <v>28</v>
      </c>
      <c r="B45" s="321" t="s">
        <v>29</v>
      </c>
      <c r="C45" s="313" t="s">
        <v>56</v>
      </c>
      <c r="D45" s="313" t="s">
        <v>31</v>
      </c>
      <c r="E45" s="313" t="s">
        <v>32</v>
      </c>
      <c r="F45" s="314" t="s">
        <v>33</v>
      </c>
      <c r="G45" s="1"/>
      <c r="H45" s="1"/>
      <c r="I45" s="1"/>
      <c r="J45" s="1"/>
    </row>
    <row r="46" spans="1:10" s="190" customFormat="1" ht="35.25" customHeight="1" x14ac:dyDescent="0.2">
      <c r="A46" s="313"/>
      <c r="B46" s="321"/>
      <c r="C46" s="313"/>
      <c r="D46" s="313"/>
      <c r="E46" s="313"/>
      <c r="F46" s="315"/>
      <c r="G46" s="1"/>
      <c r="H46" s="1"/>
      <c r="I46" s="1"/>
      <c r="J46" s="1"/>
    </row>
    <row r="47" spans="1:10" s="190" customFormat="1" ht="49.5" customHeight="1" x14ac:dyDescent="0.2">
      <c r="A47" s="313" t="s">
        <v>34</v>
      </c>
      <c r="B47" s="314" t="s">
        <v>293</v>
      </c>
      <c r="C47" s="329" t="s">
        <v>76</v>
      </c>
      <c r="D47" s="203" t="s">
        <v>245</v>
      </c>
      <c r="E47" s="203">
        <v>10</v>
      </c>
      <c r="F47" s="214">
        <v>167.7</v>
      </c>
      <c r="G47" s="1"/>
      <c r="H47" s="1"/>
      <c r="I47" s="1"/>
      <c r="J47" s="1"/>
    </row>
    <row r="48" spans="1:10" s="190" customFormat="1" ht="35.25" customHeight="1" x14ac:dyDescent="0.2">
      <c r="A48" s="313"/>
      <c r="B48" s="315"/>
      <c r="C48" s="333"/>
      <c r="D48" s="203" t="s">
        <v>38</v>
      </c>
      <c r="E48" s="203">
        <v>13</v>
      </c>
      <c r="F48" s="214">
        <v>493.61</v>
      </c>
      <c r="G48" s="1"/>
      <c r="H48" s="1"/>
      <c r="I48" s="1"/>
      <c r="J48" s="1"/>
    </row>
    <row r="49" spans="1:10" s="190" customFormat="1" ht="33" customHeight="1" x14ac:dyDescent="0.2">
      <c r="A49" s="319" t="s">
        <v>40</v>
      </c>
      <c r="B49" s="314" t="s">
        <v>41</v>
      </c>
      <c r="C49" s="329" t="s">
        <v>332</v>
      </c>
      <c r="D49" s="203" t="s">
        <v>42</v>
      </c>
      <c r="E49" s="203">
        <v>55</v>
      </c>
      <c r="F49" s="214">
        <v>273.34999999999997</v>
      </c>
      <c r="G49" s="1"/>
      <c r="H49" s="1"/>
      <c r="I49" s="1"/>
      <c r="J49" s="1"/>
    </row>
    <row r="50" spans="1:10" s="190" customFormat="1" ht="24.95" customHeight="1" x14ac:dyDescent="0.2">
      <c r="A50" s="319"/>
      <c r="B50" s="315"/>
      <c r="C50" s="333"/>
      <c r="D50" s="203" t="s">
        <v>43</v>
      </c>
      <c r="E50" s="203">
        <v>0.1</v>
      </c>
      <c r="F50" s="214">
        <v>0.19</v>
      </c>
      <c r="G50" s="1"/>
      <c r="H50" s="1"/>
      <c r="I50" s="1"/>
      <c r="J50" s="1"/>
    </row>
    <row r="51" spans="1:10" s="190" customFormat="1" ht="31.5" customHeight="1" x14ac:dyDescent="0.2">
      <c r="A51" s="202" t="s">
        <v>44</v>
      </c>
      <c r="B51" s="202" t="s">
        <v>45</v>
      </c>
      <c r="C51" s="197" t="s">
        <v>82</v>
      </c>
      <c r="D51" s="203" t="s">
        <v>83</v>
      </c>
      <c r="E51" s="203">
        <v>158</v>
      </c>
      <c r="F51" s="214">
        <v>368.14</v>
      </c>
      <c r="G51" s="1"/>
      <c r="H51" s="1"/>
      <c r="I51" s="1"/>
      <c r="J51" s="1"/>
    </row>
    <row r="52" spans="1:10" s="190" customFormat="1" ht="36" customHeight="1" x14ac:dyDescent="0.2">
      <c r="A52" s="202" t="s">
        <v>46</v>
      </c>
      <c r="B52" s="202" t="s">
        <v>47</v>
      </c>
      <c r="C52" s="203" t="s">
        <v>67</v>
      </c>
      <c r="D52" s="203" t="s">
        <v>68</v>
      </c>
      <c r="E52" s="203">
        <v>5</v>
      </c>
      <c r="F52" s="214">
        <v>25.75</v>
      </c>
      <c r="G52" s="1"/>
      <c r="H52" s="1"/>
      <c r="I52" s="1"/>
      <c r="J52" s="1"/>
    </row>
    <row r="53" spans="1:10" s="190" customFormat="1" ht="30" customHeight="1" x14ac:dyDescent="0.2">
      <c r="A53" s="202" t="s">
        <v>49</v>
      </c>
      <c r="B53" s="202" t="s">
        <v>50</v>
      </c>
      <c r="C53" s="203" t="s">
        <v>51</v>
      </c>
      <c r="D53" s="203" t="s">
        <v>52</v>
      </c>
      <c r="E53" s="203">
        <v>7</v>
      </c>
      <c r="F53" s="214">
        <v>88.06</v>
      </c>
      <c r="G53" s="1"/>
      <c r="H53" s="1"/>
      <c r="I53" s="1"/>
      <c r="J53" s="1"/>
    </row>
    <row r="54" spans="1:10" ht="24.95" customHeight="1" x14ac:dyDescent="0.2">
      <c r="A54" s="199" t="s">
        <v>53</v>
      </c>
      <c r="B54" s="316" t="s">
        <v>54</v>
      </c>
      <c r="C54" s="320"/>
      <c r="D54" s="203" t="s">
        <v>53</v>
      </c>
      <c r="E54" s="203">
        <v>150</v>
      </c>
      <c r="F54" s="214">
        <v>100.5</v>
      </c>
    </row>
    <row r="55" spans="1:10" ht="19.5" customHeight="1" x14ac:dyDescent="0.2">
      <c r="A55" s="334" t="s">
        <v>331</v>
      </c>
      <c r="B55" s="335"/>
      <c r="C55" s="335"/>
      <c r="D55" s="335"/>
      <c r="E55" s="336"/>
      <c r="F55" s="213">
        <v>1517.3</v>
      </c>
    </row>
    <row r="56" spans="1:10" s="2" customFormat="1" ht="19.5" customHeight="1" x14ac:dyDescent="0.25">
      <c r="A56" s="160"/>
      <c r="B56" s="162"/>
      <c r="C56" s="162"/>
      <c r="D56" s="162"/>
      <c r="E56" s="162"/>
      <c r="F56" s="162"/>
    </row>
    <row r="57" spans="1:10" s="2" customFormat="1" ht="19.5" customHeight="1" x14ac:dyDescent="0.25">
      <c r="A57" s="219" t="s">
        <v>27</v>
      </c>
      <c r="B57" s="199">
        <v>3</v>
      </c>
      <c r="C57" s="167"/>
      <c r="D57" s="167"/>
      <c r="E57" s="167"/>
      <c r="F57" s="167"/>
    </row>
    <row r="58" spans="1:10" s="2" customFormat="1" ht="19.5" customHeight="1" x14ac:dyDescent="0.25">
      <c r="A58" s="167"/>
      <c r="B58" s="161"/>
      <c r="C58" s="167"/>
      <c r="D58" s="167"/>
      <c r="E58" s="167"/>
      <c r="F58" s="167"/>
    </row>
    <row r="59" spans="1:10" ht="12.75" customHeight="1" x14ac:dyDescent="0.2">
      <c r="A59" s="313" t="s">
        <v>28</v>
      </c>
      <c r="B59" s="321" t="s">
        <v>29</v>
      </c>
      <c r="C59" s="313" t="s">
        <v>56</v>
      </c>
      <c r="D59" s="313" t="s">
        <v>31</v>
      </c>
      <c r="E59" s="313" t="s">
        <v>32</v>
      </c>
      <c r="F59" s="314" t="s">
        <v>33</v>
      </c>
    </row>
    <row r="60" spans="1:10" ht="35.25" customHeight="1" x14ac:dyDescent="0.2">
      <c r="A60" s="313"/>
      <c r="B60" s="321"/>
      <c r="C60" s="313"/>
      <c r="D60" s="313"/>
      <c r="E60" s="313"/>
      <c r="F60" s="315"/>
    </row>
    <row r="61" spans="1:10" ht="33.75" customHeight="1" x14ac:dyDescent="0.2">
      <c r="A61" s="314" t="s">
        <v>34</v>
      </c>
      <c r="B61" s="195" t="s">
        <v>57</v>
      </c>
      <c r="C61" s="329" t="s">
        <v>276</v>
      </c>
      <c r="D61" s="203" t="s">
        <v>73</v>
      </c>
      <c r="E61" s="203">
        <v>10</v>
      </c>
      <c r="F61" s="214">
        <v>363</v>
      </c>
    </row>
    <row r="62" spans="1:10" ht="31.5" customHeight="1" x14ac:dyDescent="0.2">
      <c r="A62" s="319"/>
      <c r="B62" s="319" t="s">
        <v>37</v>
      </c>
      <c r="C62" s="330"/>
      <c r="D62" s="203" t="s">
        <v>38</v>
      </c>
      <c r="E62" s="203">
        <v>13</v>
      </c>
      <c r="F62" s="214">
        <v>493.61</v>
      </c>
    </row>
    <row r="63" spans="1:10" ht="31.5" customHeight="1" x14ac:dyDescent="0.2">
      <c r="A63" s="315"/>
      <c r="B63" s="315"/>
      <c r="C63" s="333"/>
      <c r="D63" s="203" t="s">
        <v>39</v>
      </c>
      <c r="E63" s="203">
        <v>2</v>
      </c>
      <c r="F63" s="214">
        <v>176.46</v>
      </c>
    </row>
    <row r="64" spans="1:10" ht="30.75" customHeight="1" x14ac:dyDescent="0.2">
      <c r="A64" s="314" t="s">
        <v>277</v>
      </c>
      <c r="B64" s="314" t="s">
        <v>60</v>
      </c>
      <c r="C64" s="329" t="s">
        <v>447</v>
      </c>
      <c r="D64" s="203" t="s">
        <v>74</v>
      </c>
      <c r="E64" s="203">
        <v>70</v>
      </c>
      <c r="F64" s="214">
        <v>2118.9</v>
      </c>
    </row>
    <row r="65" spans="1:6" ht="30.75" customHeight="1" x14ac:dyDescent="0.2">
      <c r="A65" s="319"/>
      <c r="B65" s="319"/>
      <c r="C65" s="330"/>
      <c r="D65" s="203" t="s">
        <v>62</v>
      </c>
      <c r="E65" s="203">
        <v>10</v>
      </c>
      <c r="F65" s="214">
        <v>50.300000000000004</v>
      </c>
    </row>
    <row r="66" spans="1:6" ht="34.5" customHeight="1" x14ac:dyDescent="0.2">
      <c r="A66" s="319"/>
      <c r="B66" s="319"/>
      <c r="C66" s="330"/>
      <c r="D66" s="203" t="s">
        <v>104</v>
      </c>
      <c r="E66" s="203">
        <v>10</v>
      </c>
      <c r="F66" s="214">
        <v>24.6</v>
      </c>
    </row>
    <row r="67" spans="1:6" ht="24.95" customHeight="1" x14ac:dyDescent="0.2">
      <c r="A67" s="319"/>
      <c r="B67" s="319"/>
      <c r="C67" s="330"/>
      <c r="D67" s="170" t="s">
        <v>11</v>
      </c>
      <c r="E67" s="203">
        <v>2</v>
      </c>
      <c r="F67" s="214">
        <v>24.2</v>
      </c>
    </row>
    <row r="68" spans="1:6" ht="32.25" customHeight="1" x14ac:dyDescent="0.2">
      <c r="A68" s="319"/>
      <c r="B68" s="319"/>
      <c r="C68" s="330"/>
      <c r="D68" s="203" t="s">
        <v>63</v>
      </c>
      <c r="E68" s="203">
        <v>10</v>
      </c>
      <c r="F68" s="214">
        <v>91.6</v>
      </c>
    </row>
    <row r="69" spans="1:6" ht="35.25" customHeight="1" x14ac:dyDescent="0.2">
      <c r="A69" s="319"/>
      <c r="B69" s="319"/>
      <c r="C69" s="330"/>
      <c r="D69" s="203" t="s">
        <v>64</v>
      </c>
      <c r="E69" s="203">
        <v>10</v>
      </c>
      <c r="F69" s="214">
        <v>36.800000000000004</v>
      </c>
    </row>
    <row r="70" spans="1:6" ht="24.95" customHeight="1" x14ac:dyDescent="0.2">
      <c r="A70" s="319"/>
      <c r="B70" s="319"/>
      <c r="C70" s="330"/>
      <c r="D70" s="170" t="s">
        <v>65</v>
      </c>
      <c r="E70" s="203">
        <v>1</v>
      </c>
      <c r="F70" s="214">
        <v>8.27</v>
      </c>
    </row>
    <row r="71" spans="1:6" ht="24.95" customHeight="1" x14ac:dyDescent="0.2">
      <c r="A71" s="315"/>
      <c r="B71" s="315"/>
      <c r="C71" s="333"/>
      <c r="D71" s="203" t="s">
        <v>43</v>
      </c>
      <c r="E71" s="203">
        <v>0.1</v>
      </c>
      <c r="F71" s="214">
        <v>0.19</v>
      </c>
    </row>
    <row r="72" spans="1:6" ht="32.25" customHeight="1" x14ac:dyDescent="0.2">
      <c r="A72" s="326" t="s">
        <v>40</v>
      </c>
      <c r="B72" s="314" t="s">
        <v>41</v>
      </c>
      <c r="C72" s="329" t="s">
        <v>90</v>
      </c>
      <c r="D72" s="203" t="s">
        <v>36</v>
      </c>
      <c r="E72" s="203">
        <v>28.05</v>
      </c>
      <c r="F72" s="214">
        <v>127.90799999999999</v>
      </c>
    </row>
    <row r="73" spans="1:6" ht="30" customHeight="1" x14ac:dyDescent="0.2">
      <c r="A73" s="327"/>
      <c r="B73" s="319"/>
      <c r="C73" s="330"/>
      <c r="D73" s="203" t="s">
        <v>62</v>
      </c>
      <c r="E73" s="203">
        <v>10</v>
      </c>
      <c r="F73" s="214">
        <v>50.300000000000004</v>
      </c>
    </row>
    <row r="74" spans="1:6" ht="24.95" customHeight="1" x14ac:dyDescent="0.2">
      <c r="A74" s="327"/>
      <c r="B74" s="319"/>
      <c r="C74" s="330"/>
      <c r="D74" s="203" t="s">
        <v>11</v>
      </c>
      <c r="E74" s="203">
        <v>2</v>
      </c>
      <c r="F74" s="214">
        <v>24.2</v>
      </c>
    </row>
    <row r="75" spans="1:6" ht="24.95" customHeight="1" x14ac:dyDescent="0.2">
      <c r="A75" s="328"/>
      <c r="B75" s="315"/>
      <c r="C75" s="333"/>
      <c r="D75" s="203" t="s">
        <v>43</v>
      </c>
      <c r="E75" s="203">
        <v>0.1</v>
      </c>
      <c r="F75" s="214">
        <v>0.19</v>
      </c>
    </row>
    <row r="76" spans="1:6" ht="30.75" customHeight="1" x14ac:dyDescent="0.2">
      <c r="A76" s="202" t="s">
        <v>46</v>
      </c>
      <c r="B76" s="202" t="s">
        <v>47</v>
      </c>
      <c r="C76" s="203" t="s">
        <v>67</v>
      </c>
      <c r="D76" s="203" t="s">
        <v>68</v>
      </c>
      <c r="E76" s="203">
        <v>5</v>
      </c>
      <c r="F76" s="214">
        <v>25.75</v>
      </c>
    </row>
    <row r="77" spans="1:6" ht="30" customHeight="1" x14ac:dyDescent="0.2">
      <c r="A77" s="202" t="s">
        <v>49</v>
      </c>
      <c r="B77" s="202" t="s">
        <v>50</v>
      </c>
      <c r="C77" s="203" t="s">
        <v>51</v>
      </c>
      <c r="D77" s="203" t="s">
        <v>52</v>
      </c>
      <c r="E77" s="203">
        <v>3</v>
      </c>
      <c r="F77" s="214">
        <v>37.74</v>
      </c>
    </row>
    <row r="78" spans="1:6" ht="24.95" customHeight="1" x14ac:dyDescent="0.2">
      <c r="A78" s="199" t="s">
        <v>53</v>
      </c>
      <c r="B78" s="316" t="s">
        <v>54</v>
      </c>
      <c r="C78" s="320"/>
      <c r="D78" s="203" t="s">
        <v>53</v>
      </c>
      <c r="E78" s="203">
        <v>150</v>
      </c>
      <c r="F78" s="214">
        <v>100.5</v>
      </c>
    </row>
    <row r="79" spans="1:6" ht="18" customHeight="1" x14ac:dyDescent="0.25">
      <c r="A79" s="334" t="s">
        <v>331</v>
      </c>
      <c r="B79" s="335"/>
      <c r="C79" s="335"/>
      <c r="D79" s="335"/>
      <c r="E79" s="336"/>
      <c r="F79" s="220">
        <v>3754.52</v>
      </c>
    </row>
    <row r="80" spans="1:6" s="2" customFormat="1" ht="19.5" customHeight="1" x14ac:dyDescent="0.25">
      <c r="A80" s="160"/>
      <c r="B80" s="162"/>
      <c r="C80" s="162"/>
      <c r="D80" s="162"/>
      <c r="E80" s="162"/>
      <c r="F80" s="162"/>
    </row>
    <row r="81" spans="1:6" ht="19.5" customHeight="1" x14ac:dyDescent="0.2">
      <c r="A81" s="166" t="s">
        <v>27</v>
      </c>
      <c r="B81" s="201">
        <v>4</v>
      </c>
      <c r="C81" s="167"/>
      <c r="D81" s="167"/>
      <c r="E81" s="167"/>
      <c r="F81" s="167"/>
    </row>
    <row r="82" spans="1:6" ht="19.5" customHeight="1" x14ac:dyDescent="0.2">
      <c r="A82" s="160"/>
      <c r="B82" s="162"/>
      <c r="C82" s="162"/>
      <c r="D82" s="162"/>
      <c r="E82" s="162"/>
      <c r="F82" s="162"/>
    </row>
    <row r="83" spans="1:6" ht="12.75" customHeight="1" x14ac:dyDescent="0.2">
      <c r="A83" s="313" t="s">
        <v>28</v>
      </c>
      <c r="B83" s="321" t="s">
        <v>29</v>
      </c>
      <c r="C83" s="313" t="s">
        <v>56</v>
      </c>
      <c r="D83" s="313" t="s">
        <v>31</v>
      </c>
      <c r="E83" s="313" t="s">
        <v>32</v>
      </c>
      <c r="F83" s="314" t="s">
        <v>33</v>
      </c>
    </row>
    <row r="84" spans="1:6" ht="35.25" customHeight="1" x14ac:dyDescent="0.2">
      <c r="A84" s="313"/>
      <c r="B84" s="322"/>
      <c r="C84" s="313"/>
      <c r="D84" s="313"/>
      <c r="E84" s="313"/>
      <c r="F84" s="315"/>
    </row>
    <row r="85" spans="1:6" ht="32.25" customHeight="1" x14ac:dyDescent="0.2">
      <c r="A85" s="345" t="s">
        <v>34</v>
      </c>
      <c r="B85" s="195" t="s">
        <v>57</v>
      </c>
      <c r="C85" s="317" t="s">
        <v>296</v>
      </c>
      <c r="D85" s="203" t="s">
        <v>69</v>
      </c>
      <c r="E85" s="203">
        <v>10</v>
      </c>
      <c r="F85" s="214">
        <v>44</v>
      </c>
    </row>
    <row r="86" spans="1:6" ht="36" customHeight="1" x14ac:dyDescent="0.2">
      <c r="A86" s="346"/>
      <c r="B86" s="319" t="s">
        <v>37</v>
      </c>
      <c r="C86" s="318"/>
      <c r="D86" s="203" t="s">
        <v>38</v>
      </c>
      <c r="E86" s="203">
        <v>13</v>
      </c>
      <c r="F86" s="214">
        <v>493.61</v>
      </c>
    </row>
    <row r="87" spans="1:6" ht="36" customHeight="1" x14ac:dyDescent="0.2">
      <c r="A87" s="346"/>
      <c r="B87" s="315"/>
      <c r="C87" s="340"/>
      <c r="D87" s="203" t="s">
        <v>39</v>
      </c>
      <c r="E87" s="203">
        <v>2</v>
      </c>
      <c r="F87" s="214">
        <v>176.46</v>
      </c>
    </row>
    <row r="88" spans="1:6" ht="36" customHeight="1" x14ac:dyDescent="0.2">
      <c r="A88" s="202" t="s">
        <v>40</v>
      </c>
      <c r="B88" s="217" t="s">
        <v>41</v>
      </c>
      <c r="C88" s="206" t="s">
        <v>428</v>
      </c>
      <c r="D88" s="206" t="s">
        <v>408</v>
      </c>
      <c r="E88" s="203">
        <v>50</v>
      </c>
      <c r="F88" s="214">
        <v>850</v>
      </c>
    </row>
    <row r="89" spans="1:6" ht="36" customHeight="1" x14ac:dyDescent="0.2">
      <c r="A89" s="202" t="s">
        <v>44</v>
      </c>
      <c r="B89" s="202" t="s">
        <v>45</v>
      </c>
      <c r="C89" s="197" t="s">
        <v>15</v>
      </c>
      <c r="D89" s="203" t="s">
        <v>111</v>
      </c>
      <c r="E89" s="203">
        <v>130</v>
      </c>
      <c r="F89" s="214">
        <v>1671.8</v>
      </c>
    </row>
    <row r="90" spans="1:6" ht="30" customHeight="1" x14ac:dyDescent="0.2">
      <c r="A90" s="202" t="s">
        <v>46</v>
      </c>
      <c r="B90" s="202" t="s">
        <v>47</v>
      </c>
      <c r="C90" s="203" t="s">
        <v>67</v>
      </c>
      <c r="D90" s="203" t="s">
        <v>68</v>
      </c>
      <c r="E90" s="203">
        <v>5</v>
      </c>
      <c r="F90" s="214">
        <v>25.75</v>
      </c>
    </row>
    <row r="91" spans="1:6" ht="24.95" customHeight="1" x14ac:dyDescent="0.2">
      <c r="A91" s="199" t="s">
        <v>53</v>
      </c>
      <c r="B91" s="316" t="s">
        <v>54</v>
      </c>
      <c r="C91" s="320"/>
      <c r="D91" s="203" t="s">
        <v>53</v>
      </c>
      <c r="E91" s="203">
        <v>150</v>
      </c>
      <c r="F91" s="214">
        <v>100.5</v>
      </c>
    </row>
    <row r="92" spans="1:6" ht="19.5" customHeight="1" x14ac:dyDescent="0.2">
      <c r="A92" s="334" t="s">
        <v>331</v>
      </c>
      <c r="B92" s="335"/>
      <c r="C92" s="335"/>
      <c r="D92" s="335"/>
      <c r="E92" s="336"/>
      <c r="F92" s="213">
        <v>3362.12</v>
      </c>
    </row>
    <row r="93" spans="1:6" s="2" customFormat="1" ht="19.5" customHeight="1" x14ac:dyDescent="0.25">
      <c r="A93" s="160"/>
      <c r="B93" s="162"/>
      <c r="C93" s="162"/>
      <c r="D93" s="162"/>
      <c r="E93" s="162"/>
      <c r="F93" s="162"/>
    </row>
    <row r="94" spans="1:6" ht="19.5" customHeight="1" x14ac:dyDescent="0.2">
      <c r="A94" s="166" t="s">
        <v>27</v>
      </c>
      <c r="B94" s="201">
        <v>5</v>
      </c>
      <c r="C94" s="167"/>
      <c r="D94" s="167"/>
      <c r="E94" s="167"/>
      <c r="F94" s="167"/>
    </row>
    <row r="95" spans="1:6" ht="19.5" customHeight="1" x14ac:dyDescent="0.2">
      <c r="A95" s="167"/>
      <c r="B95" s="161"/>
      <c r="C95" s="167"/>
      <c r="D95" s="167"/>
      <c r="E95" s="167"/>
      <c r="F95" s="167"/>
    </row>
    <row r="96" spans="1:6" ht="12.75" customHeight="1" x14ac:dyDescent="0.2">
      <c r="A96" s="313" t="s">
        <v>28</v>
      </c>
      <c r="B96" s="321" t="s">
        <v>29</v>
      </c>
      <c r="C96" s="313" t="s">
        <v>56</v>
      </c>
      <c r="D96" s="313" t="s">
        <v>31</v>
      </c>
      <c r="E96" s="313" t="s">
        <v>32</v>
      </c>
      <c r="F96" s="314" t="s">
        <v>33</v>
      </c>
    </row>
    <row r="97" spans="1:6" ht="35.25" customHeight="1" x14ac:dyDescent="0.2">
      <c r="A97" s="313"/>
      <c r="B97" s="322"/>
      <c r="C97" s="313"/>
      <c r="D97" s="313"/>
      <c r="E97" s="313"/>
      <c r="F97" s="315"/>
    </row>
    <row r="98" spans="1:6" ht="32.25" customHeight="1" x14ac:dyDescent="0.2">
      <c r="A98" s="337" t="s">
        <v>34</v>
      </c>
      <c r="B98" s="195" t="s">
        <v>57</v>
      </c>
      <c r="C98" s="317" t="s">
        <v>86</v>
      </c>
      <c r="D98" s="203" t="s">
        <v>36</v>
      </c>
      <c r="E98" s="203">
        <v>10</v>
      </c>
      <c r="F98" s="214">
        <v>45.599999999999994</v>
      </c>
    </row>
    <row r="99" spans="1:6" ht="32.25" customHeight="1" x14ac:dyDescent="0.2">
      <c r="A99" s="338"/>
      <c r="B99" s="319" t="s">
        <v>37</v>
      </c>
      <c r="C99" s="318"/>
      <c r="D99" s="203" t="s">
        <v>38</v>
      </c>
      <c r="E99" s="203">
        <v>13</v>
      </c>
      <c r="F99" s="214">
        <v>493.61</v>
      </c>
    </row>
    <row r="100" spans="1:6" ht="32.25" customHeight="1" x14ac:dyDescent="0.2">
      <c r="A100" s="339"/>
      <c r="B100" s="315"/>
      <c r="C100" s="340"/>
      <c r="D100" s="203" t="s">
        <v>39</v>
      </c>
      <c r="E100" s="203">
        <v>2</v>
      </c>
      <c r="F100" s="214">
        <v>176.46</v>
      </c>
    </row>
    <row r="101" spans="1:6" ht="31.5" customHeight="1" x14ac:dyDescent="0.2">
      <c r="A101" s="326" t="s">
        <v>277</v>
      </c>
      <c r="B101" s="319" t="s">
        <v>60</v>
      </c>
      <c r="C101" s="331" t="s">
        <v>333</v>
      </c>
      <c r="D101" s="203" t="s">
        <v>70</v>
      </c>
      <c r="E101" s="203">
        <v>55</v>
      </c>
      <c r="F101" s="214">
        <v>593.44999999999993</v>
      </c>
    </row>
    <row r="102" spans="1:6" ht="24.95" customHeight="1" x14ac:dyDescent="0.2">
      <c r="A102" s="327"/>
      <c r="B102" s="315"/>
      <c r="C102" s="344"/>
      <c r="D102" s="203" t="s">
        <v>43</v>
      </c>
      <c r="E102" s="203">
        <v>0.1</v>
      </c>
      <c r="F102" s="214">
        <v>0.19</v>
      </c>
    </row>
    <row r="103" spans="1:6" ht="33" customHeight="1" x14ac:dyDescent="0.2">
      <c r="A103" s="328"/>
      <c r="B103" s="202" t="s">
        <v>45</v>
      </c>
      <c r="C103" s="332"/>
      <c r="D103" s="206" t="s">
        <v>378</v>
      </c>
      <c r="E103" s="203">
        <v>20</v>
      </c>
      <c r="F103" s="214">
        <v>81.400000000000006</v>
      </c>
    </row>
    <row r="104" spans="1:6" ht="34.5" customHeight="1" x14ac:dyDescent="0.2">
      <c r="A104" s="326" t="s">
        <v>40</v>
      </c>
      <c r="B104" s="314" t="s">
        <v>41</v>
      </c>
      <c r="C104" s="329" t="s">
        <v>334</v>
      </c>
      <c r="D104" s="203" t="s">
        <v>42</v>
      </c>
      <c r="E104" s="203">
        <v>55</v>
      </c>
      <c r="F104" s="214">
        <v>273.34999999999997</v>
      </c>
    </row>
    <row r="105" spans="1:6" ht="24.95" customHeight="1" x14ac:dyDescent="0.2">
      <c r="A105" s="328"/>
      <c r="B105" s="315"/>
      <c r="C105" s="333"/>
      <c r="D105" s="203" t="s">
        <v>43</v>
      </c>
      <c r="E105" s="203">
        <v>0.1</v>
      </c>
      <c r="F105" s="214">
        <v>0.19</v>
      </c>
    </row>
    <row r="106" spans="1:6" ht="34.5" customHeight="1" x14ac:dyDescent="0.2">
      <c r="A106" s="202" t="s">
        <v>46</v>
      </c>
      <c r="B106" s="202" t="s">
        <v>47</v>
      </c>
      <c r="C106" s="203" t="s">
        <v>48</v>
      </c>
      <c r="D106" s="203" t="s">
        <v>13</v>
      </c>
      <c r="E106" s="203">
        <v>7</v>
      </c>
      <c r="F106" s="214">
        <v>41.09</v>
      </c>
    </row>
    <row r="107" spans="1:6" ht="30" customHeight="1" x14ac:dyDescent="0.2">
      <c r="A107" s="202" t="s">
        <v>49</v>
      </c>
      <c r="B107" s="202" t="s">
        <v>50</v>
      </c>
      <c r="C107" s="203" t="s">
        <v>51</v>
      </c>
      <c r="D107" s="203" t="s">
        <v>52</v>
      </c>
      <c r="E107" s="203">
        <v>5</v>
      </c>
      <c r="F107" s="214">
        <v>62.9</v>
      </c>
    </row>
    <row r="108" spans="1:6" ht="24.95" customHeight="1" x14ac:dyDescent="0.2">
      <c r="A108" s="199" t="s">
        <v>53</v>
      </c>
      <c r="B108" s="316" t="s">
        <v>54</v>
      </c>
      <c r="C108" s="320"/>
      <c r="D108" s="203" t="s">
        <v>53</v>
      </c>
      <c r="E108" s="203">
        <v>150</v>
      </c>
      <c r="F108" s="214">
        <v>100.5</v>
      </c>
    </row>
    <row r="109" spans="1:6" ht="20.100000000000001" customHeight="1" x14ac:dyDescent="0.2">
      <c r="A109" s="334" t="s">
        <v>331</v>
      </c>
      <c r="B109" s="335"/>
      <c r="C109" s="335"/>
      <c r="D109" s="335"/>
      <c r="E109" s="336"/>
      <c r="F109" s="213">
        <v>1868.74</v>
      </c>
    </row>
    <row r="110" spans="1:6" s="2" customFormat="1" ht="19.5" customHeight="1" x14ac:dyDescent="0.25">
      <c r="A110" s="160"/>
      <c r="B110" s="162"/>
      <c r="C110" s="162"/>
      <c r="D110" s="162"/>
      <c r="E110" s="162"/>
      <c r="F110" s="162"/>
    </row>
    <row r="111" spans="1:6" ht="19.5" customHeight="1" x14ac:dyDescent="0.2">
      <c r="A111" s="166" t="s">
        <v>27</v>
      </c>
      <c r="B111" s="201">
        <v>6</v>
      </c>
      <c r="C111" s="167"/>
      <c r="D111" s="167"/>
      <c r="E111" s="167"/>
      <c r="F111" s="167"/>
    </row>
    <row r="112" spans="1:6" ht="19.5" customHeight="1" x14ac:dyDescent="0.2">
      <c r="A112" s="167"/>
      <c r="B112" s="161"/>
      <c r="C112" s="167"/>
      <c r="D112" s="167"/>
      <c r="E112" s="167"/>
      <c r="F112" s="167"/>
    </row>
    <row r="113" spans="1:6" ht="12.75" customHeight="1" x14ac:dyDescent="0.2">
      <c r="A113" s="313" t="s">
        <v>28</v>
      </c>
      <c r="B113" s="321" t="s">
        <v>29</v>
      </c>
      <c r="C113" s="313" t="s">
        <v>56</v>
      </c>
      <c r="D113" s="313" t="s">
        <v>31</v>
      </c>
      <c r="E113" s="313" t="s">
        <v>32</v>
      </c>
      <c r="F113" s="314" t="s">
        <v>33</v>
      </c>
    </row>
    <row r="114" spans="1:6" ht="35.25" customHeight="1" x14ac:dyDescent="0.2">
      <c r="A114" s="313"/>
      <c r="B114" s="321"/>
      <c r="C114" s="313"/>
      <c r="D114" s="313"/>
      <c r="E114" s="313"/>
      <c r="F114" s="315"/>
    </row>
    <row r="115" spans="1:6" ht="33" customHeight="1" x14ac:dyDescent="0.2">
      <c r="A115" s="314" t="s">
        <v>34</v>
      </c>
      <c r="B115" s="195" t="s">
        <v>57</v>
      </c>
      <c r="C115" s="329" t="s">
        <v>275</v>
      </c>
      <c r="D115" s="203" t="s">
        <v>58</v>
      </c>
      <c r="E115" s="203">
        <v>10</v>
      </c>
      <c r="F115" s="214">
        <v>86</v>
      </c>
    </row>
    <row r="116" spans="1:6" ht="34.5" customHeight="1" x14ac:dyDescent="0.2">
      <c r="A116" s="319"/>
      <c r="B116" s="319" t="s">
        <v>37</v>
      </c>
      <c r="C116" s="330"/>
      <c r="D116" s="203" t="s">
        <v>38</v>
      </c>
      <c r="E116" s="203">
        <v>13</v>
      </c>
      <c r="F116" s="214">
        <v>493.61</v>
      </c>
    </row>
    <row r="117" spans="1:6" ht="34.5" customHeight="1" x14ac:dyDescent="0.2">
      <c r="A117" s="208"/>
      <c r="B117" s="315"/>
      <c r="C117" s="330"/>
      <c r="D117" s="203" t="s">
        <v>39</v>
      </c>
      <c r="E117" s="203">
        <v>2</v>
      </c>
      <c r="F117" s="214">
        <v>176.46</v>
      </c>
    </row>
    <row r="118" spans="1:6" ht="30" customHeight="1" x14ac:dyDescent="0.2">
      <c r="A118" s="326" t="s">
        <v>277</v>
      </c>
      <c r="B118" s="314" t="s">
        <v>60</v>
      </c>
      <c r="C118" s="329" t="s">
        <v>449</v>
      </c>
      <c r="D118" s="203" t="s">
        <v>70</v>
      </c>
      <c r="E118" s="203">
        <v>55</v>
      </c>
      <c r="F118" s="214">
        <v>593.44999999999993</v>
      </c>
    </row>
    <row r="119" spans="1:6" ht="30" customHeight="1" x14ac:dyDescent="0.2">
      <c r="A119" s="327"/>
      <c r="B119" s="319"/>
      <c r="C119" s="330"/>
      <c r="D119" s="203" t="s">
        <v>62</v>
      </c>
      <c r="E119" s="203">
        <v>10</v>
      </c>
      <c r="F119" s="214">
        <v>50.300000000000004</v>
      </c>
    </row>
    <row r="120" spans="1:6" ht="30" customHeight="1" x14ac:dyDescent="0.2">
      <c r="A120" s="327"/>
      <c r="B120" s="319"/>
      <c r="C120" s="330"/>
      <c r="D120" s="203" t="s">
        <v>79</v>
      </c>
      <c r="E120" s="203">
        <v>10</v>
      </c>
      <c r="F120" s="214">
        <v>50.9</v>
      </c>
    </row>
    <row r="121" spans="1:6" ht="24.95" customHeight="1" x14ac:dyDescent="0.2">
      <c r="A121" s="328"/>
      <c r="B121" s="315"/>
      <c r="C121" s="333"/>
      <c r="D121" s="203" t="s">
        <v>43</v>
      </c>
      <c r="E121" s="203">
        <v>0.1</v>
      </c>
      <c r="F121" s="214">
        <v>0.19</v>
      </c>
    </row>
    <row r="122" spans="1:6" ht="29.25" customHeight="1" x14ac:dyDescent="0.2">
      <c r="A122" s="326" t="s">
        <v>40</v>
      </c>
      <c r="B122" s="314" t="s">
        <v>41</v>
      </c>
      <c r="C122" s="329" t="s">
        <v>91</v>
      </c>
      <c r="D122" s="203" t="s">
        <v>92</v>
      </c>
      <c r="E122" s="203">
        <v>75</v>
      </c>
      <c r="F122" s="214">
        <v>185.25000000000003</v>
      </c>
    </row>
    <row r="123" spans="1:6" ht="24.95" customHeight="1" x14ac:dyDescent="0.2">
      <c r="A123" s="328"/>
      <c r="B123" s="315"/>
      <c r="C123" s="333"/>
      <c r="D123" s="203" t="s">
        <v>43</v>
      </c>
      <c r="E123" s="203">
        <v>0.1</v>
      </c>
      <c r="F123" s="214">
        <v>0.19</v>
      </c>
    </row>
    <row r="124" spans="1:6" ht="32.25" customHeight="1" x14ac:dyDescent="0.2">
      <c r="A124" s="202" t="s">
        <v>46</v>
      </c>
      <c r="B124" s="202" t="s">
        <v>47</v>
      </c>
      <c r="C124" s="203" t="s">
        <v>67</v>
      </c>
      <c r="D124" s="203" t="s">
        <v>68</v>
      </c>
      <c r="E124" s="203">
        <v>5</v>
      </c>
      <c r="F124" s="214">
        <v>25.75</v>
      </c>
    </row>
    <row r="125" spans="1:6" ht="33" customHeight="1" x14ac:dyDescent="0.2">
      <c r="A125" s="202" t="s">
        <v>49</v>
      </c>
      <c r="B125" s="202" t="s">
        <v>50</v>
      </c>
      <c r="C125" s="203" t="s">
        <v>51</v>
      </c>
      <c r="D125" s="203" t="s">
        <v>52</v>
      </c>
      <c r="E125" s="203">
        <v>8</v>
      </c>
      <c r="F125" s="214">
        <v>100.64</v>
      </c>
    </row>
    <row r="126" spans="1:6" ht="24.95" customHeight="1" x14ac:dyDescent="0.2">
      <c r="A126" s="199" t="s">
        <v>53</v>
      </c>
      <c r="B126" s="316" t="s">
        <v>54</v>
      </c>
      <c r="C126" s="320"/>
      <c r="D126" s="203" t="s">
        <v>53</v>
      </c>
      <c r="E126" s="203">
        <v>150</v>
      </c>
      <c r="F126" s="214">
        <v>100.5</v>
      </c>
    </row>
    <row r="127" spans="1:6" ht="19.5" customHeight="1" x14ac:dyDescent="0.2">
      <c r="A127" s="334" t="s">
        <v>331</v>
      </c>
      <c r="B127" s="335"/>
      <c r="C127" s="335"/>
      <c r="D127" s="335"/>
      <c r="E127" s="336"/>
      <c r="F127" s="213">
        <v>1863.24</v>
      </c>
    </row>
    <row r="128" spans="1:6" s="2" customFormat="1" ht="19.5" customHeight="1" x14ac:dyDescent="0.25">
      <c r="A128" s="160"/>
      <c r="B128" s="162"/>
      <c r="C128" s="162"/>
      <c r="D128" s="162"/>
      <c r="E128" s="162"/>
      <c r="F128" s="162"/>
    </row>
    <row r="129" spans="1:6" ht="19.5" customHeight="1" x14ac:dyDescent="0.2">
      <c r="A129" s="166" t="s">
        <v>27</v>
      </c>
      <c r="B129" s="201">
        <v>7</v>
      </c>
      <c r="C129" s="167"/>
      <c r="D129" s="167"/>
      <c r="E129" s="167"/>
      <c r="F129" s="167"/>
    </row>
    <row r="130" spans="1:6" ht="19.5" customHeight="1" x14ac:dyDescent="0.2">
      <c r="A130" s="167"/>
      <c r="B130" s="161"/>
      <c r="C130" s="167"/>
      <c r="D130" s="167"/>
      <c r="E130" s="167"/>
      <c r="F130" s="167"/>
    </row>
    <row r="131" spans="1:6" ht="12.75" customHeight="1" x14ac:dyDescent="0.2">
      <c r="A131" s="313" t="s">
        <v>28</v>
      </c>
      <c r="B131" s="321" t="s">
        <v>29</v>
      </c>
      <c r="C131" s="313" t="s">
        <v>56</v>
      </c>
      <c r="D131" s="313" t="s">
        <v>31</v>
      </c>
      <c r="E131" s="313" t="s">
        <v>32</v>
      </c>
      <c r="F131" s="314" t="s">
        <v>33</v>
      </c>
    </row>
    <row r="132" spans="1:6" ht="35.25" customHeight="1" x14ac:dyDescent="0.2">
      <c r="A132" s="313"/>
      <c r="B132" s="322"/>
      <c r="C132" s="313"/>
      <c r="D132" s="313"/>
      <c r="E132" s="313"/>
      <c r="F132" s="315"/>
    </row>
    <row r="133" spans="1:6" ht="33" customHeight="1" x14ac:dyDescent="0.2">
      <c r="A133" s="337" t="s">
        <v>34</v>
      </c>
      <c r="B133" s="195" t="s">
        <v>57</v>
      </c>
      <c r="C133" s="317" t="s">
        <v>84</v>
      </c>
      <c r="D133" s="203" t="s">
        <v>85</v>
      </c>
      <c r="E133" s="203">
        <v>10</v>
      </c>
      <c r="F133" s="214">
        <v>40.300000000000004</v>
      </c>
    </row>
    <row r="134" spans="1:6" ht="35.25" customHeight="1" x14ac:dyDescent="0.2">
      <c r="A134" s="338"/>
      <c r="B134" s="319" t="s">
        <v>37</v>
      </c>
      <c r="C134" s="318"/>
      <c r="D134" s="203" t="s">
        <v>38</v>
      </c>
      <c r="E134" s="203">
        <v>13</v>
      </c>
      <c r="F134" s="214">
        <v>493.61</v>
      </c>
    </row>
    <row r="135" spans="1:6" ht="35.25" customHeight="1" x14ac:dyDescent="0.2">
      <c r="A135" s="338"/>
      <c r="B135" s="315"/>
      <c r="C135" s="318"/>
      <c r="D135" s="203" t="s">
        <v>39</v>
      </c>
      <c r="E135" s="203">
        <v>2</v>
      </c>
      <c r="F135" s="214">
        <v>176.46</v>
      </c>
    </row>
    <row r="136" spans="1:6" ht="37.5" customHeight="1" x14ac:dyDescent="0.2">
      <c r="A136" s="202" t="s">
        <v>40</v>
      </c>
      <c r="B136" s="217" t="s">
        <v>41</v>
      </c>
      <c r="C136" s="196" t="s">
        <v>386</v>
      </c>
      <c r="D136" s="203" t="s">
        <v>417</v>
      </c>
      <c r="E136" s="203">
        <v>50</v>
      </c>
      <c r="F136" s="214">
        <v>1054</v>
      </c>
    </row>
    <row r="137" spans="1:6" ht="24.95" customHeight="1" x14ac:dyDescent="0.2">
      <c r="A137" s="198" t="s">
        <v>44</v>
      </c>
      <c r="B137" s="198" t="s">
        <v>45</v>
      </c>
      <c r="C137" s="203" t="s">
        <v>335</v>
      </c>
      <c r="D137" s="203" t="s">
        <v>77</v>
      </c>
      <c r="E137" s="203">
        <v>200</v>
      </c>
      <c r="F137" s="214">
        <v>758</v>
      </c>
    </row>
    <row r="138" spans="1:6" ht="33.75" customHeight="1" x14ac:dyDescent="0.2">
      <c r="A138" s="202" t="s">
        <v>46</v>
      </c>
      <c r="B138" s="202" t="s">
        <v>47</v>
      </c>
      <c r="C138" s="203" t="s">
        <v>67</v>
      </c>
      <c r="D138" s="203" t="s">
        <v>68</v>
      </c>
      <c r="E138" s="203">
        <v>5</v>
      </c>
      <c r="F138" s="214">
        <v>25.75</v>
      </c>
    </row>
    <row r="139" spans="1:6" ht="24.95" customHeight="1" x14ac:dyDescent="0.2">
      <c r="A139" s="199" t="s">
        <v>53</v>
      </c>
      <c r="B139" s="316" t="s">
        <v>54</v>
      </c>
      <c r="C139" s="320"/>
      <c r="D139" s="203" t="s">
        <v>53</v>
      </c>
      <c r="E139" s="203">
        <v>150</v>
      </c>
      <c r="F139" s="214">
        <v>100.5</v>
      </c>
    </row>
    <row r="140" spans="1:6" ht="20.100000000000001" customHeight="1" x14ac:dyDescent="0.2">
      <c r="A140" s="334" t="s">
        <v>331</v>
      </c>
      <c r="B140" s="335"/>
      <c r="C140" s="335"/>
      <c r="D140" s="335"/>
      <c r="E140" s="336"/>
      <c r="F140" s="213">
        <v>2648.62</v>
      </c>
    </row>
    <row r="141" spans="1:6" s="2" customFormat="1" ht="19.5" customHeight="1" x14ac:dyDescent="0.25">
      <c r="A141" s="160"/>
      <c r="B141" s="162"/>
      <c r="C141" s="162"/>
      <c r="D141" s="162"/>
      <c r="E141" s="162"/>
      <c r="F141" s="162"/>
    </row>
    <row r="142" spans="1:6" ht="19.5" customHeight="1" x14ac:dyDescent="0.2">
      <c r="A142" s="166" t="s">
        <v>27</v>
      </c>
      <c r="B142" s="201">
        <v>8</v>
      </c>
      <c r="C142" s="167"/>
      <c r="D142" s="167"/>
      <c r="E142" s="167"/>
      <c r="F142" s="167"/>
    </row>
    <row r="143" spans="1:6" ht="19.5" customHeight="1" x14ac:dyDescent="0.2">
      <c r="A143" s="167"/>
      <c r="B143" s="161"/>
      <c r="C143" s="167"/>
      <c r="D143" s="167"/>
      <c r="E143" s="167"/>
      <c r="F143" s="167"/>
    </row>
    <row r="144" spans="1:6" ht="18.75" customHeight="1" x14ac:dyDescent="0.2">
      <c r="A144" s="313" t="s">
        <v>28</v>
      </c>
      <c r="B144" s="321" t="s">
        <v>29</v>
      </c>
      <c r="C144" s="313" t="s">
        <v>56</v>
      </c>
      <c r="D144" s="313" t="s">
        <v>31</v>
      </c>
      <c r="E144" s="313" t="s">
        <v>32</v>
      </c>
      <c r="F144" s="314" t="s">
        <v>33</v>
      </c>
    </row>
    <row r="145" spans="1:6" ht="34.5" customHeight="1" x14ac:dyDescent="0.2">
      <c r="A145" s="313"/>
      <c r="B145" s="322"/>
      <c r="C145" s="313"/>
      <c r="D145" s="313"/>
      <c r="E145" s="313"/>
      <c r="F145" s="315"/>
    </row>
    <row r="146" spans="1:6" ht="36" customHeight="1" x14ac:dyDescent="0.2">
      <c r="A146" s="337" t="s">
        <v>34</v>
      </c>
      <c r="B146" s="195" t="s">
        <v>57</v>
      </c>
      <c r="C146" s="317" t="s">
        <v>76</v>
      </c>
      <c r="D146" s="203" t="s">
        <v>245</v>
      </c>
      <c r="E146" s="203">
        <v>10</v>
      </c>
      <c r="F146" s="214">
        <v>167.7</v>
      </c>
    </row>
    <row r="147" spans="1:6" ht="63.75" customHeight="1" x14ac:dyDescent="0.2">
      <c r="A147" s="338"/>
      <c r="B147" s="200" t="s">
        <v>37</v>
      </c>
      <c r="C147" s="318"/>
      <c r="D147" s="203" t="s">
        <v>38</v>
      </c>
      <c r="E147" s="203">
        <v>13</v>
      </c>
      <c r="F147" s="214">
        <v>493.61</v>
      </c>
    </row>
    <row r="148" spans="1:6" ht="31.5" customHeight="1" x14ac:dyDescent="0.2">
      <c r="A148" s="326" t="s">
        <v>277</v>
      </c>
      <c r="B148" s="319" t="s">
        <v>60</v>
      </c>
      <c r="C148" s="314" t="s">
        <v>451</v>
      </c>
      <c r="D148" s="203" t="s">
        <v>78</v>
      </c>
      <c r="E148" s="203">
        <v>81</v>
      </c>
      <c r="F148" s="214">
        <v>2030.67</v>
      </c>
    </row>
    <row r="149" spans="1:6" ht="31.5" customHeight="1" x14ac:dyDescent="0.2">
      <c r="A149" s="327"/>
      <c r="B149" s="319"/>
      <c r="C149" s="319"/>
      <c r="D149" s="203" t="s">
        <v>62</v>
      </c>
      <c r="E149" s="203">
        <v>10</v>
      </c>
      <c r="F149" s="214">
        <v>50.300000000000004</v>
      </c>
    </row>
    <row r="150" spans="1:6" ht="31.5" customHeight="1" x14ac:dyDescent="0.2">
      <c r="A150" s="327"/>
      <c r="B150" s="319"/>
      <c r="C150" s="319"/>
      <c r="D150" s="203" t="s">
        <v>64</v>
      </c>
      <c r="E150" s="203">
        <v>10</v>
      </c>
      <c r="F150" s="214">
        <v>36.800000000000004</v>
      </c>
    </row>
    <row r="151" spans="1:6" ht="31.5" customHeight="1" x14ac:dyDescent="0.2">
      <c r="A151" s="327"/>
      <c r="B151" s="319"/>
      <c r="C151" s="319"/>
      <c r="D151" s="170" t="s">
        <v>11</v>
      </c>
      <c r="E151" s="203">
        <v>2</v>
      </c>
      <c r="F151" s="214">
        <v>24.2</v>
      </c>
    </row>
    <row r="152" spans="1:6" ht="31.5" customHeight="1" x14ac:dyDescent="0.2">
      <c r="A152" s="327"/>
      <c r="B152" s="319"/>
      <c r="C152" s="319"/>
      <c r="D152" s="203" t="s">
        <v>63</v>
      </c>
      <c r="E152" s="203">
        <v>10</v>
      </c>
      <c r="F152" s="214">
        <v>91.6</v>
      </c>
    </row>
    <row r="153" spans="1:6" ht="27" customHeight="1" x14ac:dyDescent="0.2">
      <c r="A153" s="327"/>
      <c r="B153" s="319"/>
      <c r="C153" s="319"/>
      <c r="D153" s="170" t="s">
        <v>65</v>
      </c>
      <c r="E153" s="203">
        <v>1</v>
      </c>
      <c r="F153" s="214">
        <v>8.27</v>
      </c>
    </row>
    <row r="154" spans="1:6" ht="27" customHeight="1" x14ac:dyDescent="0.2">
      <c r="A154" s="328"/>
      <c r="B154" s="315"/>
      <c r="C154" s="315"/>
      <c r="D154" s="203" t="s">
        <v>43</v>
      </c>
      <c r="E154" s="203">
        <v>0.1</v>
      </c>
      <c r="F154" s="214">
        <v>0.19</v>
      </c>
    </row>
    <row r="155" spans="1:6" ht="27" customHeight="1" x14ac:dyDescent="0.2">
      <c r="A155" s="326" t="s">
        <v>40</v>
      </c>
      <c r="B155" s="314" t="s">
        <v>41</v>
      </c>
      <c r="C155" s="329" t="s">
        <v>71</v>
      </c>
      <c r="D155" s="203" t="s">
        <v>72</v>
      </c>
      <c r="E155" s="203">
        <v>75</v>
      </c>
      <c r="F155" s="214">
        <v>427.5</v>
      </c>
    </row>
    <row r="156" spans="1:6" ht="24.95" customHeight="1" x14ac:dyDescent="0.2">
      <c r="A156" s="327"/>
      <c r="B156" s="319"/>
      <c r="C156" s="333"/>
      <c r="D156" s="203" t="s">
        <v>43</v>
      </c>
      <c r="E156" s="203">
        <v>0.1</v>
      </c>
      <c r="F156" s="214">
        <v>0.19</v>
      </c>
    </row>
    <row r="157" spans="1:6" ht="34.5" customHeight="1" x14ac:dyDescent="0.2">
      <c r="A157" s="202" t="s">
        <v>46</v>
      </c>
      <c r="B157" s="202" t="s">
        <v>47</v>
      </c>
      <c r="C157" s="203" t="s">
        <v>67</v>
      </c>
      <c r="D157" s="203" t="s">
        <v>68</v>
      </c>
      <c r="E157" s="203">
        <v>5</v>
      </c>
      <c r="F157" s="214">
        <v>25.75</v>
      </c>
    </row>
    <row r="158" spans="1:6" ht="31.5" customHeight="1" x14ac:dyDescent="0.2">
      <c r="A158" s="202" t="s">
        <v>49</v>
      </c>
      <c r="B158" s="202" t="s">
        <v>50</v>
      </c>
      <c r="C158" s="203" t="s">
        <v>51</v>
      </c>
      <c r="D158" s="203" t="s">
        <v>52</v>
      </c>
      <c r="E158" s="203">
        <v>6</v>
      </c>
      <c r="F158" s="214">
        <v>75.48</v>
      </c>
    </row>
    <row r="159" spans="1:6" ht="24.95" customHeight="1" x14ac:dyDescent="0.2">
      <c r="A159" s="199" t="s">
        <v>53</v>
      </c>
      <c r="B159" s="316" t="s">
        <v>54</v>
      </c>
      <c r="C159" s="320"/>
      <c r="D159" s="203" t="s">
        <v>53</v>
      </c>
      <c r="E159" s="203">
        <v>150</v>
      </c>
      <c r="F159" s="214">
        <v>100.5</v>
      </c>
    </row>
    <row r="160" spans="1:6" ht="20.100000000000001" customHeight="1" x14ac:dyDescent="0.2">
      <c r="A160" s="334" t="s">
        <v>331</v>
      </c>
      <c r="B160" s="335"/>
      <c r="C160" s="335"/>
      <c r="D160" s="335"/>
      <c r="E160" s="336"/>
      <c r="F160" s="213">
        <v>3532.76</v>
      </c>
    </row>
    <row r="161" spans="1:6" s="2" customFormat="1" ht="19.5" customHeight="1" x14ac:dyDescent="0.25">
      <c r="A161" s="160"/>
      <c r="B161" s="162"/>
      <c r="C161" s="162"/>
      <c r="D161" s="162"/>
      <c r="E161" s="162"/>
      <c r="F161" s="162"/>
    </row>
    <row r="162" spans="1:6" ht="19.5" customHeight="1" x14ac:dyDescent="0.2">
      <c r="A162" s="166" t="s">
        <v>27</v>
      </c>
      <c r="B162" s="201">
        <v>9</v>
      </c>
      <c r="C162" s="167"/>
      <c r="D162" s="167"/>
      <c r="E162" s="167"/>
      <c r="F162" s="167"/>
    </row>
    <row r="163" spans="1:6" ht="19.5" customHeight="1" x14ac:dyDescent="0.2">
      <c r="A163" s="167"/>
      <c r="B163" s="161"/>
      <c r="C163" s="167"/>
      <c r="D163" s="167"/>
      <c r="E163" s="167"/>
      <c r="F163" s="167"/>
    </row>
    <row r="164" spans="1:6" ht="12.75" customHeight="1" x14ac:dyDescent="0.2">
      <c r="A164" s="313" t="s">
        <v>28</v>
      </c>
      <c r="B164" s="321" t="s">
        <v>29</v>
      </c>
      <c r="C164" s="313" t="s">
        <v>56</v>
      </c>
      <c r="D164" s="313" t="s">
        <v>31</v>
      </c>
      <c r="E164" s="313" t="s">
        <v>32</v>
      </c>
      <c r="F164" s="314" t="s">
        <v>33</v>
      </c>
    </row>
    <row r="165" spans="1:6" ht="34.5" customHeight="1" x14ac:dyDescent="0.2">
      <c r="A165" s="313"/>
      <c r="B165" s="322"/>
      <c r="C165" s="313"/>
      <c r="D165" s="313"/>
      <c r="E165" s="313"/>
      <c r="F165" s="315"/>
    </row>
    <row r="166" spans="1:6" ht="32.25" customHeight="1" x14ac:dyDescent="0.2">
      <c r="A166" s="316" t="s">
        <v>34</v>
      </c>
      <c r="B166" s="195" t="s">
        <v>57</v>
      </c>
      <c r="C166" s="317" t="s">
        <v>86</v>
      </c>
      <c r="D166" s="203" t="s">
        <v>36</v>
      </c>
      <c r="E166" s="203">
        <v>10</v>
      </c>
      <c r="F166" s="214">
        <v>45.599999999999994</v>
      </c>
    </row>
    <row r="167" spans="1:6" ht="31.5" customHeight="1" x14ac:dyDescent="0.2">
      <c r="A167" s="316"/>
      <c r="B167" s="319" t="s">
        <v>37</v>
      </c>
      <c r="C167" s="318"/>
      <c r="D167" s="203" t="s">
        <v>38</v>
      </c>
      <c r="E167" s="203">
        <v>13</v>
      </c>
      <c r="F167" s="214">
        <v>493.61</v>
      </c>
    </row>
    <row r="168" spans="1:6" ht="31.5" customHeight="1" x14ac:dyDescent="0.2">
      <c r="A168" s="316"/>
      <c r="B168" s="315"/>
      <c r="C168" s="340"/>
      <c r="D168" s="203" t="s">
        <v>39</v>
      </c>
      <c r="E168" s="203">
        <v>2</v>
      </c>
      <c r="F168" s="214">
        <v>176.46</v>
      </c>
    </row>
    <row r="169" spans="1:6" ht="30.75" customHeight="1" x14ac:dyDescent="0.2">
      <c r="A169" s="326" t="s">
        <v>40</v>
      </c>
      <c r="B169" s="319" t="s">
        <v>41</v>
      </c>
      <c r="C169" s="329" t="s">
        <v>336</v>
      </c>
      <c r="D169" s="203" t="s">
        <v>42</v>
      </c>
      <c r="E169" s="203">
        <v>55</v>
      </c>
      <c r="F169" s="214">
        <v>273.34999999999997</v>
      </c>
    </row>
    <row r="170" spans="1:6" ht="24.95" customHeight="1" x14ac:dyDescent="0.2">
      <c r="A170" s="328"/>
      <c r="B170" s="315"/>
      <c r="C170" s="333"/>
      <c r="D170" s="203" t="s">
        <v>43</v>
      </c>
      <c r="E170" s="203">
        <v>0.1</v>
      </c>
      <c r="F170" s="214">
        <v>0.19</v>
      </c>
    </row>
    <row r="171" spans="1:6" ht="30" customHeight="1" x14ac:dyDescent="0.2">
      <c r="A171" s="202" t="s">
        <v>44</v>
      </c>
      <c r="B171" s="202" t="s">
        <v>45</v>
      </c>
      <c r="C171" s="196" t="s">
        <v>82</v>
      </c>
      <c r="D171" s="203" t="s">
        <v>83</v>
      </c>
      <c r="E171" s="203">
        <v>158</v>
      </c>
      <c r="F171" s="214">
        <v>368.14</v>
      </c>
    </row>
    <row r="172" spans="1:6" ht="30.75" customHeight="1" x14ac:dyDescent="0.2">
      <c r="A172" s="202" t="s">
        <v>46</v>
      </c>
      <c r="B172" s="202" t="s">
        <v>47</v>
      </c>
      <c r="C172" s="203" t="s">
        <v>48</v>
      </c>
      <c r="D172" s="203" t="s">
        <v>13</v>
      </c>
      <c r="E172" s="203">
        <v>7</v>
      </c>
      <c r="F172" s="214">
        <v>41.09</v>
      </c>
    </row>
    <row r="173" spans="1:6" ht="30" customHeight="1" x14ac:dyDescent="0.2">
      <c r="A173" s="202" t="s">
        <v>49</v>
      </c>
      <c r="B173" s="202" t="s">
        <v>50</v>
      </c>
      <c r="C173" s="203" t="s">
        <v>51</v>
      </c>
      <c r="D173" s="203" t="s">
        <v>52</v>
      </c>
      <c r="E173" s="203">
        <v>9</v>
      </c>
      <c r="F173" s="214">
        <v>113.22</v>
      </c>
    </row>
    <row r="174" spans="1:6" ht="24.95" customHeight="1" x14ac:dyDescent="0.2">
      <c r="A174" s="199" t="s">
        <v>53</v>
      </c>
      <c r="B174" s="316" t="s">
        <v>54</v>
      </c>
      <c r="C174" s="320"/>
      <c r="D174" s="203" t="s">
        <v>53</v>
      </c>
      <c r="E174" s="203">
        <v>150</v>
      </c>
      <c r="F174" s="214">
        <v>100.5</v>
      </c>
    </row>
    <row r="175" spans="1:6" ht="20.100000000000001" customHeight="1" x14ac:dyDescent="0.2">
      <c r="A175" s="334" t="s">
        <v>331</v>
      </c>
      <c r="B175" s="335"/>
      <c r="C175" s="335"/>
      <c r="D175" s="335"/>
      <c r="E175" s="336"/>
      <c r="F175" s="213">
        <v>1612.16</v>
      </c>
    </row>
    <row r="176" spans="1:6" s="2" customFormat="1" ht="19.5" customHeight="1" x14ac:dyDescent="0.25">
      <c r="A176" s="160"/>
      <c r="B176" s="162"/>
      <c r="C176" s="162"/>
      <c r="D176" s="162"/>
      <c r="E176" s="162"/>
      <c r="F176" s="162"/>
    </row>
    <row r="177" spans="1:6" ht="19.5" customHeight="1" x14ac:dyDescent="0.2">
      <c r="A177" s="166" t="s">
        <v>27</v>
      </c>
      <c r="B177" s="201">
        <v>10</v>
      </c>
      <c r="C177" s="167"/>
      <c r="D177" s="167"/>
      <c r="E177" s="167"/>
      <c r="F177" s="167"/>
    </row>
    <row r="178" spans="1:6" ht="19.5" customHeight="1" x14ac:dyDescent="0.2">
      <c r="A178" s="167"/>
      <c r="B178" s="161"/>
      <c r="C178" s="167"/>
      <c r="D178" s="167"/>
      <c r="E178" s="167"/>
      <c r="F178" s="167"/>
    </row>
    <row r="179" spans="1:6" ht="12.75" customHeight="1" x14ac:dyDescent="0.2">
      <c r="A179" s="313" t="s">
        <v>28</v>
      </c>
      <c r="B179" s="321" t="s">
        <v>29</v>
      </c>
      <c r="C179" s="313" t="s">
        <v>56</v>
      </c>
      <c r="D179" s="313" t="s">
        <v>31</v>
      </c>
      <c r="E179" s="313" t="s">
        <v>32</v>
      </c>
      <c r="F179" s="314" t="s">
        <v>33</v>
      </c>
    </row>
    <row r="180" spans="1:6" ht="34.5" customHeight="1" x14ac:dyDescent="0.2">
      <c r="A180" s="313"/>
      <c r="B180" s="322"/>
      <c r="C180" s="313"/>
      <c r="D180" s="313"/>
      <c r="E180" s="313"/>
      <c r="F180" s="315"/>
    </row>
    <row r="181" spans="1:6" ht="32.25" customHeight="1" x14ac:dyDescent="0.2">
      <c r="A181" s="316" t="s">
        <v>34</v>
      </c>
      <c r="B181" s="195" t="s">
        <v>57</v>
      </c>
      <c r="C181" s="317" t="s">
        <v>276</v>
      </c>
      <c r="D181" s="203" t="s">
        <v>73</v>
      </c>
      <c r="E181" s="203">
        <v>10</v>
      </c>
      <c r="F181" s="214">
        <v>363</v>
      </c>
    </row>
    <row r="182" spans="1:6" ht="32.25" customHeight="1" x14ac:dyDescent="0.2">
      <c r="A182" s="316"/>
      <c r="B182" s="319" t="s">
        <v>37</v>
      </c>
      <c r="C182" s="318"/>
      <c r="D182" s="203" t="s">
        <v>38</v>
      </c>
      <c r="E182" s="203">
        <v>13</v>
      </c>
      <c r="F182" s="214">
        <v>493.61</v>
      </c>
    </row>
    <row r="183" spans="1:6" ht="32.25" customHeight="1" x14ac:dyDescent="0.2">
      <c r="A183" s="316"/>
      <c r="B183" s="315"/>
      <c r="C183" s="340"/>
      <c r="D183" s="203" t="s">
        <v>39</v>
      </c>
      <c r="E183" s="203">
        <v>2</v>
      </c>
      <c r="F183" s="214">
        <v>176.46</v>
      </c>
    </row>
    <row r="184" spans="1:6" ht="30.75" customHeight="1" x14ac:dyDescent="0.2">
      <c r="A184" s="326" t="s">
        <v>59</v>
      </c>
      <c r="B184" s="319" t="s">
        <v>60</v>
      </c>
      <c r="C184" s="329" t="s">
        <v>452</v>
      </c>
      <c r="D184" s="203" t="s">
        <v>74</v>
      </c>
      <c r="E184" s="203">
        <v>70</v>
      </c>
      <c r="F184" s="214">
        <v>2118.9</v>
      </c>
    </row>
    <row r="185" spans="1:6" ht="30.75" customHeight="1" x14ac:dyDescent="0.2">
      <c r="A185" s="327"/>
      <c r="B185" s="319"/>
      <c r="C185" s="330"/>
      <c r="D185" s="203" t="s">
        <v>62</v>
      </c>
      <c r="E185" s="203">
        <v>10</v>
      </c>
      <c r="F185" s="214">
        <v>50.300000000000004</v>
      </c>
    </row>
    <row r="186" spans="1:6" ht="30.75" customHeight="1" x14ac:dyDescent="0.2">
      <c r="A186" s="327"/>
      <c r="B186" s="319"/>
      <c r="C186" s="330"/>
      <c r="D186" s="203" t="s">
        <v>64</v>
      </c>
      <c r="E186" s="203">
        <v>10</v>
      </c>
      <c r="F186" s="214">
        <v>36.800000000000004</v>
      </c>
    </row>
    <row r="187" spans="1:6" ht="30.75" customHeight="1" x14ac:dyDescent="0.2">
      <c r="A187" s="327"/>
      <c r="B187" s="319"/>
      <c r="C187" s="330"/>
      <c r="D187" s="170" t="s">
        <v>11</v>
      </c>
      <c r="E187" s="203">
        <v>2</v>
      </c>
      <c r="F187" s="214">
        <v>24.2</v>
      </c>
    </row>
    <row r="188" spans="1:6" ht="30.75" customHeight="1" x14ac:dyDescent="0.2">
      <c r="A188" s="327"/>
      <c r="B188" s="319"/>
      <c r="C188" s="330"/>
      <c r="D188" s="203" t="s">
        <v>63</v>
      </c>
      <c r="E188" s="203">
        <v>10</v>
      </c>
      <c r="F188" s="214">
        <v>91.6</v>
      </c>
    </row>
    <row r="189" spans="1:6" ht="30.75" customHeight="1" x14ac:dyDescent="0.2">
      <c r="A189" s="327"/>
      <c r="B189" s="319"/>
      <c r="C189" s="330"/>
      <c r="D189" s="203" t="s">
        <v>65</v>
      </c>
      <c r="E189" s="203">
        <v>1</v>
      </c>
      <c r="F189" s="214">
        <v>8.27</v>
      </c>
    </row>
    <row r="190" spans="1:6" ht="24.95" customHeight="1" x14ac:dyDescent="0.2">
      <c r="A190" s="328"/>
      <c r="B190" s="315"/>
      <c r="C190" s="333"/>
      <c r="D190" s="203" t="s">
        <v>43</v>
      </c>
      <c r="E190" s="203">
        <v>0.1</v>
      </c>
      <c r="F190" s="214">
        <v>0.19</v>
      </c>
    </row>
    <row r="191" spans="1:6" ht="28.5" customHeight="1" x14ac:dyDescent="0.2">
      <c r="A191" s="326" t="s">
        <v>40</v>
      </c>
      <c r="B191" s="314" t="s">
        <v>41</v>
      </c>
      <c r="C191" s="331" t="s">
        <v>340</v>
      </c>
      <c r="D191" s="203" t="s">
        <v>36</v>
      </c>
      <c r="E191" s="203">
        <v>28.05</v>
      </c>
      <c r="F191" s="214">
        <v>127.90799999999999</v>
      </c>
    </row>
    <row r="192" spans="1:6" ht="28.5" customHeight="1" x14ac:dyDescent="0.2">
      <c r="A192" s="327"/>
      <c r="B192" s="319"/>
      <c r="C192" s="344"/>
      <c r="D192" s="203" t="s">
        <v>75</v>
      </c>
      <c r="E192" s="203">
        <v>10</v>
      </c>
      <c r="F192" s="214">
        <v>136.30000000000001</v>
      </c>
    </row>
    <row r="193" spans="1:6" ht="28.5" customHeight="1" x14ac:dyDescent="0.2">
      <c r="A193" s="328"/>
      <c r="B193" s="315"/>
      <c r="C193" s="332"/>
      <c r="D193" s="203" t="s">
        <v>43</v>
      </c>
      <c r="E193" s="203">
        <v>0.1</v>
      </c>
      <c r="F193" s="214">
        <v>0.19</v>
      </c>
    </row>
    <row r="194" spans="1:6" ht="31.5" customHeight="1" x14ac:dyDescent="0.2">
      <c r="A194" s="202" t="s">
        <v>46</v>
      </c>
      <c r="B194" s="202" t="s">
        <v>47</v>
      </c>
      <c r="C194" s="203" t="s">
        <v>67</v>
      </c>
      <c r="D194" s="203" t="s">
        <v>68</v>
      </c>
      <c r="E194" s="203">
        <v>5</v>
      </c>
      <c r="F194" s="214">
        <v>25.75</v>
      </c>
    </row>
    <row r="195" spans="1:6" ht="29.25" customHeight="1" x14ac:dyDescent="0.2">
      <c r="A195" s="202" t="s">
        <v>49</v>
      </c>
      <c r="B195" s="202" t="s">
        <v>50</v>
      </c>
      <c r="C195" s="203" t="s">
        <v>51</v>
      </c>
      <c r="D195" s="203" t="s">
        <v>52</v>
      </c>
      <c r="E195" s="203">
        <v>6</v>
      </c>
      <c r="F195" s="214">
        <v>75.48</v>
      </c>
    </row>
    <row r="196" spans="1:6" ht="24.95" customHeight="1" x14ac:dyDescent="0.2">
      <c r="A196" s="199" t="s">
        <v>53</v>
      </c>
      <c r="B196" s="316" t="s">
        <v>54</v>
      </c>
      <c r="C196" s="320"/>
      <c r="D196" s="203" t="s">
        <v>53</v>
      </c>
      <c r="E196" s="203">
        <v>150</v>
      </c>
      <c r="F196" s="214">
        <v>100.5</v>
      </c>
    </row>
    <row r="197" spans="1:6" ht="20.100000000000001" customHeight="1" x14ac:dyDescent="0.2">
      <c r="A197" s="334" t="s">
        <v>331</v>
      </c>
      <c r="B197" s="335"/>
      <c r="C197" s="335"/>
      <c r="D197" s="335"/>
      <c r="E197" s="336"/>
      <c r="F197" s="213">
        <v>3829.46</v>
      </c>
    </row>
    <row r="198" spans="1:6" s="2" customFormat="1" ht="19.5" customHeight="1" x14ac:dyDescent="0.25">
      <c r="A198" s="160"/>
      <c r="B198" s="162"/>
      <c r="C198" s="162"/>
      <c r="D198" s="162"/>
      <c r="E198" s="162"/>
      <c r="F198" s="162"/>
    </row>
    <row r="199" spans="1:6" ht="19.5" customHeight="1" x14ac:dyDescent="0.2">
      <c r="A199" s="166" t="s">
        <v>27</v>
      </c>
      <c r="B199" s="201">
        <v>11</v>
      </c>
      <c r="C199" s="167"/>
      <c r="D199" s="167"/>
      <c r="E199" s="167"/>
      <c r="F199" s="167"/>
    </row>
    <row r="200" spans="1:6" ht="19.5" customHeight="1" x14ac:dyDescent="0.2">
      <c r="A200" s="167"/>
      <c r="B200" s="161"/>
      <c r="C200" s="167"/>
      <c r="D200" s="167"/>
      <c r="E200" s="167"/>
      <c r="F200" s="167"/>
    </row>
    <row r="201" spans="1:6" ht="12.75" customHeight="1" x14ac:dyDescent="0.2">
      <c r="A201" s="313" t="s">
        <v>28</v>
      </c>
      <c r="B201" s="321" t="s">
        <v>29</v>
      </c>
      <c r="C201" s="313" t="s">
        <v>56</v>
      </c>
      <c r="D201" s="313" t="s">
        <v>31</v>
      </c>
      <c r="E201" s="313" t="s">
        <v>32</v>
      </c>
      <c r="F201" s="314" t="s">
        <v>33</v>
      </c>
    </row>
    <row r="202" spans="1:6" s="190" customFormat="1" ht="34.5" customHeight="1" x14ac:dyDescent="0.25">
      <c r="A202" s="313"/>
      <c r="B202" s="321"/>
      <c r="C202" s="313"/>
      <c r="D202" s="313"/>
      <c r="E202" s="313"/>
      <c r="F202" s="315"/>
    </row>
    <row r="203" spans="1:6" s="190" customFormat="1" ht="81" customHeight="1" x14ac:dyDescent="0.25">
      <c r="A203" s="207" t="s">
        <v>34</v>
      </c>
      <c r="B203" s="202" t="s">
        <v>293</v>
      </c>
      <c r="C203" s="188" t="s">
        <v>294</v>
      </c>
      <c r="D203" s="203" t="s">
        <v>38</v>
      </c>
      <c r="E203" s="199">
        <v>13</v>
      </c>
      <c r="F203" s="221">
        <v>493.61</v>
      </c>
    </row>
    <row r="204" spans="1:6" s="190" customFormat="1" ht="27.75" customHeight="1" x14ac:dyDescent="0.25">
      <c r="A204" s="314" t="s">
        <v>59</v>
      </c>
      <c r="B204" s="314" t="s">
        <v>60</v>
      </c>
      <c r="C204" s="329" t="s">
        <v>453</v>
      </c>
      <c r="D204" s="203" t="s">
        <v>78</v>
      </c>
      <c r="E204" s="203">
        <v>81</v>
      </c>
      <c r="F204" s="221">
        <v>2030.67</v>
      </c>
    </row>
    <row r="205" spans="1:6" s="190" customFormat="1" ht="33" customHeight="1" x14ac:dyDescent="0.25">
      <c r="A205" s="319"/>
      <c r="B205" s="319"/>
      <c r="C205" s="330"/>
      <c r="D205" s="203" t="s">
        <v>62</v>
      </c>
      <c r="E205" s="203">
        <v>10</v>
      </c>
      <c r="F205" s="221">
        <v>50.300000000000004</v>
      </c>
    </row>
    <row r="206" spans="1:6" s="190" customFormat="1" ht="26.25" customHeight="1" x14ac:dyDescent="0.25">
      <c r="A206" s="319"/>
      <c r="B206" s="319"/>
      <c r="C206" s="330"/>
      <c r="D206" s="203" t="s">
        <v>79</v>
      </c>
      <c r="E206" s="203">
        <v>10</v>
      </c>
      <c r="F206" s="221">
        <v>50.9</v>
      </c>
    </row>
    <row r="207" spans="1:6" s="190" customFormat="1" ht="21" customHeight="1" x14ac:dyDescent="0.25">
      <c r="A207" s="319"/>
      <c r="B207" s="319"/>
      <c r="C207" s="330"/>
      <c r="D207" s="170" t="s">
        <v>11</v>
      </c>
      <c r="E207" s="203">
        <v>2</v>
      </c>
      <c r="F207" s="221">
        <v>24.2</v>
      </c>
    </row>
    <row r="208" spans="1:6" s="190" customFormat="1" ht="27.75" customHeight="1" x14ac:dyDescent="0.25">
      <c r="A208" s="319"/>
      <c r="B208" s="319"/>
      <c r="C208" s="330"/>
      <c r="D208" s="203" t="s">
        <v>63</v>
      </c>
      <c r="E208" s="203">
        <v>10</v>
      </c>
      <c r="F208" s="221">
        <v>91.6</v>
      </c>
    </row>
    <row r="209" spans="1:6" s="190" customFormat="1" ht="27.75" customHeight="1" x14ac:dyDescent="0.25">
      <c r="A209" s="319"/>
      <c r="B209" s="319"/>
      <c r="C209" s="330"/>
      <c r="D209" s="203" t="s">
        <v>65</v>
      </c>
      <c r="E209" s="203">
        <v>1</v>
      </c>
      <c r="F209" s="221">
        <v>8.27</v>
      </c>
    </row>
    <row r="210" spans="1:6" s="190" customFormat="1" ht="27.75" customHeight="1" x14ac:dyDescent="0.25">
      <c r="A210" s="315"/>
      <c r="B210" s="315"/>
      <c r="C210" s="333"/>
      <c r="D210" s="203" t="s">
        <v>43</v>
      </c>
      <c r="E210" s="203">
        <v>0.1</v>
      </c>
      <c r="F210" s="221">
        <v>0.19</v>
      </c>
    </row>
    <row r="211" spans="1:6" s="190" customFormat="1" ht="34.5" customHeight="1" x14ac:dyDescent="0.25">
      <c r="A211" s="314" t="s">
        <v>40</v>
      </c>
      <c r="B211" s="314" t="s">
        <v>41</v>
      </c>
      <c r="C211" s="329" t="s">
        <v>298</v>
      </c>
      <c r="D211" s="203" t="s">
        <v>36</v>
      </c>
      <c r="E211" s="203">
        <v>28.05</v>
      </c>
      <c r="F211" s="221">
        <v>127.90799999999999</v>
      </c>
    </row>
    <row r="212" spans="1:6" s="190" customFormat="1" ht="34.5" customHeight="1" x14ac:dyDescent="0.25">
      <c r="A212" s="319"/>
      <c r="B212" s="319"/>
      <c r="C212" s="330"/>
      <c r="D212" s="203" t="s">
        <v>64</v>
      </c>
      <c r="E212" s="203">
        <v>10</v>
      </c>
      <c r="F212" s="221">
        <v>36.800000000000004</v>
      </c>
    </row>
    <row r="213" spans="1:6" s="190" customFormat="1" ht="25.5" customHeight="1" x14ac:dyDescent="0.25">
      <c r="A213" s="319"/>
      <c r="B213" s="319"/>
      <c r="C213" s="330"/>
      <c r="D213" s="203" t="s">
        <v>11</v>
      </c>
      <c r="E213" s="203">
        <v>2</v>
      </c>
      <c r="F213" s="221">
        <v>24.2</v>
      </c>
    </row>
    <row r="214" spans="1:6" s="190" customFormat="1" ht="25.5" customHeight="1" x14ac:dyDescent="0.25">
      <c r="A214" s="319"/>
      <c r="B214" s="319"/>
      <c r="C214" s="330"/>
      <c r="D214" s="203" t="s">
        <v>43</v>
      </c>
      <c r="E214" s="203">
        <v>0.1</v>
      </c>
      <c r="F214" s="221">
        <v>0.19</v>
      </c>
    </row>
    <row r="215" spans="1:6" s="190" customFormat="1" ht="30.75" customHeight="1" x14ac:dyDescent="0.25">
      <c r="A215" s="202" t="s">
        <v>46</v>
      </c>
      <c r="B215" s="202" t="s">
        <v>47</v>
      </c>
      <c r="C215" s="203" t="s">
        <v>297</v>
      </c>
      <c r="D215" s="203" t="s">
        <v>13</v>
      </c>
      <c r="E215" s="203">
        <v>7</v>
      </c>
      <c r="F215" s="221">
        <v>41.09</v>
      </c>
    </row>
    <row r="216" spans="1:6" s="190" customFormat="1" ht="29.25" customHeight="1" x14ac:dyDescent="0.25">
      <c r="A216" s="202" t="s">
        <v>49</v>
      </c>
      <c r="B216" s="202" t="s">
        <v>50</v>
      </c>
      <c r="C216" s="203" t="s">
        <v>51</v>
      </c>
      <c r="D216" s="203" t="s">
        <v>52</v>
      </c>
      <c r="E216" s="203">
        <v>4</v>
      </c>
      <c r="F216" s="221">
        <v>50.32</v>
      </c>
    </row>
    <row r="217" spans="1:6" s="190" customFormat="1" ht="24.95" customHeight="1" x14ac:dyDescent="0.25">
      <c r="A217" s="199" t="s">
        <v>53</v>
      </c>
      <c r="B217" s="316" t="s">
        <v>54</v>
      </c>
      <c r="C217" s="320"/>
      <c r="D217" s="203" t="s">
        <v>53</v>
      </c>
      <c r="E217" s="203">
        <v>150</v>
      </c>
      <c r="F217" s="221">
        <v>100.5</v>
      </c>
    </row>
    <row r="218" spans="1:6" ht="20.100000000000001" customHeight="1" x14ac:dyDescent="0.2">
      <c r="A218" s="334" t="s">
        <v>331</v>
      </c>
      <c r="B218" s="335"/>
      <c r="C218" s="335"/>
      <c r="D218" s="335"/>
      <c r="E218" s="336"/>
      <c r="F218" s="213">
        <v>3130.75</v>
      </c>
    </row>
    <row r="219" spans="1:6" s="2" customFormat="1" ht="19.5" customHeight="1" x14ac:dyDescent="0.25">
      <c r="A219" s="160"/>
      <c r="B219" s="162"/>
      <c r="C219" s="162"/>
      <c r="D219" s="162"/>
      <c r="E219" s="162"/>
      <c r="F219" s="162"/>
    </row>
    <row r="220" spans="1:6" s="2" customFormat="1" ht="19.5" customHeight="1" x14ac:dyDescent="0.25">
      <c r="A220" s="166" t="s">
        <v>27</v>
      </c>
      <c r="B220" s="201">
        <v>12</v>
      </c>
      <c r="C220" s="167"/>
      <c r="D220" s="167"/>
      <c r="E220" s="167"/>
      <c r="F220" s="167"/>
    </row>
    <row r="221" spans="1:6" s="2" customFormat="1" ht="19.5" customHeight="1" x14ac:dyDescent="0.25">
      <c r="A221" s="167"/>
      <c r="B221" s="161"/>
      <c r="C221" s="167"/>
      <c r="D221" s="167"/>
      <c r="E221" s="167"/>
      <c r="F221" s="167"/>
    </row>
    <row r="222" spans="1:6" ht="12.75" customHeight="1" x14ac:dyDescent="0.2">
      <c r="A222" s="313" t="s">
        <v>28</v>
      </c>
      <c r="B222" s="321" t="s">
        <v>29</v>
      </c>
      <c r="C222" s="313" t="s">
        <v>56</v>
      </c>
      <c r="D222" s="313" t="s">
        <v>31</v>
      </c>
      <c r="E222" s="313" t="s">
        <v>32</v>
      </c>
      <c r="F222" s="314" t="s">
        <v>33</v>
      </c>
    </row>
    <row r="223" spans="1:6" ht="39.75" customHeight="1" x14ac:dyDescent="0.2">
      <c r="A223" s="313"/>
      <c r="B223" s="322"/>
      <c r="C223" s="313"/>
      <c r="D223" s="313"/>
      <c r="E223" s="313"/>
      <c r="F223" s="315"/>
    </row>
    <row r="224" spans="1:6" ht="31.5" customHeight="1" x14ac:dyDescent="0.2">
      <c r="A224" s="345" t="s">
        <v>34</v>
      </c>
      <c r="B224" s="195" t="s">
        <v>57</v>
      </c>
      <c r="C224" s="317" t="s">
        <v>86</v>
      </c>
      <c r="D224" s="203" t="s">
        <v>36</v>
      </c>
      <c r="E224" s="203">
        <v>10</v>
      </c>
      <c r="F224" s="214">
        <v>45.599999999999994</v>
      </c>
    </row>
    <row r="225" spans="1:6" ht="33" customHeight="1" x14ac:dyDescent="0.2">
      <c r="A225" s="346"/>
      <c r="B225" s="319" t="s">
        <v>37</v>
      </c>
      <c r="C225" s="318"/>
      <c r="D225" s="203" t="s">
        <v>38</v>
      </c>
      <c r="E225" s="203">
        <v>13</v>
      </c>
      <c r="F225" s="214">
        <v>493.61</v>
      </c>
    </row>
    <row r="226" spans="1:6" ht="33" customHeight="1" x14ac:dyDescent="0.2">
      <c r="A226" s="347"/>
      <c r="B226" s="315"/>
      <c r="C226" s="340"/>
      <c r="D226" s="203" t="s">
        <v>39</v>
      </c>
      <c r="E226" s="203">
        <v>2</v>
      </c>
      <c r="F226" s="214">
        <v>176.46</v>
      </c>
    </row>
    <row r="227" spans="1:6" ht="30" customHeight="1" x14ac:dyDescent="0.2">
      <c r="A227" s="327" t="s">
        <v>40</v>
      </c>
      <c r="B227" s="314" t="s">
        <v>41</v>
      </c>
      <c r="C227" s="331" t="s">
        <v>87</v>
      </c>
      <c r="D227" s="203" t="s">
        <v>42</v>
      </c>
      <c r="E227" s="203">
        <v>55</v>
      </c>
      <c r="F227" s="214">
        <v>273.34999999999997</v>
      </c>
    </row>
    <row r="228" spans="1:6" ht="24.95" customHeight="1" x14ac:dyDescent="0.2">
      <c r="A228" s="328"/>
      <c r="B228" s="315"/>
      <c r="C228" s="332"/>
      <c r="D228" s="203" t="s">
        <v>43</v>
      </c>
      <c r="E228" s="203">
        <v>0.1</v>
      </c>
      <c r="F228" s="214">
        <v>0.19</v>
      </c>
    </row>
    <row r="229" spans="1:6" ht="24.95" customHeight="1" x14ac:dyDescent="0.2">
      <c r="A229" s="202" t="s">
        <v>44</v>
      </c>
      <c r="B229" s="202" t="s">
        <v>45</v>
      </c>
      <c r="C229" s="196" t="s">
        <v>94</v>
      </c>
      <c r="D229" s="203" t="s">
        <v>95</v>
      </c>
      <c r="E229" s="203">
        <v>184</v>
      </c>
      <c r="F229" s="214">
        <v>493.12</v>
      </c>
    </row>
    <row r="230" spans="1:6" ht="30" customHeight="1" x14ac:dyDescent="0.2">
      <c r="A230" s="202" t="s">
        <v>46</v>
      </c>
      <c r="B230" s="202" t="s">
        <v>47</v>
      </c>
      <c r="C230" s="203" t="s">
        <v>67</v>
      </c>
      <c r="D230" s="203" t="s">
        <v>68</v>
      </c>
      <c r="E230" s="203">
        <v>5</v>
      </c>
      <c r="F230" s="214">
        <v>25.75</v>
      </c>
    </row>
    <row r="231" spans="1:6" ht="36" customHeight="1" x14ac:dyDescent="0.2">
      <c r="A231" s="202" t="s">
        <v>49</v>
      </c>
      <c r="B231" s="202" t="s">
        <v>50</v>
      </c>
      <c r="C231" s="203" t="s">
        <v>51</v>
      </c>
      <c r="D231" s="203" t="s">
        <v>52</v>
      </c>
      <c r="E231" s="203">
        <v>7</v>
      </c>
      <c r="F231" s="214">
        <v>88.06</v>
      </c>
    </row>
    <row r="232" spans="1:6" ht="24.95" customHeight="1" x14ac:dyDescent="0.2">
      <c r="A232" s="199" t="s">
        <v>53</v>
      </c>
      <c r="B232" s="316" t="s">
        <v>54</v>
      </c>
      <c r="C232" s="320"/>
      <c r="D232" s="203" t="s">
        <v>53</v>
      </c>
      <c r="E232" s="203">
        <v>150</v>
      </c>
      <c r="F232" s="214">
        <v>100.5</v>
      </c>
    </row>
    <row r="233" spans="1:6" ht="20.100000000000001" customHeight="1" x14ac:dyDescent="0.2">
      <c r="A233" s="334" t="s">
        <v>331</v>
      </c>
      <c r="B233" s="335"/>
      <c r="C233" s="335"/>
      <c r="D233" s="335"/>
      <c r="E233" s="336"/>
      <c r="F233" s="213">
        <v>1696.64</v>
      </c>
    </row>
    <row r="234" spans="1:6" s="2" customFormat="1" ht="19.5" customHeight="1" x14ac:dyDescent="0.25">
      <c r="A234" s="160"/>
      <c r="B234" s="162"/>
      <c r="C234" s="162"/>
      <c r="D234" s="162"/>
      <c r="E234" s="162"/>
      <c r="F234" s="162"/>
    </row>
    <row r="235" spans="1:6" s="190" customFormat="1" ht="19.5" customHeight="1" x14ac:dyDescent="0.25">
      <c r="A235" s="166" t="s">
        <v>27</v>
      </c>
      <c r="B235" s="201">
        <v>13</v>
      </c>
      <c r="C235" s="167"/>
      <c r="D235" s="167"/>
      <c r="E235" s="167"/>
      <c r="F235" s="167"/>
    </row>
    <row r="236" spans="1:6" s="190" customFormat="1" ht="19.5" customHeight="1" x14ac:dyDescent="0.25">
      <c r="A236" s="167"/>
      <c r="B236" s="161"/>
      <c r="C236" s="167"/>
      <c r="D236" s="167"/>
      <c r="E236" s="167"/>
      <c r="F236" s="167"/>
    </row>
    <row r="237" spans="1:6" s="190" customFormat="1" ht="12.75" customHeight="1" x14ac:dyDescent="0.25">
      <c r="A237" s="313" t="s">
        <v>28</v>
      </c>
      <c r="B237" s="321" t="s">
        <v>29</v>
      </c>
      <c r="C237" s="313" t="s">
        <v>56</v>
      </c>
      <c r="D237" s="313" t="s">
        <v>31</v>
      </c>
      <c r="E237" s="313" t="s">
        <v>32</v>
      </c>
      <c r="F237" s="314" t="s">
        <v>33</v>
      </c>
    </row>
    <row r="238" spans="1:6" s="190" customFormat="1" ht="34.5" customHeight="1" x14ac:dyDescent="0.25">
      <c r="A238" s="313"/>
      <c r="B238" s="322"/>
      <c r="C238" s="313"/>
      <c r="D238" s="313"/>
      <c r="E238" s="313"/>
      <c r="F238" s="315"/>
    </row>
    <row r="239" spans="1:6" s="190" customFormat="1" ht="32.25" customHeight="1" x14ac:dyDescent="0.25">
      <c r="A239" s="337" t="s">
        <v>34</v>
      </c>
      <c r="B239" s="195" t="s">
        <v>57</v>
      </c>
      <c r="C239" s="317" t="s">
        <v>84</v>
      </c>
      <c r="D239" s="203" t="s">
        <v>85</v>
      </c>
      <c r="E239" s="203">
        <v>10</v>
      </c>
      <c r="F239" s="214">
        <v>40.300000000000004</v>
      </c>
    </row>
    <row r="240" spans="1:6" s="190" customFormat="1" ht="32.25" customHeight="1" x14ac:dyDescent="0.25">
      <c r="A240" s="338"/>
      <c r="B240" s="319" t="s">
        <v>37</v>
      </c>
      <c r="C240" s="318"/>
      <c r="D240" s="203" t="s">
        <v>38</v>
      </c>
      <c r="E240" s="203">
        <v>13</v>
      </c>
      <c r="F240" s="214">
        <v>493.61</v>
      </c>
    </row>
    <row r="241" spans="1:6" s="190" customFormat="1" ht="28.5" customHeight="1" x14ac:dyDescent="0.25">
      <c r="A241" s="338"/>
      <c r="B241" s="315"/>
      <c r="C241" s="340"/>
      <c r="D241" s="203" t="s">
        <v>39</v>
      </c>
      <c r="E241" s="203">
        <v>2</v>
      </c>
      <c r="F241" s="214">
        <v>176.46</v>
      </c>
    </row>
    <row r="242" spans="1:6" s="190" customFormat="1" ht="32.25" customHeight="1" x14ac:dyDescent="0.25">
      <c r="A242" s="326" t="s">
        <v>277</v>
      </c>
      <c r="B242" s="314" t="s">
        <v>60</v>
      </c>
      <c r="C242" s="331" t="s">
        <v>337</v>
      </c>
      <c r="D242" s="203" t="s">
        <v>70</v>
      </c>
      <c r="E242" s="203">
        <v>55</v>
      </c>
      <c r="F242" s="214">
        <v>593.44999999999993</v>
      </c>
    </row>
    <row r="243" spans="1:6" s="190" customFormat="1" ht="24.95" customHeight="1" x14ac:dyDescent="0.25">
      <c r="A243" s="327"/>
      <c r="B243" s="315"/>
      <c r="C243" s="344"/>
      <c r="D243" s="203" t="s">
        <v>43</v>
      </c>
      <c r="E243" s="203">
        <v>0.1</v>
      </c>
      <c r="F243" s="214">
        <v>0.19</v>
      </c>
    </row>
    <row r="244" spans="1:6" s="190" customFormat="1" ht="24.95" customHeight="1" x14ac:dyDescent="0.25">
      <c r="A244" s="328"/>
      <c r="B244" s="199" t="s">
        <v>45</v>
      </c>
      <c r="C244" s="332"/>
      <c r="D244" s="206" t="s">
        <v>108</v>
      </c>
      <c r="E244" s="203">
        <v>20</v>
      </c>
      <c r="F244" s="214">
        <v>98.6</v>
      </c>
    </row>
    <row r="245" spans="1:6" s="190" customFormat="1" ht="33" customHeight="1" x14ac:dyDescent="0.25">
      <c r="A245" s="314" t="s">
        <v>40</v>
      </c>
      <c r="B245" s="314" t="s">
        <v>41</v>
      </c>
      <c r="C245" s="341" t="s">
        <v>66</v>
      </c>
      <c r="D245" s="203" t="s">
        <v>96</v>
      </c>
      <c r="E245" s="203">
        <v>83</v>
      </c>
      <c r="F245" s="214">
        <v>591.79</v>
      </c>
    </row>
    <row r="246" spans="1:6" s="190" customFormat="1" ht="24.95" customHeight="1" x14ac:dyDescent="0.25">
      <c r="A246" s="319"/>
      <c r="B246" s="319"/>
      <c r="C246" s="342"/>
      <c r="D246" s="203" t="s">
        <v>43</v>
      </c>
      <c r="E246" s="203">
        <v>0.1</v>
      </c>
      <c r="F246" s="214">
        <v>0.19</v>
      </c>
    </row>
    <row r="247" spans="1:6" s="190" customFormat="1" ht="32.25" customHeight="1" x14ac:dyDescent="0.25">
      <c r="A247" s="202" t="s">
        <v>46</v>
      </c>
      <c r="B247" s="202" t="s">
        <v>47</v>
      </c>
      <c r="C247" s="203" t="s">
        <v>67</v>
      </c>
      <c r="D247" s="203" t="s">
        <v>68</v>
      </c>
      <c r="E247" s="203">
        <v>5</v>
      </c>
      <c r="F247" s="214">
        <v>25.75</v>
      </c>
    </row>
    <row r="248" spans="1:6" s="190" customFormat="1" ht="29.25" customHeight="1" x14ac:dyDescent="0.25">
      <c r="A248" s="202" t="s">
        <v>49</v>
      </c>
      <c r="B248" s="202" t="s">
        <v>50</v>
      </c>
      <c r="C248" s="203" t="s">
        <v>51</v>
      </c>
      <c r="D248" s="203" t="s">
        <v>52</v>
      </c>
      <c r="E248" s="203">
        <v>5</v>
      </c>
      <c r="F248" s="214">
        <v>62.9</v>
      </c>
    </row>
    <row r="249" spans="1:6" s="190" customFormat="1" ht="24.95" customHeight="1" x14ac:dyDescent="0.25">
      <c r="A249" s="199" t="s">
        <v>53</v>
      </c>
      <c r="B249" s="316" t="s">
        <v>54</v>
      </c>
      <c r="C249" s="320"/>
      <c r="D249" s="203" t="s">
        <v>53</v>
      </c>
      <c r="E249" s="203">
        <v>150</v>
      </c>
      <c r="F249" s="214">
        <v>100.5</v>
      </c>
    </row>
    <row r="250" spans="1:6" s="190" customFormat="1" ht="19.5" customHeight="1" x14ac:dyDescent="0.25">
      <c r="A250" s="334" t="s">
        <v>331</v>
      </c>
      <c r="B250" s="335"/>
      <c r="C250" s="335"/>
      <c r="D250" s="335"/>
      <c r="E250" s="336"/>
      <c r="F250" s="213">
        <v>2183.7399999999998</v>
      </c>
    </row>
    <row r="251" spans="1:6" s="2" customFormat="1" ht="19.5" customHeight="1" x14ac:dyDescent="0.25">
      <c r="A251" s="160"/>
      <c r="B251" s="162"/>
      <c r="C251" s="162"/>
      <c r="D251" s="162"/>
      <c r="E251" s="162"/>
      <c r="F251" s="162"/>
    </row>
    <row r="252" spans="1:6" ht="19.5" customHeight="1" x14ac:dyDescent="0.2">
      <c r="A252" s="166" t="s">
        <v>27</v>
      </c>
      <c r="B252" s="201">
        <v>14</v>
      </c>
      <c r="C252" s="167"/>
      <c r="D252" s="167"/>
      <c r="E252" s="167"/>
      <c r="F252" s="167"/>
    </row>
    <row r="253" spans="1:6" ht="19.5" customHeight="1" x14ac:dyDescent="0.2">
      <c r="A253" s="167"/>
      <c r="B253" s="161"/>
      <c r="C253" s="167"/>
      <c r="D253" s="167"/>
      <c r="E253" s="167"/>
      <c r="F253" s="167"/>
    </row>
    <row r="254" spans="1:6" ht="12.75" customHeight="1" x14ac:dyDescent="0.2">
      <c r="A254" s="313" t="s">
        <v>28</v>
      </c>
      <c r="B254" s="321" t="s">
        <v>29</v>
      </c>
      <c r="C254" s="313" t="s">
        <v>56</v>
      </c>
      <c r="D254" s="313" t="s">
        <v>31</v>
      </c>
      <c r="E254" s="313" t="s">
        <v>32</v>
      </c>
      <c r="F254" s="314" t="s">
        <v>33</v>
      </c>
    </row>
    <row r="255" spans="1:6" ht="36" customHeight="1" x14ac:dyDescent="0.2">
      <c r="A255" s="313"/>
      <c r="B255" s="322"/>
      <c r="C255" s="313"/>
      <c r="D255" s="313"/>
      <c r="E255" s="313"/>
      <c r="F255" s="315"/>
    </row>
    <row r="256" spans="1:6" ht="29.25" customHeight="1" x14ac:dyDescent="0.2">
      <c r="A256" s="337" t="s">
        <v>34</v>
      </c>
      <c r="B256" s="195" t="s">
        <v>57</v>
      </c>
      <c r="C256" s="317" t="s">
        <v>76</v>
      </c>
      <c r="D256" s="203" t="s">
        <v>245</v>
      </c>
      <c r="E256" s="203">
        <v>10</v>
      </c>
      <c r="F256" s="214">
        <v>167.7</v>
      </c>
    </row>
    <row r="257" spans="1:6" ht="60" customHeight="1" x14ac:dyDescent="0.2">
      <c r="A257" s="338"/>
      <c r="B257" s="200" t="s">
        <v>37</v>
      </c>
      <c r="C257" s="318"/>
      <c r="D257" s="203" t="s">
        <v>38</v>
      </c>
      <c r="E257" s="203">
        <v>13</v>
      </c>
      <c r="F257" s="214">
        <v>493.61</v>
      </c>
    </row>
    <row r="258" spans="1:6" ht="33" customHeight="1" x14ac:dyDescent="0.2">
      <c r="A258" s="195" t="s">
        <v>40</v>
      </c>
      <c r="B258" s="195" t="s">
        <v>301</v>
      </c>
      <c r="C258" s="251" t="s">
        <v>392</v>
      </c>
      <c r="D258" s="206" t="s">
        <v>410</v>
      </c>
      <c r="E258" s="203">
        <v>50</v>
      </c>
      <c r="F258" s="214">
        <v>876.5</v>
      </c>
    </row>
    <row r="259" spans="1:6" ht="32.25" customHeight="1" x14ac:dyDescent="0.25">
      <c r="A259" s="195" t="s">
        <v>44</v>
      </c>
      <c r="B259" s="202" t="s">
        <v>45</v>
      </c>
      <c r="C259" s="203" t="s">
        <v>16</v>
      </c>
      <c r="D259" s="168" t="s">
        <v>88</v>
      </c>
      <c r="E259" s="203">
        <v>158</v>
      </c>
      <c r="F259" s="214">
        <v>662.0200000000001</v>
      </c>
    </row>
    <row r="260" spans="1:6" ht="32.25" customHeight="1" x14ac:dyDescent="0.2">
      <c r="A260" s="202" t="s">
        <v>46</v>
      </c>
      <c r="B260" s="202" t="s">
        <v>47</v>
      </c>
      <c r="C260" s="203" t="s">
        <v>278</v>
      </c>
      <c r="D260" s="203" t="s">
        <v>68</v>
      </c>
      <c r="E260" s="203">
        <v>5</v>
      </c>
      <c r="F260" s="214">
        <v>25.75</v>
      </c>
    </row>
    <row r="261" spans="1:6" ht="24.95" customHeight="1" x14ac:dyDescent="0.2">
      <c r="A261" s="199" t="s">
        <v>53</v>
      </c>
      <c r="B261" s="316" t="s">
        <v>54</v>
      </c>
      <c r="C261" s="320"/>
      <c r="D261" s="203" t="s">
        <v>53</v>
      </c>
      <c r="E261" s="203">
        <v>150</v>
      </c>
      <c r="F261" s="214">
        <v>100.5</v>
      </c>
    </row>
    <row r="262" spans="1:6" ht="20.100000000000001" customHeight="1" x14ac:dyDescent="0.25">
      <c r="A262" s="323" t="s">
        <v>331</v>
      </c>
      <c r="B262" s="324"/>
      <c r="C262" s="324"/>
      <c r="D262" s="324"/>
      <c r="E262" s="325"/>
      <c r="F262" s="213">
        <v>2326.08</v>
      </c>
    </row>
    <row r="263" spans="1:6" s="2" customFormat="1" ht="19.5" customHeight="1" x14ac:dyDescent="0.25">
      <c r="A263" s="160"/>
      <c r="B263" s="162"/>
      <c r="C263" s="162"/>
      <c r="D263" s="162"/>
      <c r="E263" s="162"/>
      <c r="F263" s="162"/>
    </row>
    <row r="264" spans="1:6" ht="19.5" customHeight="1" x14ac:dyDescent="0.2">
      <c r="A264" s="166" t="s">
        <v>27</v>
      </c>
      <c r="B264" s="201">
        <v>15</v>
      </c>
      <c r="C264" s="167"/>
      <c r="D264" s="167"/>
      <c r="E264" s="167"/>
      <c r="F264" s="167"/>
    </row>
    <row r="265" spans="1:6" ht="19.5" customHeight="1" x14ac:dyDescent="0.2">
      <c r="A265" s="167"/>
      <c r="B265" s="161"/>
      <c r="C265" s="167"/>
      <c r="D265" s="167"/>
      <c r="E265" s="167"/>
      <c r="F265" s="167"/>
    </row>
    <row r="266" spans="1:6" ht="12.75" customHeight="1" x14ac:dyDescent="0.2">
      <c r="A266" s="313" t="s">
        <v>28</v>
      </c>
      <c r="B266" s="321" t="s">
        <v>29</v>
      </c>
      <c r="C266" s="313" t="s">
        <v>56</v>
      </c>
      <c r="D266" s="313" t="s">
        <v>31</v>
      </c>
      <c r="E266" s="313" t="s">
        <v>32</v>
      </c>
      <c r="F266" s="314" t="s">
        <v>33</v>
      </c>
    </row>
    <row r="267" spans="1:6" ht="36.75" customHeight="1" x14ac:dyDescent="0.2">
      <c r="A267" s="313"/>
      <c r="B267" s="322"/>
      <c r="C267" s="313"/>
      <c r="D267" s="313"/>
      <c r="E267" s="313"/>
      <c r="F267" s="315"/>
    </row>
    <row r="268" spans="1:6" ht="38.25" customHeight="1" x14ac:dyDescent="0.2">
      <c r="A268" s="337" t="s">
        <v>34</v>
      </c>
      <c r="B268" s="195" t="s">
        <v>57</v>
      </c>
      <c r="C268" s="317" t="s">
        <v>329</v>
      </c>
      <c r="D268" s="203" t="s">
        <v>58</v>
      </c>
      <c r="E268" s="203">
        <v>10</v>
      </c>
      <c r="F268" s="214">
        <v>86</v>
      </c>
    </row>
    <row r="269" spans="1:6" ht="38.25" customHeight="1" x14ac:dyDescent="0.2">
      <c r="A269" s="338"/>
      <c r="B269" s="319" t="s">
        <v>37</v>
      </c>
      <c r="C269" s="318"/>
      <c r="D269" s="203" t="s">
        <v>38</v>
      </c>
      <c r="E269" s="203">
        <v>13</v>
      </c>
      <c r="F269" s="214">
        <v>493.61</v>
      </c>
    </row>
    <row r="270" spans="1:6" ht="24.95" customHeight="1" x14ac:dyDescent="0.2">
      <c r="A270" s="338"/>
      <c r="B270" s="315"/>
      <c r="C270" s="318"/>
      <c r="D270" s="203" t="s">
        <v>39</v>
      </c>
      <c r="E270" s="203">
        <v>2</v>
      </c>
      <c r="F270" s="214">
        <v>176.46</v>
      </c>
    </row>
    <row r="271" spans="1:6" ht="31.5" customHeight="1" x14ac:dyDescent="0.2">
      <c r="A271" s="314" t="s">
        <v>59</v>
      </c>
      <c r="B271" s="314" t="s">
        <v>60</v>
      </c>
      <c r="C271" s="329" t="s">
        <v>455</v>
      </c>
      <c r="D271" s="203" t="s">
        <v>61</v>
      </c>
      <c r="E271" s="203">
        <v>74</v>
      </c>
      <c r="F271" s="214">
        <v>1341.62</v>
      </c>
    </row>
    <row r="272" spans="1:6" ht="31.5" customHeight="1" x14ac:dyDescent="0.2">
      <c r="A272" s="319"/>
      <c r="B272" s="319"/>
      <c r="C272" s="330"/>
      <c r="D272" s="203" t="s">
        <v>62</v>
      </c>
      <c r="E272" s="203">
        <v>10</v>
      </c>
      <c r="F272" s="214">
        <v>50.300000000000004</v>
      </c>
    </row>
    <row r="273" spans="1:6" ht="31.5" customHeight="1" x14ac:dyDescent="0.2">
      <c r="A273" s="319"/>
      <c r="B273" s="319"/>
      <c r="C273" s="330"/>
      <c r="D273" s="203" t="s">
        <v>63</v>
      </c>
      <c r="E273" s="203">
        <v>10</v>
      </c>
      <c r="F273" s="214">
        <v>91.6</v>
      </c>
    </row>
    <row r="274" spans="1:6" ht="31.5" customHeight="1" x14ac:dyDescent="0.2">
      <c r="A274" s="319"/>
      <c r="B274" s="319"/>
      <c r="C274" s="330"/>
      <c r="D274" s="203" t="s">
        <v>64</v>
      </c>
      <c r="E274" s="203">
        <v>10</v>
      </c>
      <c r="F274" s="214">
        <v>36.800000000000004</v>
      </c>
    </row>
    <row r="275" spans="1:6" ht="24.95" customHeight="1" x14ac:dyDescent="0.2">
      <c r="A275" s="319"/>
      <c r="B275" s="319"/>
      <c r="C275" s="330"/>
      <c r="D275" s="203" t="s">
        <v>11</v>
      </c>
      <c r="E275" s="203">
        <v>2</v>
      </c>
      <c r="F275" s="214">
        <v>24.2</v>
      </c>
    </row>
    <row r="276" spans="1:6" ht="24.95" customHeight="1" x14ac:dyDescent="0.2">
      <c r="A276" s="319"/>
      <c r="B276" s="319"/>
      <c r="C276" s="330"/>
      <c r="D276" s="203" t="s">
        <v>65</v>
      </c>
      <c r="E276" s="203">
        <v>1</v>
      </c>
      <c r="F276" s="214">
        <v>8.27</v>
      </c>
    </row>
    <row r="277" spans="1:6" ht="24.95" customHeight="1" x14ac:dyDescent="0.2">
      <c r="A277" s="315"/>
      <c r="B277" s="315"/>
      <c r="C277" s="333"/>
      <c r="D277" s="203" t="s">
        <v>43</v>
      </c>
      <c r="E277" s="203">
        <v>0.1</v>
      </c>
      <c r="F277" s="214">
        <v>0.19</v>
      </c>
    </row>
    <row r="278" spans="1:6" ht="31.5" customHeight="1" x14ac:dyDescent="0.2">
      <c r="A278" s="314" t="s">
        <v>40</v>
      </c>
      <c r="B278" s="314" t="s">
        <v>41</v>
      </c>
      <c r="C278" s="341" t="s">
        <v>338</v>
      </c>
      <c r="D278" s="206" t="s">
        <v>93</v>
      </c>
      <c r="E278" s="203">
        <v>29</v>
      </c>
      <c r="F278" s="214">
        <v>216.63</v>
      </c>
    </row>
    <row r="279" spans="1:6" ht="24.95" customHeight="1" x14ac:dyDescent="0.2">
      <c r="A279" s="319"/>
      <c r="B279" s="319"/>
      <c r="C279" s="342"/>
      <c r="D279" s="206" t="s">
        <v>79</v>
      </c>
      <c r="E279" s="203">
        <v>10</v>
      </c>
      <c r="F279" s="214">
        <v>50.9</v>
      </c>
    </row>
    <row r="280" spans="1:6" ht="24.95" customHeight="1" x14ac:dyDescent="0.2">
      <c r="A280" s="319"/>
      <c r="B280" s="319"/>
      <c r="C280" s="342"/>
      <c r="D280" s="206" t="s">
        <v>11</v>
      </c>
      <c r="E280" s="203">
        <v>2</v>
      </c>
      <c r="F280" s="214">
        <v>24.2</v>
      </c>
    </row>
    <row r="281" spans="1:6" ht="30" customHeight="1" x14ac:dyDescent="0.2">
      <c r="A281" s="319"/>
      <c r="B281" s="319"/>
      <c r="C281" s="342"/>
      <c r="D281" s="206" t="s">
        <v>62</v>
      </c>
      <c r="E281" s="203">
        <v>10</v>
      </c>
      <c r="F281" s="214">
        <v>50.300000000000004</v>
      </c>
    </row>
    <row r="282" spans="1:6" ht="24.95" customHeight="1" x14ac:dyDescent="0.2">
      <c r="A282" s="315"/>
      <c r="B282" s="315"/>
      <c r="C282" s="343"/>
      <c r="D282" s="206" t="s">
        <v>43</v>
      </c>
      <c r="E282" s="203">
        <v>0.1</v>
      </c>
      <c r="F282" s="214">
        <v>0.19</v>
      </c>
    </row>
    <row r="283" spans="1:6" ht="31.5" customHeight="1" x14ac:dyDescent="0.2">
      <c r="A283" s="202" t="s">
        <v>46</v>
      </c>
      <c r="B283" s="202" t="s">
        <v>47</v>
      </c>
      <c r="C283" s="203" t="s">
        <v>67</v>
      </c>
      <c r="D283" s="203" t="s">
        <v>68</v>
      </c>
      <c r="E283" s="203">
        <v>5</v>
      </c>
      <c r="F283" s="214">
        <v>25.75</v>
      </c>
    </row>
    <row r="284" spans="1:6" ht="30" customHeight="1" x14ac:dyDescent="0.2">
      <c r="A284" s="202" t="s">
        <v>49</v>
      </c>
      <c r="B284" s="202" t="s">
        <v>50</v>
      </c>
      <c r="C284" s="203" t="s">
        <v>51</v>
      </c>
      <c r="D284" s="203" t="s">
        <v>52</v>
      </c>
      <c r="E284" s="203">
        <v>4</v>
      </c>
      <c r="F284" s="214">
        <v>50.32</v>
      </c>
    </row>
    <row r="285" spans="1:6" ht="24.95" customHeight="1" x14ac:dyDescent="0.2">
      <c r="A285" s="199" t="s">
        <v>53</v>
      </c>
      <c r="B285" s="316" t="s">
        <v>54</v>
      </c>
      <c r="C285" s="320"/>
      <c r="D285" s="203" t="s">
        <v>53</v>
      </c>
      <c r="E285" s="203">
        <v>150</v>
      </c>
      <c r="F285" s="214">
        <v>100.5</v>
      </c>
    </row>
    <row r="286" spans="1:6" ht="20.100000000000001" customHeight="1" x14ac:dyDescent="0.2">
      <c r="A286" s="334" t="s">
        <v>331</v>
      </c>
      <c r="B286" s="335"/>
      <c r="C286" s="335"/>
      <c r="D286" s="335"/>
      <c r="E286" s="336"/>
      <c r="F286" s="213">
        <v>2827.84</v>
      </c>
    </row>
    <row r="287" spans="1:6" s="2" customFormat="1" ht="19.5" customHeight="1" x14ac:dyDescent="0.25">
      <c r="A287" s="160"/>
      <c r="B287" s="162"/>
      <c r="C287" s="162"/>
      <c r="D287" s="162"/>
      <c r="E287" s="162"/>
      <c r="F287" s="162"/>
    </row>
    <row r="288" spans="1:6" ht="19.5" customHeight="1" x14ac:dyDescent="0.2">
      <c r="A288" s="166" t="s">
        <v>27</v>
      </c>
      <c r="B288" s="201">
        <v>16</v>
      </c>
      <c r="C288" s="167"/>
      <c r="D288" s="167"/>
      <c r="E288" s="167"/>
      <c r="F288" s="167"/>
    </row>
    <row r="289" spans="1:6" ht="19.5" customHeight="1" x14ac:dyDescent="0.2">
      <c r="A289" s="212"/>
      <c r="B289" s="161"/>
      <c r="C289" s="212"/>
      <c r="D289" s="212"/>
      <c r="E289" s="212"/>
      <c r="F289" s="212"/>
    </row>
    <row r="290" spans="1:6" ht="19.5" customHeight="1" x14ac:dyDescent="0.2">
      <c r="A290" s="313" t="s">
        <v>28</v>
      </c>
      <c r="B290" s="321" t="s">
        <v>29</v>
      </c>
      <c r="C290" s="313" t="s">
        <v>56</v>
      </c>
      <c r="D290" s="313" t="s">
        <v>31</v>
      </c>
      <c r="E290" s="313" t="s">
        <v>32</v>
      </c>
      <c r="F290" s="314" t="s">
        <v>33</v>
      </c>
    </row>
    <row r="291" spans="1:6" ht="30" customHeight="1" x14ac:dyDescent="0.2">
      <c r="A291" s="313"/>
      <c r="B291" s="322"/>
      <c r="C291" s="313"/>
      <c r="D291" s="313"/>
      <c r="E291" s="313"/>
      <c r="F291" s="315"/>
    </row>
    <row r="292" spans="1:6" ht="36" customHeight="1" x14ac:dyDescent="0.2">
      <c r="A292" s="316" t="s">
        <v>34</v>
      </c>
      <c r="B292" s="195" t="s">
        <v>57</v>
      </c>
      <c r="C292" s="355" t="s">
        <v>86</v>
      </c>
      <c r="D292" s="203" t="s">
        <v>36</v>
      </c>
      <c r="E292" s="203">
        <v>10</v>
      </c>
      <c r="F292" s="214">
        <v>45.599999999999994</v>
      </c>
    </row>
    <row r="293" spans="1:6" ht="36" customHeight="1" x14ac:dyDescent="0.2">
      <c r="A293" s="316"/>
      <c r="B293" s="315" t="s">
        <v>37</v>
      </c>
      <c r="C293" s="355"/>
      <c r="D293" s="203" t="s">
        <v>38</v>
      </c>
      <c r="E293" s="203">
        <v>13</v>
      </c>
      <c r="F293" s="214">
        <v>493.61</v>
      </c>
    </row>
    <row r="294" spans="1:6" ht="29.25" customHeight="1" x14ac:dyDescent="0.2">
      <c r="A294" s="316"/>
      <c r="B294" s="313"/>
      <c r="C294" s="355"/>
      <c r="D294" s="203" t="s">
        <v>39</v>
      </c>
      <c r="E294" s="203">
        <v>2</v>
      </c>
      <c r="F294" s="214">
        <v>176.46</v>
      </c>
    </row>
    <row r="295" spans="1:6" ht="27.75" customHeight="1" x14ac:dyDescent="0.2">
      <c r="A295" s="326" t="s">
        <v>59</v>
      </c>
      <c r="B295" s="314" t="s">
        <v>60</v>
      </c>
      <c r="C295" s="329" t="s">
        <v>456</v>
      </c>
      <c r="D295" s="203" t="s">
        <v>78</v>
      </c>
      <c r="E295" s="203">
        <v>81</v>
      </c>
      <c r="F295" s="214">
        <v>2030.67</v>
      </c>
    </row>
    <row r="296" spans="1:6" ht="31.5" x14ac:dyDescent="0.2">
      <c r="A296" s="327"/>
      <c r="B296" s="319"/>
      <c r="C296" s="330"/>
      <c r="D296" s="203" t="s">
        <v>62</v>
      </c>
      <c r="E296" s="203">
        <v>10</v>
      </c>
      <c r="F296" s="214">
        <v>50.300000000000004</v>
      </c>
    </row>
    <row r="297" spans="1:6" ht="29.25" customHeight="1" x14ac:dyDescent="0.2">
      <c r="A297" s="327"/>
      <c r="B297" s="319"/>
      <c r="C297" s="330"/>
      <c r="D297" s="203" t="s">
        <v>64</v>
      </c>
      <c r="E297" s="203">
        <v>10</v>
      </c>
      <c r="F297" s="214">
        <v>36.800000000000004</v>
      </c>
    </row>
    <row r="298" spans="1:6" s="159" customFormat="1" ht="22.5" customHeight="1" x14ac:dyDescent="0.2">
      <c r="A298" s="327"/>
      <c r="B298" s="319"/>
      <c r="C298" s="330"/>
      <c r="D298" s="170" t="s">
        <v>11</v>
      </c>
      <c r="E298" s="203">
        <v>2</v>
      </c>
      <c r="F298" s="214">
        <v>24.2</v>
      </c>
    </row>
    <row r="299" spans="1:6" s="159" customFormat="1" ht="31.5" x14ac:dyDescent="0.2">
      <c r="A299" s="327"/>
      <c r="B299" s="319"/>
      <c r="C299" s="330"/>
      <c r="D299" s="203" t="s">
        <v>63</v>
      </c>
      <c r="E299" s="203">
        <v>10</v>
      </c>
      <c r="F299" s="214">
        <v>91.6</v>
      </c>
    </row>
    <row r="300" spans="1:6" s="159" customFormat="1" ht="22.5" customHeight="1" x14ac:dyDescent="0.2">
      <c r="A300" s="327"/>
      <c r="B300" s="319"/>
      <c r="C300" s="330"/>
      <c r="D300" s="170" t="s">
        <v>79</v>
      </c>
      <c r="E300" s="203">
        <v>10</v>
      </c>
      <c r="F300" s="214">
        <v>50.9</v>
      </c>
    </row>
    <row r="301" spans="1:6" s="159" customFormat="1" ht="22.5" customHeight="1" x14ac:dyDescent="0.2">
      <c r="A301" s="327"/>
      <c r="B301" s="319"/>
      <c r="C301" s="330"/>
      <c r="D301" s="170" t="s">
        <v>65</v>
      </c>
      <c r="E301" s="203">
        <v>1</v>
      </c>
      <c r="F301" s="214">
        <v>8.27</v>
      </c>
    </row>
    <row r="302" spans="1:6" ht="22.5" customHeight="1" x14ac:dyDescent="0.2">
      <c r="A302" s="328"/>
      <c r="B302" s="315"/>
      <c r="C302" s="333"/>
      <c r="D302" s="203" t="s">
        <v>43</v>
      </c>
      <c r="E302" s="203">
        <v>0.1</v>
      </c>
      <c r="F302" s="214">
        <v>0.19</v>
      </c>
    </row>
    <row r="303" spans="1:6" ht="31.5" x14ac:dyDescent="0.2">
      <c r="A303" s="326" t="s">
        <v>40</v>
      </c>
      <c r="B303" s="314" t="s">
        <v>41</v>
      </c>
      <c r="C303" s="314" t="s">
        <v>80</v>
      </c>
      <c r="D303" s="203" t="s">
        <v>81</v>
      </c>
      <c r="E303" s="203">
        <v>75</v>
      </c>
      <c r="F303" s="214">
        <v>417.75</v>
      </c>
    </row>
    <row r="304" spans="1:6" ht="21.75" customHeight="1" x14ac:dyDescent="0.2">
      <c r="A304" s="328"/>
      <c r="B304" s="315"/>
      <c r="C304" s="315"/>
      <c r="D304" s="203" t="s">
        <v>43</v>
      </c>
      <c r="E304" s="203">
        <v>0.1</v>
      </c>
      <c r="F304" s="214">
        <v>0.19</v>
      </c>
    </row>
    <row r="305" spans="1:6" ht="31.5" x14ac:dyDescent="0.2">
      <c r="A305" s="202" t="s">
        <v>46</v>
      </c>
      <c r="B305" s="202" t="s">
        <v>47</v>
      </c>
      <c r="C305" s="203" t="s">
        <v>48</v>
      </c>
      <c r="D305" s="203" t="s">
        <v>13</v>
      </c>
      <c r="E305" s="203">
        <v>7</v>
      </c>
      <c r="F305" s="214">
        <v>41.09</v>
      </c>
    </row>
    <row r="306" spans="1:6" ht="31.5" x14ac:dyDescent="0.2">
      <c r="A306" s="202" t="s">
        <v>49</v>
      </c>
      <c r="B306" s="202" t="s">
        <v>50</v>
      </c>
      <c r="C306" s="203" t="s">
        <v>51</v>
      </c>
      <c r="D306" s="203" t="s">
        <v>52</v>
      </c>
      <c r="E306" s="203">
        <v>4</v>
      </c>
      <c r="F306" s="214">
        <v>50.32</v>
      </c>
    </row>
    <row r="307" spans="1:6" ht="23.25" customHeight="1" x14ac:dyDescent="0.2">
      <c r="A307" s="199" t="s">
        <v>53</v>
      </c>
      <c r="B307" s="316" t="s">
        <v>54</v>
      </c>
      <c r="C307" s="320"/>
      <c r="D307" s="203" t="s">
        <v>53</v>
      </c>
      <c r="E307" s="203">
        <v>150</v>
      </c>
      <c r="F307" s="214">
        <v>100.5</v>
      </c>
    </row>
    <row r="308" spans="1:6" ht="20.100000000000001" customHeight="1" x14ac:dyDescent="0.2">
      <c r="A308" s="334" t="s">
        <v>331</v>
      </c>
      <c r="B308" s="335"/>
      <c r="C308" s="335"/>
      <c r="D308" s="335"/>
      <c r="E308" s="336"/>
      <c r="F308" s="213">
        <v>3618.45</v>
      </c>
    </row>
    <row r="309" spans="1:6" s="2" customFormat="1" ht="19.5" customHeight="1" x14ac:dyDescent="0.25">
      <c r="A309" s="160"/>
      <c r="B309" s="162"/>
      <c r="C309" s="162"/>
      <c r="D309" s="162"/>
      <c r="E309" s="162"/>
      <c r="F309" s="162"/>
    </row>
    <row r="310" spans="1:6" ht="19.5" customHeight="1" x14ac:dyDescent="0.2">
      <c r="A310" s="166" t="s">
        <v>27</v>
      </c>
      <c r="B310" s="201">
        <v>17</v>
      </c>
      <c r="C310" s="167"/>
      <c r="D310" s="167"/>
      <c r="E310" s="167"/>
      <c r="F310" s="167"/>
    </row>
    <row r="311" spans="1:6" ht="19.5" customHeight="1" x14ac:dyDescent="0.2">
      <c r="A311" s="167"/>
      <c r="B311" s="161"/>
      <c r="C311" s="167"/>
      <c r="D311" s="167"/>
      <c r="E311" s="167"/>
      <c r="F311" s="167"/>
    </row>
    <row r="312" spans="1:6" ht="12.75" customHeight="1" x14ac:dyDescent="0.2">
      <c r="A312" s="313" t="s">
        <v>28</v>
      </c>
      <c r="B312" s="321" t="s">
        <v>29</v>
      </c>
      <c r="C312" s="313" t="s">
        <v>56</v>
      </c>
      <c r="D312" s="313" t="s">
        <v>31</v>
      </c>
      <c r="E312" s="313" t="s">
        <v>32</v>
      </c>
      <c r="F312" s="314" t="s">
        <v>33</v>
      </c>
    </row>
    <row r="313" spans="1:6" ht="35.25" customHeight="1" x14ac:dyDescent="0.2">
      <c r="A313" s="313"/>
      <c r="B313" s="322"/>
      <c r="C313" s="313"/>
      <c r="D313" s="313"/>
      <c r="E313" s="313"/>
      <c r="F313" s="315"/>
    </row>
    <row r="314" spans="1:6" ht="32.25" customHeight="1" x14ac:dyDescent="0.2">
      <c r="A314" s="337" t="s">
        <v>34</v>
      </c>
      <c r="B314" s="195" t="s">
        <v>57</v>
      </c>
      <c r="C314" s="317" t="s">
        <v>76</v>
      </c>
      <c r="D314" s="203" t="s">
        <v>245</v>
      </c>
      <c r="E314" s="203">
        <v>10</v>
      </c>
      <c r="F314" s="214">
        <v>167.7</v>
      </c>
    </row>
    <row r="315" spans="1:6" ht="61.5" customHeight="1" x14ac:dyDescent="0.2">
      <c r="A315" s="339"/>
      <c r="B315" s="200" t="s">
        <v>37</v>
      </c>
      <c r="C315" s="340"/>
      <c r="D315" s="203" t="s">
        <v>38</v>
      </c>
      <c r="E315" s="203">
        <v>13</v>
      </c>
      <c r="F315" s="214">
        <v>493.61</v>
      </c>
    </row>
    <row r="316" spans="1:6" ht="28.5" customHeight="1" x14ac:dyDescent="0.2">
      <c r="A316" s="326" t="s">
        <v>277</v>
      </c>
      <c r="B316" s="314" t="s">
        <v>60</v>
      </c>
      <c r="C316" s="330" t="s">
        <v>457</v>
      </c>
      <c r="D316" s="203" t="s">
        <v>70</v>
      </c>
      <c r="E316" s="203">
        <v>55</v>
      </c>
      <c r="F316" s="214">
        <v>593.44999999999993</v>
      </c>
    </row>
    <row r="317" spans="1:6" ht="28.5" customHeight="1" x14ac:dyDescent="0.2">
      <c r="A317" s="327"/>
      <c r="B317" s="319"/>
      <c r="C317" s="330"/>
      <c r="D317" s="203" t="s">
        <v>62</v>
      </c>
      <c r="E317" s="203">
        <v>10</v>
      </c>
      <c r="F317" s="214">
        <v>50.300000000000004</v>
      </c>
    </row>
    <row r="318" spans="1:6" ht="28.5" customHeight="1" x14ac:dyDescent="0.2">
      <c r="A318" s="327"/>
      <c r="B318" s="319"/>
      <c r="C318" s="330"/>
      <c r="D318" s="203" t="s">
        <v>79</v>
      </c>
      <c r="E318" s="203">
        <v>10</v>
      </c>
      <c r="F318" s="214">
        <v>50.9</v>
      </c>
    </row>
    <row r="319" spans="1:6" ht="24.95" customHeight="1" x14ac:dyDescent="0.2">
      <c r="A319" s="328"/>
      <c r="B319" s="315"/>
      <c r="C319" s="333"/>
      <c r="D319" s="203" t="s">
        <v>43</v>
      </c>
      <c r="E319" s="203">
        <v>0.1</v>
      </c>
      <c r="F319" s="214">
        <v>0.19</v>
      </c>
    </row>
    <row r="320" spans="1:6" ht="32.25" customHeight="1" x14ac:dyDescent="0.2">
      <c r="A320" s="326" t="s">
        <v>40</v>
      </c>
      <c r="B320" s="314" t="s">
        <v>41</v>
      </c>
      <c r="C320" s="329" t="s">
        <v>339</v>
      </c>
      <c r="D320" s="206" t="s">
        <v>96</v>
      </c>
      <c r="E320" s="203">
        <v>83</v>
      </c>
      <c r="F320" s="214">
        <v>591.79</v>
      </c>
    </row>
    <row r="321" spans="1:6" ht="30" customHeight="1" x14ac:dyDescent="0.2">
      <c r="A321" s="327"/>
      <c r="B321" s="319"/>
      <c r="C321" s="330"/>
      <c r="D321" s="206" t="s">
        <v>62</v>
      </c>
      <c r="E321" s="203">
        <v>4</v>
      </c>
      <c r="F321" s="214">
        <v>20.12</v>
      </c>
    </row>
    <row r="322" spans="1:6" ht="24.95" customHeight="1" x14ac:dyDescent="0.2">
      <c r="A322" s="327"/>
      <c r="B322" s="319"/>
      <c r="C322" s="330"/>
      <c r="D322" s="206" t="s">
        <v>43</v>
      </c>
      <c r="E322" s="203">
        <v>0.1</v>
      </c>
      <c r="F322" s="214">
        <v>0.19</v>
      </c>
    </row>
    <row r="323" spans="1:6" ht="24.95" customHeight="1" x14ac:dyDescent="0.2">
      <c r="A323" s="328"/>
      <c r="B323" s="315"/>
      <c r="C323" s="330"/>
      <c r="D323" s="206" t="s">
        <v>11</v>
      </c>
      <c r="E323" s="203">
        <v>2</v>
      </c>
      <c r="F323" s="214">
        <v>24.2</v>
      </c>
    </row>
    <row r="324" spans="1:6" ht="30" customHeight="1" x14ac:dyDescent="0.2">
      <c r="A324" s="202" t="s">
        <v>46</v>
      </c>
      <c r="B324" s="202" t="s">
        <v>47</v>
      </c>
      <c r="C324" s="203" t="s">
        <v>278</v>
      </c>
      <c r="D324" s="203" t="s">
        <v>68</v>
      </c>
      <c r="E324" s="203">
        <v>5</v>
      </c>
      <c r="F324" s="214">
        <v>25.75</v>
      </c>
    </row>
    <row r="325" spans="1:6" ht="30.75" customHeight="1" x14ac:dyDescent="0.2">
      <c r="A325" s="202" t="s">
        <v>49</v>
      </c>
      <c r="B325" s="202" t="s">
        <v>50</v>
      </c>
      <c r="C325" s="203" t="s">
        <v>51</v>
      </c>
      <c r="D325" s="203" t="s">
        <v>52</v>
      </c>
      <c r="E325" s="203">
        <v>5</v>
      </c>
      <c r="F325" s="214">
        <v>62.9</v>
      </c>
    </row>
    <row r="326" spans="1:6" ht="24.95" customHeight="1" x14ac:dyDescent="0.2">
      <c r="A326" s="199" t="s">
        <v>53</v>
      </c>
      <c r="B326" s="316" t="s">
        <v>54</v>
      </c>
      <c r="C326" s="320"/>
      <c r="D326" s="203" t="s">
        <v>53</v>
      </c>
      <c r="E326" s="203">
        <v>150</v>
      </c>
      <c r="F326" s="214">
        <v>100.5</v>
      </c>
    </row>
    <row r="327" spans="1:6" ht="20.100000000000001" customHeight="1" x14ac:dyDescent="0.2">
      <c r="A327" s="334" t="s">
        <v>331</v>
      </c>
      <c r="B327" s="335"/>
      <c r="C327" s="335"/>
      <c r="D327" s="335"/>
      <c r="E327" s="336"/>
      <c r="F327" s="213">
        <v>2181.6</v>
      </c>
    </row>
    <row r="328" spans="1:6" s="2" customFormat="1" ht="19.5" customHeight="1" x14ac:dyDescent="0.25">
      <c r="A328" s="160"/>
      <c r="B328" s="162"/>
      <c r="C328" s="162"/>
      <c r="D328" s="162"/>
      <c r="E328" s="162"/>
      <c r="F328" s="162"/>
    </row>
    <row r="329" spans="1:6" ht="19.5" customHeight="1" x14ac:dyDescent="0.2">
      <c r="A329" s="166" t="s">
        <v>27</v>
      </c>
      <c r="B329" s="201">
        <v>18</v>
      </c>
      <c r="C329" s="167"/>
      <c r="D329" s="167"/>
      <c r="E329" s="167"/>
      <c r="F329" s="167"/>
    </row>
    <row r="330" spans="1:6" ht="19.5" customHeight="1" x14ac:dyDescent="0.2">
      <c r="A330" s="167"/>
      <c r="B330" s="161"/>
      <c r="C330" s="167"/>
      <c r="D330" s="167"/>
      <c r="E330" s="167"/>
      <c r="F330" s="167"/>
    </row>
    <row r="331" spans="1:6" ht="12.75" customHeight="1" x14ac:dyDescent="0.2">
      <c r="A331" s="313" t="s">
        <v>28</v>
      </c>
      <c r="B331" s="321" t="s">
        <v>29</v>
      </c>
      <c r="C331" s="313" t="s">
        <v>56</v>
      </c>
      <c r="D331" s="313" t="s">
        <v>31</v>
      </c>
      <c r="E331" s="313" t="s">
        <v>32</v>
      </c>
      <c r="F331" s="314" t="s">
        <v>33</v>
      </c>
    </row>
    <row r="332" spans="1:6" ht="34.5" customHeight="1" x14ac:dyDescent="0.2">
      <c r="A332" s="313"/>
      <c r="B332" s="322"/>
      <c r="C332" s="313"/>
      <c r="D332" s="313"/>
      <c r="E332" s="313"/>
      <c r="F332" s="315"/>
    </row>
    <row r="333" spans="1:6" ht="33" customHeight="1" x14ac:dyDescent="0.2">
      <c r="A333" s="337" t="s">
        <v>34</v>
      </c>
      <c r="B333" s="195" t="s">
        <v>57</v>
      </c>
      <c r="C333" s="317" t="s">
        <v>296</v>
      </c>
      <c r="D333" s="203" t="s">
        <v>69</v>
      </c>
      <c r="E333" s="199">
        <v>10</v>
      </c>
      <c r="F333" s="221">
        <v>44</v>
      </c>
    </row>
    <row r="334" spans="1:6" ht="31.5" customHeight="1" x14ac:dyDescent="0.2">
      <c r="A334" s="338"/>
      <c r="B334" s="319" t="s">
        <v>37</v>
      </c>
      <c r="C334" s="318"/>
      <c r="D334" s="203" t="s">
        <v>38</v>
      </c>
      <c r="E334" s="199">
        <v>13</v>
      </c>
      <c r="F334" s="221">
        <v>493.61</v>
      </c>
    </row>
    <row r="335" spans="1:6" ht="31.5" customHeight="1" x14ac:dyDescent="0.2">
      <c r="A335" s="339"/>
      <c r="B335" s="315"/>
      <c r="C335" s="340"/>
      <c r="D335" s="203" t="s">
        <v>39</v>
      </c>
      <c r="E335" s="203">
        <v>2</v>
      </c>
      <c r="F335" s="221">
        <v>176.46</v>
      </c>
    </row>
    <row r="336" spans="1:6" ht="30" customHeight="1" x14ac:dyDescent="0.2">
      <c r="A336" s="314" t="s">
        <v>277</v>
      </c>
      <c r="B336" s="314" t="s">
        <v>60</v>
      </c>
      <c r="C336" s="329" t="s">
        <v>458</v>
      </c>
      <c r="D336" s="203" t="s">
        <v>74</v>
      </c>
      <c r="E336" s="203">
        <v>70</v>
      </c>
      <c r="F336" s="221">
        <v>2118.9</v>
      </c>
    </row>
    <row r="337" spans="1:6" ht="30" customHeight="1" x14ac:dyDescent="0.2">
      <c r="A337" s="319"/>
      <c r="B337" s="319"/>
      <c r="C337" s="330"/>
      <c r="D337" s="203" t="s">
        <v>62</v>
      </c>
      <c r="E337" s="203">
        <v>10</v>
      </c>
      <c r="F337" s="221">
        <v>50.300000000000004</v>
      </c>
    </row>
    <row r="338" spans="1:6" ht="35.25" customHeight="1" x14ac:dyDescent="0.2">
      <c r="A338" s="319"/>
      <c r="B338" s="319"/>
      <c r="C338" s="330"/>
      <c r="D338" s="203" t="s">
        <v>104</v>
      </c>
      <c r="E338" s="203">
        <v>10</v>
      </c>
      <c r="F338" s="221">
        <v>24.6</v>
      </c>
    </row>
    <row r="339" spans="1:6" ht="24.95" customHeight="1" x14ac:dyDescent="0.2">
      <c r="A339" s="319"/>
      <c r="B339" s="319"/>
      <c r="C339" s="330"/>
      <c r="D339" s="170" t="s">
        <v>11</v>
      </c>
      <c r="E339" s="203">
        <v>2</v>
      </c>
      <c r="F339" s="221">
        <v>24.2</v>
      </c>
    </row>
    <row r="340" spans="1:6" ht="30.75" customHeight="1" x14ac:dyDescent="0.2">
      <c r="A340" s="319"/>
      <c r="B340" s="319"/>
      <c r="C340" s="330"/>
      <c r="D340" s="203" t="s">
        <v>63</v>
      </c>
      <c r="E340" s="203">
        <v>10</v>
      </c>
      <c r="F340" s="221">
        <v>91.6</v>
      </c>
    </row>
    <row r="341" spans="1:6" ht="32.25" customHeight="1" x14ac:dyDescent="0.2">
      <c r="A341" s="319"/>
      <c r="B341" s="319"/>
      <c r="C341" s="330"/>
      <c r="D341" s="203" t="s">
        <v>64</v>
      </c>
      <c r="E341" s="203">
        <v>10</v>
      </c>
      <c r="F341" s="221">
        <v>36.800000000000004</v>
      </c>
    </row>
    <row r="342" spans="1:6" ht="24.95" customHeight="1" x14ac:dyDescent="0.2">
      <c r="A342" s="319"/>
      <c r="B342" s="319"/>
      <c r="C342" s="330"/>
      <c r="D342" s="170" t="s">
        <v>65</v>
      </c>
      <c r="E342" s="203">
        <v>1</v>
      </c>
      <c r="F342" s="221">
        <v>8.27</v>
      </c>
    </row>
    <row r="343" spans="1:6" ht="24.95" customHeight="1" x14ac:dyDescent="0.2">
      <c r="A343" s="315"/>
      <c r="B343" s="315"/>
      <c r="C343" s="333"/>
      <c r="D343" s="203" t="s">
        <v>43</v>
      </c>
      <c r="E343" s="203">
        <v>0.1</v>
      </c>
      <c r="F343" s="221">
        <v>0.19</v>
      </c>
    </row>
    <row r="344" spans="1:6" ht="30" customHeight="1" x14ac:dyDescent="0.2">
      <c r="A344" s="314" t="s">
        <v>40</v>
      </c>
      <c r="B344" s="314" t="s">
        <v>41</v>
      </c>
      <c r="C344" s="329" t="s">
        <v>459</v>
      </c>
      <c r="D344" s="203" t="s">
        <v>36</v>
      </c>
      <c r="E344" s="203">
        <v>28.05</v>
      </c>
      <c r="F344" s="221">
        <v>127.90799999999999</v>
      </c>
    </row>
    <row r="345" spans="1:6" ht="24.95" customHeight="1" x14ac:dyDescent="0.2">
      <c r="A345" s="319"/>
      <c r="B345" s="319"/>
      <c r="C345" s="330"/>
      <c r="D345" s="203" t="s">
        <v>11</v>
      </c>
      <c r="E345" s="203">
        <v>2</v>
      </c>
      <c r="F345" s="221">
        <v>24.2</v>
      </c>
    </row>
    <row r="346" spans="1:6" ht="34.5" customHeight="1" x14ac:dyDescent="0.2">
      <c r="A346" s="319"/>
      <c r="B346" s="319"/>
      <c r="C346" s="330"/>
      <c r="D346" s="203" t="s">
        <v>93</v>
      </c>
      <c r="E346" s="203">
        <v>5</v>
      </c>
      <c r="F346" s="221">
        <v>37.35</v>
      </c>
    </row>
    <row r="347" spans="1:6" ht="24.95" customHeight="1" x14ac:dyDescent="0.2">
      <c r="A347" s="319"/>
      <c r="B347" s="319"/>
      <c r="C347" s="333"/>
      <c r="D347" s="203" t="s">
        <v>43</v>
      </c>
      <c r="E347" s="203">
        <v>0.1</v>
      </c>
      <c r="F347" s="221">
        <v>0.19</v>
      </c>
    </row>
    <row r="348" spans="1:6" ht="30.75" customHeight="1" x14ac:dyDescent="0.2">
      <c r="A348" s="202" t="s">
        <v>46</v>
      </c>
      <c r="B348" s="202" t="s">
        <v>47</v>
      </c>
      <c r="C348" s="203" t="s">
        <v>278</v>
      </c>
      <c r="D348" s="203" t="s">
        <v>68</v>
      </c>
      <c r="E348" s="203">
        <v>5</v>
      </c>
      <c r="F348" s="221">
        <v>25.75</v>
      </c>
    </row>
    <row r="349" spans="1:6" ht="27.75" customHeight="1" x14ac:dyDescent="0.2">
      <c r="A349" s="202" t="s">
        <v>49</v>
      </c>
      <c r="B349" s="202" t="s">
        <v>50</v>
      </c>
      <c r="C349" s="203" t="s">
        <v>51</v>
      </c>
      <c r="D349" s="203" t="s">
        <v>52</v>
      </c>
      <c r="E349" s="203">
        <v>4</v>
      </c>
      <c r="F349" s="221">
        <v>50.32</v>
      </c>
    </row>
    <row r="350" spans="1:6" ht="25.5" customHeight="1" x14ac:dyDescent="0.2">
      <c r="A350" s="199" t="s">
        <v>53</v>
      </c>
      <c r="B350" s="316" t="s">
        <v>54</v>
      </c>
      <c r="C350" s="320"/>
      <c r="D350" s="203" t="s">
        <v>53</v>
      </c>
      <c r="E350" s="203">
        <v>150</v>
      </c>
      <c r="F350" s="221">
        <v>100.5</v>
      </c>
    </row>
    <row r="351" spans="1:6" ht="20.100000000000001" customHeight="1" x14ac:dyDescent="0.2">
      <c r="A351" s="356" t="s">
        <v>331</v>
      </c>
      <c r="B351" s="357"/>
      <c r="C351" s="357"/>
      <c r="D351" s="357"/>
      <c r="E351" s="358"/>
      <c r="F351" s="213">
        <v>3435.15</v>
      </c>
    </row>
    <row r="352" spans="1:6" s="2" customFormat="1" ht="19.5" customHeight="1" x14ac:dyDescent="0.25">
      <c r="A352" s="160"/>
      <c r="B352" s="162"/>
      <c r="C352" s="162"/>
      <c r="D352" s="162"/>
      <c r="E352" s="162"/>
      <c r="F352" s="162"/>
    </row>
    <row r="353" spans="1:6" ht="19.5" customHeight="1" x14ac:dyDescent="0.2">
      <c r="A353" s="166" t="s">
        <v>27</v>
      </c>
      <c r="B353" s="201">
        <v>19</v>
      </c>
      <c r="C353" s="167"/>
      <c r="D353" s="167"/>
      <c r="E353" s="167"/>
      <c r="F353" s="167"/>
    </row>
    <row r="354" spans="1:6" ht="19.5" customHeight="1" x14ac:dyDescent="0.2">
      <c r="A354" s="167"/>
      <c r="B354" s="161"/>
      <c r="C354" s="167"/>
      <c r="D354" s="167"/>
      <c r="E354" s="167"/>
      <c r="F354" s="167"/>
    </row>
    <row r="355" spans="1:6" ht="12.75" customHeight="1" x14ac:dyDescent="0.2">
      <c r="A355" s="313" t="s">
        <v>28</v>
      </c>
      <c r="B355" s="321" t="s">
        <v>29</v>
      </c>
      <c r="C355" s="313" t="s">
        <v>56</v>
      </c>
      <c r="D355" s="313" t="s">
        <v>31</v>
      </c>
      <c r="E355" s="313" t="s">
        <v>32</v>
      </c>
      <c r="F355" s="314" t="s">
        <v>33</v>
      </c>
    </row>
    <row r="356" spans="1:6" ht="33" customHeight="1" x14ac:dyDescent="0.2">
      <c r="A356" s="313"/>
      <c r="B356" s="321"/>
      <c r="C356" s="313"/>
      <c r="D356" s="313"/>
      <c r="E356" s="313"/>
      <c r="F356" s="315"/>
    </row>
    <row r="357" spans="1:6" ht="33.75" customHeight="1" x14ac:dyDescent="0.2">
      <c r="A357" s="326" t="s">
        <v>34</v>
      </c>
      <c r="B357" s="195" t="s">
        <v>57</v>
      </c>
      <c r="C357" s="329" t="s">
        <v>329</v>
      </c>
      <c r="D357" s="203" t="s">
        <v>58</v>
      </c>
      <c r="E357" s="203">
        <v>10</v>
      </c>
      <c r="F357" s="214">
        <v>86</v>
      </c>
    </row>
    <row r="358" spans="1:6" ht="40.5" customHeight="1" x14ac:dyDescent="0.2">
      <c r="A358" s="327"/>
      <c r="B358" s="319" t="s">
        <v>37</v>
      </c>
      <c r="C358" s="330"/>
      <c r="D358" s="203" t="s">
        <v>38</v>
      </c>
      <c r="E358" s="203">
        <v>13</v>
      </c>
      <c r="F358" s="214">
        <v>493.61</v>
      </c>
    </row>
    <row r="359" spans="1:6" ht="24.95" customHeight="1" x14ac:dyDescent="0.2">
      <c r="A359" s="328"/>
      <c r="B359" s="315"/>
      <c r="C359" s="330"/>
      <c r="D359" s="203" t="s">
        <v>39</v>
      </c>
      <c r="E359" s="203">
        <v>2</v>
      </c>
      <c r="F359" s="214">
        <v>176.46</v>
      </c>
    </row>
    <row r="360" spans="1:6" ht="33" customHeight="1" x14ac:dyDescent="0.2">
      <c r="A360" s="326" t="s">
        <v>40</v>
      </c>
      <c r="B360" s="314" t="s">
        <v>41</v>
      </c>
      <c r="C360" s="331" t="s">
        <v>87</v>
      </c>
      <c r="D360" s="203" t="s">
        <v>42</v>
      </c>
      <c r="E360" s="203">
        <v>55</v>
      </c>
      <c r="F360" s="214">
        <v>273.34999999999997</v>
      </c>
    </row>
    <row r="361" spans="1:6" ht="24.95" customHeight="1" x14ac:dyDescent="0.2">
      <c r="A361" s="328"/>
      <c r="B361" s="315"/>
      <c r="C361" s="332"/>
      <c r="D361" s="203" t="s">
        <v>43</v>
      </c>
      <c r="E361" s="203">
        <v>0.1</v>
      </c>
      <c r="F361" s="214">
        <v>0.19</v>
      </c>
    </row>
    <row r="362" spans="1:6" ht="24.95" customHeight="1" x14ac:dyDescent="0.2">
      <c r="A362" s="195" t="s">
        <v>44</v>
      </c>
      <c r="B362" s="202" t="s">
        <v>45</v>
      </c>
      <c r="C362" s="196" t="s">
        <v>14</v>
      </c>
      <c r="D362" s="203" t="s">
        <v>89</v>
      </c>
      <c r="E362" s="203">
        <v>158</v>
      </c>
      <c r="F362" s="214">
        <v>990.66</v>
      </c>
    </row>
    <row r="363" spans="1:6" ht="30.75" customHeight="1" x14ac:dyDescent="0.2">
      <c r="A363" s="202" t="s">
        <v>46</v>
      </c>
      <c r="B363" s="202" t="s">
        <v>47</v>
      </c>
      <c r="C363" s="203" t="s">
        <v>278</v>
      </c>
      <c r="D363" s="203" t="s">
        <v>68</v>
      </c>
      <c r="E363" s="203">
        <v>5</v>
      </c>
      <c r="F363" s="214">
        <v>25.75</v>
      </c>
    </row>
    <row r="364" spans="1:6" ht="30.75" customHeight="1" x14ac:dyDescent="0.2">
      <c r="A364" s="202" t="s">
        <v>49</v>
      </c>
      <c r="B364" s="202" t="s">
        <v>50</v>
      </c>
      <c r="C364" s="203" t="s">
        <v>51</v>
      </c>
      <c r="D364" s="203" t="s">
        <v>52</v>
      </c>
      <c r="E364" s="203">
        <v>7</v>
      </c>
      <c r="F364" s="214">
        <v>88.06</v>
      </c>
    </row>
    <row r="365" spans="1:6" ht="24.95" customHeight="1" x14ac:dyDescent="0.2">
      <c r="A365" s="199" t="s">
        <v>53</v>
      </c>
      <c r="B365" s="316" t="s">
        <v>54</v>
      </c>
      <c r="C365" s="320"/>
      <c r="D365" s="203" t="s">
        <v>53</v>
      </c>
      <c r="E365" s="203">
        <v>150</v>
      </c>
      <c r="F365" s="214">
        <v>100.5</v>
      </c>
    </row>
    <row r="366" spans="1:6" ht="20.100000000000001" customHeight="1" x14ac:dyDescent="0.2">
      <c r="A366" s="359" t="s">
        <v>331</v>
      </c>
      <c r="B366" s="360"/>
      <c r="C366" s="360"/>
      <c r="D366" s="360"/>
      <c r="E366" s="361"/>
      <c r="F366" s="213">
        <v>2234.58</v>
      </c>
    </row>
    <row r="367" spans="1:6" s="2" customFormat="1" ht="19.5" customHeight="1" x14ac:dyDescent="0.25">
      <c r="A367" s="160"/>
      <c r="B367" s="162"/>
      <c r="C367" s="162"/>
      <c r="D367" s="162"/>
      <c r="E367" s="162"/>
      <c r="F367" s="162"/>
    </row>
    <row r="368" spans="1:6" ht="19.5" customHeight="1" x14ac:dyDescent="0.2">
      <c r="A368" s="166" t="s">
        <v>27</v>
      </c>
      <c r="B368" s="201">
        <v>20</v>
      </c>
      <c r="C368" s="167"/>
      <c r="D368" s="167"/>
      <c r="E368" s="167"/>
      <c r="F368" s="167"/>
    </row>
    <row r="369" spans="1:10" ht="19.5" customHeight="1" x14ac:dyDescent="0.2">
      <c r="A369" s="167"/>
      <c r="B369" s="161"/>
      <c r="C369" s="167"/>
      <c r="D369" s="167"/>
      <c r="E369" s="167"/>
      <c r="F369" s="167"/>
    </row>
    <row r="370" spans="1:10" ht="12.75" customHeight="1" x14ac:dyDescent="0.2">
      <c r="A370" s="313" t="s">
        <v>28</v>
      </c>
      <c r="B370" s="321" t="s">
        <v>29</v>
      </c>
      <c r="C370" s="313" t="s">
        <v>56</v>
      </c>
      <c r="D370" s="313" t="s">
        <v>31</v>
      </c>
      <c r="E370" s="313" t="s">
        <v>32</v>
      </c>
      <c r="F370" s="314" t="s">
        <v>33</v>
      </c>
    </row>
    <row r="371" spans="1:10" s="190" customFormat="1" ht="39" customHeight="1" x14ac:dyDescent="0.2">
      <c r="A371" s="313"/>
      <c r="B371" s="322"/>
      <c r="C371" s="313"/>
      <c r="D371" s="313"/>
      <c r="E371" s="313"/>
      <c r="F371" s="315"/>
      <c r="G371" s="1"/>
      <c r="H371" s="1"/>
      <c r="I371" s="1"/>
      <c r="J371" s="1"/>
    </row>
    <row r="372" spans="1:10" s="190" customFormat="1" ht="30" customHeight="1" x14ac:dyDescent="0.2">
      <c r="A372" s="316" t="s">
        <v>34</v>
      </c>
      <c r="B372" s="195" t="s">
        <v>57</v>
      </c>
      <c r="C372" s="317" t="s">
        <v>84</v>
      </c>
      <c r="D372" s="203" t="s">
        <v>85</v>
      </c>
      <c r="E372" s="203">
        <v>10</v>
      </c>
      <c r="F372" s="214">
        <v>40.300000000000004</v>
      </c>
      <c r="G372" s="1"/>
      <c r="H372" s="1"/>
      <c r="I372" s="1"/>
      <c r="J372" s="1"/>
    </row>
    <row r="373" spans="1:10" s="190" customFormat="1" ht="35.25" customHeight="1" x14ac:dyDescent="0.2">
      <c r="A373" s="316"/>
      <c r="B373" s="319" t="s">
        <v>37</v>
      </c>
      <c r="C373" s="318"/>
      <c r="D373" s="203" t="s">
        <v>38</v>
      </c>
      <c r="E373" s="203">
        <v>13</v>
      </c>
      <c r="F373" s="214">
        <v>493.61</v>
      </c>
      <c r="G373" s="1"/>
      <c r="H373" s="1"/>
      <c r="I373" s="1"/>
      <c r="J373" s="1"/>
    </row>
    <row r="374" spans="1:10" s="190" customFormat="1" ht="28.5" customHeight="1" x14ac:dyDescent="0.2">
      <c r="A374" s="316"/>
      <c r="B374" s="315"/>
      <c r="C374" s="318"/>
      <c r="D374" s="203" t="s">
        <v>39</v>
      </c>
      <c r="E374" s="203">
        <v>2</v>
      </c>
      <c r="F374" s="214">
        <v>176.46</v>
      </c>
      <c r="G374" s="1"/>
      <c r="H374" s="1"/>
      <c r="I374" s="1"/>
      <c r="J374" s="1"/>
    </row>
    <row r="375" spans="1:10" s="190" customFormat="1" ht="33.75" customHeight="1" x14ac:dyDescent="0.2">
      <c r="A375" s="199" t="s">
        <v>40</v>
      </c>
      <c r="B375" s="199" t="s">
        <v>41</v>
      </c>
      <c r="C375" s="206" t="s">
        <v>398</v>
      </c>
      <c r="D375" s="206" t="s">
        <v>415</v>
      </c>
      <c r="E375" s="203">
        <v>50</v>
      </c>
      <c r="F375" s="214">
        <v>928.99999999999989</v>
      </c>
      <c r="G375" s="1"/>
      <c r="H375" s="1"/>
      <c r="I375" s="1"/>
      <c r="J375" s="1"/>
    </row>
    <row r="376" spans="1:10" s="190" customFormat="1" ht="29.25" customHeight="1" x14ac:dyDescent="0.2">
      <c r="A376" s="195" t="s">
        <v>44</v>
      </c>
      <c r="B376" s="202" t="s">
        <v>45</v>
      </c>
      <c r="C376" s="197" t="s">
        <v>82</v>
      </c>
      <c r="D376" s="203" t="s">
        <v>83</v>
      </c>
      <c r="E376" s="203">
        <v>158</v>
      </c>
      <c r="F376" s="214">
        <v>368.14</v>
      </c>
      <c r="G376" s="1"/>
      <c r="H376" s="1"/>
      <c r="I376" s="1"/>
      <c r="J376" s="1"/>
    </row>
    <row r="377" spans="1:10" s="190" customFormat="1" ht="32.25" customHeight="1" x14ac:dyDescent="0.2">
      <c r="A377" s="202" t="s">
        <v>46</v>
      </c>
      <c r="B377" s="202" t="s">
        <v>47</v>
      </c>
      <c r="C377" s="203" t="s">
        <v>67</v>
      </c>
      <c r="D377" s="203" t="s">
        <v>68</v>
      </c>
      <c r="E377" s="203">
        <v>5</v>
      </c>
      <c r="F377" s="214">
        <v>25.75</v>
      </c>
      <c r="G377" s="1"/>
      <c r="H377" s="1"/>
      <c r="I377" s="1"/>
      <c r="J377" s="1"/>
    </row>
    <row r="378" spans="1:10" s="190" customFormat="1" ht="24.95" customHeight="1" x14ac:dyDescent="0.2">
      <c r="A378" s="199" t="s">
        <v>53</v>
      </c>
      <c r="B378" s="316" t="s">
        <v>54</v>
      </c>
      <c r="C378" s="320"/>
      <c r="D378" s="203" t="s">
        <v>53</v>
      </c>
      <c r="E378" s="203">
        <v>150</v>
      </c>
      <c r="F378" s="214">
        <v>100.5</v>
      </c>
      <c r="G378" s="1"/>
      <c r="H378" s="1"/>
      <c r="I378" s="1"/>
      <c r="J378" s="1"/>
    </row>
    <row r="379" spans="1:10" s="190" customFormat="1" ht="20.100000000000001" customHeight="1" x14ac:dyDescent="0.2">
      <c r="A379" s="356" t="s">
        <v>331</v>
      </c>
      <c r="B379" s="357"/>
      <c r="C379" s="357"/>
      <c r="D379" s="357"/>
      <c r="E379" s="358"/>
      <c r="F379" s="213">
        <v>2133.7600000000002</v>
      </c>
      <c r="G379" s="1"/>
      <c r="H379" s="1"/>
      <c r="I379" s="1"/>
      <c r="J379" s="1"/>
    </row>
    <row r="380" spans="1:10" s="190" customFormat="1" ht="19.5" customHeight="1" x14ac:dyDescent="0.25">
      <c r="A380" s="308" t="s">
        <v>120</v>
      </c>
      <c r="B380" s="309"/>
      <c r="C380" s="309"/>
      <c r="D380" s="309"/>
      <c r="E380" s="310"/>
      <c r="F380" s="216">
        <v>52597.93</v>
      </c>
      <c r="G380" s="1"/>
      <c r="H380" s="1"/>
      <c r="I380" s="1"/>
      <c r="J380" s="1"/>
    </row>
    <row r="381" spans="1:10" s="190" customFormat="1" ht="19.5" customHeight="1" x14ac:dyDescent="0.25">
      <c r="A381" s="308" t="s">
        <v>302</v>
      </c>
      <c r="B381" s="309"/>
      <c r="C381" s="309"/>
      <c r="D381" s="309"/>
      <c r="E381" s="310"/>
      <c r="F381" s="216">
        <v>2629.9</v>
      </c>
      <c r="G381" s="1"/>
      <c r="H381" s="1"/>
      <c r="I381" s="1"/>
      <c r="J381" s="1"/>
    </row>
    <row r="382" spans="1:10" s="190" customFormat="1" ht="19.5" customHeight="1" x14ac:dyDescent="0.25">
      <c r="A382" s="308" t="s">
        <v>99</v>
      </c>
      <c r="B382" s="309"/>
      <c r="C382" s="309"/>
      <c r="D382" s="309"/>
      <c r="E382" s="310"/>
      <c r="F382" s="216">
        <v>2621.21</v>
      </c>
      <c r="G382" s="1"/>
      <c r="H382" s="1"/>
      <c r="I382" s="1"/>
      <c r="J382" s="1"/>
    </row>
    <row r="383" spans="1:10" s="190" customFormat="1" ht="19.5" customHeight="1" x14ac:dyDescent="0.25">
      <c r="A383" s="308" t="s">
        <v>304</v>
      </c>
      <c r="B383" s="309"/>
      <c r="C383" s="309"/>
      <c r="D383" s="309"/>
      <c r="E383" s="310"/>
      <c r="F383" s="253">
        <v>7.31</v>
      </c>
      <c r="G383" s="1"/>
      <c r="H383" s="1"/>
      <c r="I383" s="1"/>
      <c r="J383" s="1"/>
    </row>
    <row r="384" spans="1:10" ht="19.5" customHeight="1" x14ac:dyDescent="0.25">
      <c r="A384" s="308" t="s">
        <v>101</v>
      </c>
      <c r="B384" s="309"/>
      <c r="C384" s="309"/>
      <c r="D384" s="309"/>
      <c r="E384" s="310"/>
      <c r="F384" s="253">
        <v>7.42</v>
      </c>
    </row>
    <row r="385" spans="1:6" ht="19.5" customHeight="1" x14ac:dyDescent="0.25">
      <c r="A385" s="311"/>
      <c r="B385" s="311"/>
      <c r="C385" s="311"/>
      <c r="D385" s="311"/>
      <c r="E385" s="311"/>
      <c r="F385" s="311"/>
    </row>
    <row r="386" spans="1:6" ht="19.5" customHeight="1" x14ac:dyDescent="0.25">
      <c r="A386" s="311"/>
      <c r="B386" s="311"/>
      <c r="C386" s="311"/>
      <c r="D386" s="311"/>
      <c r="E386" s="311"/>
      <c r="F386" s="311"/>
    </row>
    <row r="387" spans="1:6" ht="19.5" customHeight="1" x14ac:dyDescent="0.25">
      <c r="A387" s="311"/>
      <c r="B387" s="311"/>
      <c r="C387" s="311"/>
      <c r="D387" s="311"/>
      <c r="E387" s="311"/>
      <c r="F387" s="311"/>
    </row>
    <row r="388" spans="1:6" ht="19.5" customHeight="1" x14ac:dyDescent="0.25">
      <c r="A388" s="311"/>
      <c r="B388" s="311"/>
      <c r="C388" s="311"/>
      <c r="D388" s="311"/>
      <c r="E388" s="311"/>
      <c r="F388" s="311"/>
    </row>
    <row r="389" spans="1:6" ht="19.5" customHeight="1" x14ac:dyDescent="0.25">
      <c r="A389" s="311"/>
      <c r="B389" s="311"/>
      <c r="C389" s="311"/>
      <c r="D389" s="311"/>
      <c r="E389" s="311"/>
      <c r="F389" s="311"/>
    </row>
  </sheetData>
  <mergeCells count="322">
    <mergeCell ref="A386:F386"/>
    <mergeCell ref="A387:F387"/>
    <mergeCell ref="A388:F388"/>
    <mergeCell ref="A389:F389"/>
    <mergeCell ref="A380:E380"/>
    <mergeCell ref="A381:E381"/>
    <mergeCell ref="A382:E382"/>
    <mergeCell ref="A383:E383"/>
    <mergeCell ref="A384:E384"/>
    <mergeCell ref="A385:F385"/>
    <mergeCell ref="F370:F371"/>
    <mergeCell ref="B47:B48"/>
    <mergeCell ref="A61:A63"/>
    <mergeCell ref="A41:E41"/>
    <mergeCell ref="A55:E55"/>
    <mergeCell ref="A79:E79"/>
    <mergeCell ref="A92:E92"/>
    <mergeCell ref="A109:E109"/>
    <mergeCell ref="F222:F223"/>
    <mergeCell ref="F237:F238"/>
    <mergeCell ref="F254:F255"/>
    <mergeCell ref="F266:F267"/>
    <mergeCell ref="F312:F313"/>
    <mergeCell ref="F290:F291"/>
    <mergeCell ref="F96:F97"/>
    <mergeCell ref="F113:F114"/>
    <mergeCell ref="F144:F145"/>
    <mergeCell ref="F164:F165"/>
    <mergeCell ref="F179:F180"/>
    <mergeCell ref="F201:F202"/>
    <mergeCell ref="F131:F132"/>
    <mergeCell ref="D331:D332"/>
    <mergeCell ref="F45:F46"/>
    <mergeCell ref="F59:F60"/>
    <mergeCell ref="F83:F84"/>
    <mergeCell ref="E370:E371"/>
    <mergeCell ref="A372:A374"/>
    <mergeCell ref="C372:C374"/>
    <mergeCell ref="B373:B374"/>
    <mergeCell ref="A344:A347"/>
    <mergeCell ref="B344:B347"/>
    <mergeCell ref="C344:C347"/>
    <mergeCell ref="B350:C350"/>
    <mergeCell ref="A351:E351"/>
    <mergeCell ref="E331:E332"/>
    <mergeCell ref="A333:A335"/>
    <mergeCell ref="C333:C335"/>
    <mergeCell ref="B334:B335"/>
    <mergeCell ref="A336:A343"/>
    <mergeCell ref="B336:B343"/>
    <mergeCell ref="C336:C343"/>
    <mergeCell ref="A331:A332"/>
    <mergeCell ref="B331:B332"/>
    <mergeCell ref="C331:C332"/>
    <mergeCell ref="F331:F332"/>
    <mergeCell ref="F355:F356"/>
    <mergeCell ref="A320:A323"/>
    <mergeCell ref="B320:B323"/>
    <mergeCell ref="B378:C378"/>
    <mergeCell ref="A370:A371"/>
    <mergeCell ref="B370:B371"/>
    <mergeCell ref="C370:C371"/>
    <mergeCell ref="D370:D371"/>
    <mergeCell ref="A379:E379"/>
    <mergeCell ref="B365:C365"/>
    <mergeCell ref="A366:E366"/>
    <mergeCell ref="E355:E356"/>
    <mergeCell ref="A357:A359"/>
    <mergeCell ref="C357:C359"/>
    <mergeCell ref="B358:B359"/>
    <mergeCell ref="A360:A361"/>
    <mergeCell ref="B360:B361"/>
    <mergeCell ref="C360:C361"/>
    <mergeCell ref="A355:A356"/>
    <mergeCell ref="B355:B356"/>
    <mergeCell ref="C355:C356"/>
    <mergeCell ref="D355:D356"/>
    <mergeCell ref="C320:C323"/>
    <mergeCell ref="B326:C326"/>
    <mergeCell ref="A327:E327"/>
    <mergeCell ref="E312:E313"/>
    <mergeCell ref="A314:A315"/>
    <mergeCell ref="C314:C315"/>
    <mergeCell ref="A316:A319"/>
    <mergeCell ref="B316:B319"/>
    <mergeCell ref="C316:C319"/>
    <mergeCell ref="A312:A313"/>
    <mergeCell ref="B312:B313"/>
    <mergeCell ref="C312:C313"/>
    <mergeCell ref="D312:D313"/>
    <mergeCell ref="A303:A304"/>
    <mergeCell ref="B303:B304"/>
    <mergeCell ref="C303:C304"/>
    <mergeCell ref="B307:C307"/>
    <mergeCell ref="A308:E308"/>
    <mergeCell ref="A292:A294"/>
    <mergeCell ref="C292:C294"/>
    <mergeCell ref="B293:B294"/>
    <mergeCell ref="A295:A302"/>
    <mergeCell ref="B295:B302"/>
    <mergeCell ref="C295:C302"/>
    <mergeCell ref="A290:A291"/>
    <mergeCell ref="B290:B291"/>
    <mergeCell ref="C290:C291"/>
    <mergeCell ref="D290:D291"/>
    <mergeCell ref="E290:E291"/>
    <mergeCell ref="A278:A282"/>
    <mergeCell ref="B278:B282"/>
    <mergeCell ref="C278:C282"/>
    <mergeCell ref="B285:C285"/>
    <mergeCell ref="A286:E286"/>
    <mergeCell ref="E266:E267"/>
    <mergeCell ref="A268:A270"/>
    <mergeCell ref="C268:C270"/>
    <mergeCell ref="B269:B270"/>
    <mergeCell ref="A271:A277"/>
    <mergeCell ref="B271:B277"/>
    <mergeCell ref="C271:C277"/>
    <mergeCell ref="A266:A267"/>
    <mergeCell ref="B266:B267"/>
    <mergeCell ref="C266:C267"/>
    <mergeCell ref="D266:D267"/>
    <mergeCell ref="E254:E255"/>
    <mergeCell ref="A256:A257"/>
    <mergeCell ref="C256:C257"/>
    <mergeCell ref="B261:C261"/>
    <mergeCell ref="A262:E262"/>
    <mergeCell ref="A254:A255"/>
    <mergeCell ref="B254:B255"/>
    <mergeCell ref="C254:C255"/>
    <mergeCell ref="D254:D255"/>
    <mergeCell ref="A245:A246"/>
    <mergeCell ref="B245:B246"/>
    <mergeCell ref="C245:C246"/>
    <mergeCell ref="B249:C249"/>
    <mergeCell ref="A250:E250"/>
    <mergeCell ref="E237:E238"/>
    <mergeCell ref="A239:A241"/>
    <mergeCell ref="C239:C241"/>
    <mergeCell ref="B240:B241"/>
    <mergeCell ref="A242:A244"/>
    <mergeCell ref="B242:B243"/>
    <mergeCell ref="C242:C244"/>
    <mergeCell ref="A237:A238"/>
    <mergeCell ref="B237:B238"/>
    <mergeCell ref="C237:C238"/>
    <mergeCell ref="D237:D238"/>
    <mergeCell ref="B232:C232"/>
    <mergeCell ref="A233:E233"/>
    <mergeCell ref="E222:E223"/>
    <mergeCell ref="A224:A226"/>
    <mergeCell ref="C224:C226"/>
    <mergeCell ref="B225:B226"/>
    <mergeCell ref="A227:A228"/>
    <mergeCell ref="B227:B228"/>
    <mergeCell ref="C227:C228"/>
    <mergeCell ref="A222:A223"/>
    <mergeCell ref="B222:B223"/>
    <mergeCell ref="C222:C223"/>
    <mergeCell ref="D222:D223"/>
    <mergeCell ref="B217:C217"/>
    <mergeCell ref="A218:E218"/>
    <mergeCell ref="E201:E202"/>
    <mergeCell ref="A204:A210"/>
    <mergeCell ref="B204:B210"/>
    <mergeCell ref="C204:C210"/>
    <mergeCell ref="A211:A214"/>
    <mergeCell ref="B211:B214"/>
    <mergeCell ref="C211:C214"/>
    <mergeCell ref="A201:A202"/>
    <mergeCell ref="B201:B202"/>
    <mergeCell ref="C201:C202"/>
    <mergeCell ref="D201:D202"/>
    <mergeCell ref="A191:A193"/>
    <mergeCell ref="B191:B193"/>
    <mergeCell ref="C191:C193"/>
    <mergeCell ref="B196:C196"/>
    <mergeCell ref="A197:E197"/>
    <mergeCell ref="E179:E180"/>
    <mergeCell ref="A181:A183"/>
    <mergeCell ref="C181:C183"/>
    <mergeCell ref="B182:B183"/>
    <mergeCell ref="A184:A190"/>
    <mergeCell ref="B184:B190"/>
    <mergeCell ref="C184:C190"/>
    <mergeCell ref="A179:A180"/>
    <mergeCell ref="B179:B180"/>
    <mergeCell ref="C179:C180"/>
    <mergeCell ref="D179:D180"/>
    <mergeCell ref="B174:C174"/>
    <mergeCell ref="A175:E175"/>
    <mergeCell ref="E164:E165"/>
    <mergeCell ref="A166:A168"/>
    <mergeCell ref="C166:C168"/>
    <mergeCell ref="B167:B168"/>
    <mergeCell ref="A169:A170"/>
    <mergeCell ref="B169:B170"/>
    <mergeCell ref="C169:C170"/>
    <mergeCell ref="A164:A165"/>
    <mergeCell ref="B164:B165"/>
    <mergeCell ref="C164:C165"/>
    <mergeCell ref="D164:D165"/>
    <mergeCell ref="A155:A156"/>
    <mergeCell ref="B155:B156"/>
    <mergeCell ref="C155:C156"/>
    <mergeCell ref="B159:C159"/>
    <mergeCell ref="A160:E160"/>
    <mergeCell ref="E144:E145"/>
    <mergeCell ref="A146:A147"/>
    <mergeCell ref="C146:C147"/>
    <mergeCell ref="A148:A154"/>
    <mergeCell ref="B148:B154"/>
    <mergeCell ref="C148:C154"/>
    <mergeCell ref="A144:A145"/>
    <mergeCell ref="B144:B145"/>
    <mergeCell ref="C144:C145"/>
    <mergeCell ref="D144:D145"/>
    <mergeCell ref="A140:E140"/>
    <mergeCell ref="E131:E132"/>
    <mergeCell ref="A133:A135"/>
    <mergeCell ref="C133:C135"/>
    <mergeCell ref="B134:B135"/>
    <mergeCell ref="B139:C139"/>
    <mergeCell ref="A131:A132"/>
    <mergeCell ref="B131:B132"/>
    <mergeCell ref="C131:C132"/>
    <mergeCell ref="D131:D132"/>
    <mergeCell ref="A122:A123"/>
    <mergeCell ref="B122:B123"/>
    <mergeCell ref="C122:C123"/>
    <mergeCell ref="B126:C126"/>
    <mergeCell ref="A127:E127"/>
    <mergeCell ref="E113:E114"/>
    <mergeCell ref="A115:A116"/>
    <mergeCell ref="C115:C117"/>
    <mergeCell ref="B116:B117"/>
    <mergeCell ref="A118:A121"/>
    <mergeCell ref="B118:B121"/>
    <mergeCell ref="C118:C121"/>
    <mergeCell ref="A113:A114"/>
    <mergeCell ref="B113:B114"/>
    <mergeCell ref="C113:C114"/>
    <mergeCell ref="D113:D114"/>
    <mergeCell ref="A104:A105"/>
    <mergeCell ref="B104:B105"/>
    <mergeCell ref="C104:C105"/>
    <mergeCell ref="B108:C108"/>
    <mergeCell ref="E96:E97"/>
    <mergeCell ref="A98:A100"/>
    <mergeCell ref="C98:C100"/>
    <mergeCell ref="B99:B100"/>
    <mergeCell ref="A101:A103"/>
    <mergeCell ref="B101:B102"/>
    <mergeCell ref="C101:C103"/>
    <mergeCell ref="A96:A97"/>
    <mergeCell ref="B96:B97"/>
    <mergeCell ref="C96:C97"/>
    <mergeCell ref="D96:D97"/>
    <mergeCell ref="E83:E84"/>
    <mergeCell ref="A85:A87"/>
    <mergeCell ref="C85:C87"/>
    <mergeCell ref="B86:B87"/>
    <mergeCell ref="B91:C91"/>
    <mergeCell ref="A83:A84"/>
    <mergeCell ref="B83:B84"/>
    <mergeCell ref="C83:C84"/>
    <mergeCell ref="D83:D84"/>
    <mergeCell ref="A72:A75"/>
    <mergeCell ref="B72:B75"/>
    <mergeCell ref="C72:C75"/>
    <mergeCell ref="B78:C78"/>
    <mergeCell ref="E59:E60"/>
    <mergeCell ref="C61:C63"/>
    <mergeCell ref="B62:B63"/>
    <mergeCell ref="A64:A71"/>
    <mergeCell ref="B64:B71"/>
    <mergeCell ref="C64:C71"/>
    <mergeCell ref="A59:A60"/>
    <mergeCell ref="B59:B60"/>
    <mergeCell ref="C59:C60"/>
    <mergeCell ref="D59:D60"/>
    <mergeCell ref="A47:A48"/>
    <mergeCell ref="C47:C48"/>
    <mergeCell ref="A49:A50"/>
    <mergeCell ref="B49:B50"/>
    <mergeCell ref="C49:C50"/>
    <mergeCell ref="B54:C54"/>
    <mergeCell ref="A45:A46"/>
    <mergeCell ref="B45:B46"/>
    <mergeCell ref="C45:C46"/>
    <mergeCell ref="D45:D46"/>
    <mergeCell ref="E45:E46"/>
    <mergeCell ref="A33:A37"/>
    <mergeCell ref="B33:B37"/>
    <mergeCell ref="C33:C37"/>
    <mergeCell ref="B40:C40"/>
    <mergeCell ref="E21:E22"/>
    <mergeCell ref="A23:A25"/>
    <mergeCell ref="C23:C25"/>
    <mergeCell ref="B24:B25"/>
    <mergeCell ref="A26:A32"/>
    <mergeCell ref="B26:B32"/>
    <mergeCell ref="C26:C32"/>
    <mergeCell ref="A13:B13"/>
    <mergeCell ref="C13:D13"/>
    <mergeCell ref="A15:B15"/>
    <mergeCell ref="B17:C17"/>
    <mergeCell ref="A21:A22"/>
    <mergeCell ref="B21:B22"/>
    <mergeCell ref="C21:C22"/>
    <mergeCell ref="D21:D22"/>
    <mergeCell ref="A1:F1"/>
    <mergeCell ref="A6:F6"/>
    <mergeCell ref="A7:B7"/>
    <mergeCell ref="C7:F7"/>
    <mergeCell ref="A9:B9"/>
    <mergeCell ref="C11:D11"/>
    <mergeCell ref="A2:F2"/>
    <mergeCell ref="A3:F3"/>
    <mergeCell ref="A4:F4"/>
    <mergeCell ref="A5:F5"/>
    <mergeCell ref="F21:F22"/>
  </mergeCells>
  <dataValidations count="5">
    <dataValidation type="list" allowBlank="1" showInputMessage="1" showErrorMessage="1" sqref="C11">
      <formula1>"Indígena,Afrocolombiano,Palenquero,Raizal,Rrom,Sin Pertenencia Étnica"</formula1>
    </dataValidation>
    <dataValidation type="list" allowBlank="1" showInputMessage="1" showErrorMessage="1" sqref="C15">
      <formula1>"Complemento JM/JT,Almuerzo"</formula1>
    </dataValidation>
    <dataValidation type="list" allowBlank="1" showInputMessage="1" showErrorMessage="1" sqref="C13:D13">
      <formula1>"Ración para Preparar en Sitio,Comida Caliente Transportada,Ración Industrializada"</formula1>
    </dataValidation>
    <dataValidation type="list" allowBlank="1" showInputMessage="1" showErrorMessage="1" sqref="C9">
      <formula1>"Si,No"</formula1>
    </dataValidation>
    <dataValidation type="list" allowBlank="1" showInputMessage="1" showErrorMessage="1" sqref="B17:C17">
      <formula1>"Preescolar,Primaria:Primero, Segundo y Tercero,Primaria:Cuarto y Quinto,Secundaria,Media y Nivel Complementario"</formula1>
    </dataValidation>
  </dataValidations>
  <pageMargins left="0.70866141732283472" right="0.70866141732283472" top="0.74803149606299213" bottom="0.74803149606299213" header="0.31496062992125984" footer="0.31496062992125984"/>
  <pageSetup paperSize="10000" scale="49" fitToHeight="0" orientation="landscape" r:id="rId1"/>
  <rowBreaks count="12" manualBreakCount="12">
    <brk id="55" max="5" man="1"/>
    <brk id="79" max="5" man="1"/>
    <brk id="112" max="5" man="1"/>
    <brk id="129" max="5" man="1"/>
    <brk id="175" max="5" man="1"/>
    <brk id="197" max="5" man="1"/>
    <brk id="219" max="5" man="1"/>
    <brk id="249" max="5" man="1"/>
    <brk id="263" max="5" man="1"/>
    <brk id="309" max="5" man="1"/>
    <brk id="328" max="5" man="1"/>
    <brk id="352" max="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9"/>
  <sheetViews>
    <sheetView view="pageBreakPreview" topLeftCell="A376" zoomScaleNormal="84" zoomScaleSheetLayoutView="100" zoomScalePageLayoutView="77" workbookViewId="0">
      <selection activeCell="A389" sqref="A389:F389"/>
    </sheetView>
  </sheetViews>
  <sheetFormatPr baseColWidth="10" defaultColWidth="11.42578125" defaultRowHeight="14.25" x14ac:dyDescent="0.2"/>
  <cols>
    <col min="1" max="1" width="21" style="191" customWidth="1"/>
    <col min="2" max="2" width="36" style="191" customWidth="1"/>
    <col min="3" max="3" width="24.140625" style="191" customWidth="1"/>
    <col min="4" max="4" width="23.28515625" style="191" customWidth="1"/>
    <col min="5" max="5" width="12.42578125" style="191" customWidth="1"/>
    <col min="6" max="6" width="13.5703125" style="191" customWidth="1"/>
    <col min="7" max="16384" width="11.42578125" style="1"/>
  </cols>
  <sheetData>
    <row r="1" spans="1:6" ht="15.75" customHeight="1" x14ac:dyDescent="0.25">
      <c r="A1" s="311" t="s">
        <v>0</v>
      </c>
      <c r="B1" s="311"/>
      <c r="C1" s="311"/>
      <c r="D1" s="311"/>
      <c r="E1" s="311"/>
      <c r="F1" s="311"/>
    </row>
    <row r="2" spans="1:6" ht="15.75" customHeight="1" x14ac:dyDescent="0.25">
      <c r="A2" s="311" t="s">
        <v>307</v>
      </c>
      <c r="B2" s="311"/>
      <c r="C2" s="311"/>
      <c r="D2" s="311"/>
      <c r="E2" s="311"/>
      <c r="F2" s="311"/>
    </row>
    <row r="3" spans="1:6" ht="15.75" customHeight="1" x14ac:dyDescent="0.25">
      <c r="A3" s="311" t="s">
        <v>273</v>
      </c>
      <c r="B3" s="311"/>
      <c r="C3" s="311"/>
      <c r="D3" s="311"/>
      <c r="E3" s="311"/>
      <c r="F3" s="311"/>
    </row>
    <row r="4" spans="1:6" ht="15.75" customHeight="1" x14ac:dyDescent="0.25">
      <c r="A4" s="311" t="s">
        <v>346</v>
      </c>
      <c r="B4" s="311"/>
      <c r="C4" s="311"/>
      <c r="D4" s="311"/>
      <c r="E4" s="311"/>
      <c r="F4" s="311"/>
    </row>
    <row r="5" spans="1:6" ht="15.75" customHeight="1" x14ac:dyDescent="0.25">
      <c r="A5" s="218"/>
      <c r="B5" s="218"/>
      <c r="C5" s="218"/>
      <c r="D5" s="218"/>
      <c r="E5" s="218"/>
      <c r="F5" s="218"/>
    </row>
    <row r="6" spans="1:6" s="4" customFormat="1" ht="20.25" customHeight="1" x14ac:dyDescent="0.25">
      <c r="A6" s="313" t="s">
        <v>461</v>
      </c>
      <c r="B6" s="313"/>
      <c r="C6" s="313"/>
      <c r="D6" s="313"/>
      <c r="E6" s="313"/>
      <c r="F6" s="313"/>
    </row>
    <row r="7" spans="1:6" s="4" customFormat="1" ht="19.5" customHeight="1" x14ac:dyDescent="0.25">
      <c r="A7" s="351" t="s">
        <v>17</v>
      </c>
      <c r="B7" s="351"/>
      <c r="C7" s="321" t="s">
        <v>328</v>
      </c>
      <c r="D7" s="321"/>
      <c r="E7" s="321"/>
      <c r="F7" s="321"/>
    </row>
    <row r="8" spans="1:6" s="4" customFormat="1" ht="19.5" customHeight="1" x14ac:dyDescent="0.25">
      <c r="A8" s="160"/>
      <c r="B8" s="160"/>
      <c r="C8" s="161"/>
      <c r="D8" s="161"/>
      <c r="E8" s="161"/>
      <c r="F8" s="161"/>
    </row>
    <row r="9" spans="1:6" s="4" customFormat="1" ht="19.5" customHeight="1" x14ac:dyDescent="0.25">
      <c r="A9" s="351" t="s">
        <v>18</v>
      </c>
      <c r="B9" s="351"/>
      <c r="C9" s="201" t="s">
        <v>19</v>
      </c>
      <c r="D9" s="161"/>
      <c r="E9" s="161"/>
      <c r="F9" s="161"/>
    </row>
    <row r="10" spans="1:6" s="4" customFormat="1" ht="19.5" customHeight="1" x14ac:dyDescent="0.25">
      <c r="A10" s="160"/>
      <c r="B10" s="162"/>
      <c r="C10" s="162"/>
      <c r="D10" s="162"/>
      <c r="E10" s="162"/>
      <c r="F10" s="162"/>
    </row>
    <row r="11" spans="1:6" s="4" customFormat="1" ht="19.5" customHeight="1" x14ac:dyDescent="0.25">
      <c r="A11" s="205" t="s">
        <v>20</v>
      </c>
      <c r="B11" s="205"/>
      <c r="C11" s="321"/>
      <c r="D11" s="321"/>
      <c r="E11" s="163"/>
      <c r="F11" s="165"/>
    </row>
    <row r="12" spans="1:6" s="4" customFormat="1" ht="19.5" customHeight="1" x14ac:dyDescent="0.25">
      <c r="A12" s="160"/>
      <c r="B12" s="162"/>
      <c r="C12" s="162"/>
      <c r="D12" s="162"/>
      <c r="E12" s="162"/>
      <c r="F12" s="162"/>
    </row>
    <row r="13" spans="1:6" s="4" customFormat="1" ht="19.5" customHeight="1" x14ac:dyDescent="0.25">
      <c r="A13" s="351" t="s">
        <v>21</v>
      </c>
      <c r="B13" s="351"/>
      <c r="C13" s="352" t="s">
        <v>22</v>
      </c>
      <c r="D13" s="352"/>
      <c r="E13" s="162"/>
      <c r="F13" s="162"/>
    </row>
    <row r="14" spans="1:6" s="4" customFormat="1" ht="19.5" customHeight="1" x14ac:dyDescent="0.25">
      <c r="A14" s="160"/>
      <c r="B14" s="162"/>
      <c r="C14" s="162"/>
      <c r="D14" s="162"/>
      <c r="E14" s="162"/>
      <c r="F14" s="162"/>
    </row>
    <row r="15" spans="1:6" s="4" customFormat="1" ht="19.5" customHeight="1" x14ac:dyDescent="0.25">
      <c r="A15" s="348" t="s">
        <v>23</v>
      </c>
      <c r="B15" s="348"/>
      <c r="C15" s="164" t="s">
        <v>24</v>
      </c>
      <c r="D15" s="165"/>
      <c r="E15" s="165"/>
      <c r="F15" s="165"/>
    </row>
    <row r="16" spans="1:6" s="4" customFormat="1" ht="19.5" customHeight="1" x14ac:dyDescent="0.25">
      <c r="A16" s="160"/>
      <c r="B16" s="162"/>
      <c r="C16" s="162"/>
      <c r="D16" s="162"/>
      <c r="E16" s="162"/>
      <c r="F16" s="162"/>
    </row>
    <row r="17" spans="1:6" s="4" customFormat="1" ht="19.5" customHeight="1" x14ac:dyDescent="0.25">
      <c r="A17" s="204" t="s">
        <v>25</v>
      </c>
      <c r="B17" s="350" t="s">
        <v>279</v>
      </c>
      <c r="C17" s="350"/>
      <c r="D17" s="162"/>
      <c r="E17" s="162"/>
      <c r="F17" s="162"/>
    </row>
    <row r="18" spans="1:6" s="4" customFormat="1" ht="19.5" customHeight="1" x14ac:dyDescent="0.25">
      <c r="A18" s="160"/>
      <c r="B18" s="162"/>
      <c r="C18" s="162"/>
      <c r="D18" s="162"/>
      <c r="E18" s="162"/>
      <c r="F18" s="162"/>
    </row>
    <row r="19" spans="1:6" s="4" customFormat="1" ht="19.5" customHeight="1" x14ac:dyDescent="0.25">
      <c r="A19" s="166" t="s">
        <v>27</v>
      </c>
      <c r="B19" s="201">
        <v>1</v>
      </c>
      <c r="C19" s="167"/>
      <c r="D19" s="167"/>
      <c r="E19" s="167"/>
      <c r="F19" s="167"/>
    </row>
    <row r="20" spans="1:6" s="4" customFormat="1" ht="19.5" customHeight="1" x14ac:dyDescent="0.25">
      <c r="A20" s="167"/>
      <c r="B20" s="161"/>
      <c r="C20" s="167"/>
      <c r="D20" s="167"/>
      <c r="E20" s="167"/>
      <c r="F20" s="167"/>
    </row>
    <row r="21" spans="1:6" ht="12.75" customHeight="1" x14ac:dyDescent="0.2">
      <c r="A21" s="321" t="s">
        <v>28</v>
      </c>
      <c r="B21" s="321" t="s">
        <v>29</v>
      </c>
      <c r="C21" s="321" t="s">
        <v>30</v>
      </c>
      <c r="D21" s="321" t="s">
        <v>31</v>
      </c>
      <c r="E21" s="321" t="s">
        <v>32</v>
      </c>
      <c r="F21" s="322" t="s">
        <v>33</v>
      </c>
    </row>
    <row r="22" spans="1:6" ht="35.25" customHeight="1" x14ac:dyDescent="0.2">
      <c r="A22" s="321"/>
      <c r="B22" s="321"/>
      <c r="C22" s="321"/>
      <c r="D22" s="321"/>
      <c r="E22" s="321"/>
      <c r="F22" s="349"/>
    </row>
    <row r="23" spans="1:6" ht="33" customHeight="1" x14ac:dyDescent="0.2">
      <c r="A23" s="314" t="s">
        <v>34</v>
      </c>
      <c r="B23" s="195" t="s">
        <v>35</v>
      </c>
      <c r="C23" s="329" t="s">
        <v>329</v>
      </c>
      <c r="D23" s="203" t="s">
        <v>58</v>
      </c>
      <c r="E23" s="203">
        <v>10</v>
      </c>
      <c r="F23" s="214">
        <v>86</v>
      </c>
    </row>
    <row r="24" spans="1:6" ht="30.75" customHeight="1" x14ac:dyDescent="0.2">
      <c r="A24" s="319"/>
      <c r="B24" s="319" t="s">
        <v>37</v>
      </c>
      <c r="C24" s="330"/>
      <c r="D24" s="203" t="s">
        <v>38</v>
      </c>
      <c r="E24" s="203">
        <v>13</v>
      </c>
      <c r="F24" s="214">
        <v>493.61</v>
      </c>
    </row>
    <row r="25" spans="1:6" ht="31.5" customHeight="1" x14ac:dyDescent="0.2">
      <c r="A25" s="319"/>
      <c r="B25" s="315"/>
      <c r="C25" s="333"/>
      <c r="D25" s="203" t="s">
        <v>39</v>
      </c>
      <c r="E25" s="203">
        <v>2</v>
      </c>
      <c r="F25" s="214">
        <v>176.46</v>
      </c>
    </row>
    <row r="26" spans="1:6" ht="29.25" customHeight="1" x14ac:dyDescent="0.2">
      <c r="A26" s="326" t="s">
        <v>59</v>
      </c>
      <c r="B26" s="314" t="s">
        <v>60</v>
      </c>
      <c r="C26" s="329" t="s">
        <v>446</v>
      </c>
      <c r="D26" s="203" t="s">
        <v>61</v>
      </c>
      <c r="E26" s="203">
        <v>88.8</v>
      </c>
      <c r="F26" s="214">
        <v>1609.944</v>
      </c>
    </row>
    <row r="27" spans="1:6" ht="29.25" customHeight="1" x14ac:dyDescent="0.2">
      <c r="A27" s="327"/>
      <c r="B27" s="319"/>
      <c r="C27" s="330"/>
      <c r="D27" s="203" t="s">
        <v>62</v>
      </c>
      <c r="E27" s="203">
        <v>10</v>
      </c>
      <c r="F27" s="214">
        <v>50.300000000000004</v>
      </c>
    </row>
    <row r="28" spans="1:6" ht="30.75" customHeight="1" x14ac:dyDescent="0.2">
      <c r="A28" s="327"/>
      <c r="B28" s="319"/>
      <c r="C28" s="330"/>
      <c r="D28" s="203" t="s">
        <v>63</v>
      </c>
      <c r="E28" s="203">
        <v>10</v>
      </c>
      <c r="F28" s="214">
        <v>91.6</v>
      </c>
    </row>
    <row r="29" spans="1:6" ht="29.25" customHeight="1" x14ac:dyDescent="0.2">
      <c r="A29" s="327"/>
      <c r="B29" s="319"/>
      <c r="C29" s="330"/>
      <c r="D29" s="203" t="s">
        <v>64</v>
      </c>
      <c r="E29" s="203">
        <v>10</v>
      </c>
      <c r="F29" s="214">
        <v>36.800000000000004</v>
      </c>
    </row>
    <row r="30" spans="1:6" ht="24.95" customHeight="1" x14ac:dyDescent="0.2">
      <c r="A30" s="327"/>
      <c r="B30" s="319"/>
      <c r="C30" s="330"/>
      <c r="D30" s="203" t="s">
        <v>11</v>
      </c>
      <c r="E30" s="203">
        <v>4</v>
      </c>
      <c r="F30" s="214">
        <v>48.4</v>
      </c>
    </row>
    <row r="31" spans="1:6" ht="24.95" customHeight="1" x14ac:dyDescent="0.2">
      <c r="A31" s="327"/>
      <c r="B31" s="319"/>
      <c r="C31" s="330"/>
      <c r="D31" s="203" t="s">
        <v>65</v>
      </c>
      <c r="E31" s="203">
        <v>1</v>
      </c>
      <c r="F31" s="214">
        <v>8.27</v>
      </c>
    </row>
    <row r="32" spans="1:6" ht="24.95" customHeight="1" x14ac:dyDescent="0.2">
      <c r="A32" s="328"/>
      <c r="B32" s="315"/>
      <c r="C32" s="333"/>
      <c r="D32" s="203" t="s">
        <v>43</v>
      </c>
      <c r="E32" s="203">
        <v>0.1</v>
      </c>
      <c r="F32" s="214">
        <v>0.19</v>
      </c>
    </row>
    <row r="33" spans="1:6" ht="30.75" customHeight="1" x14ac:dyDescent="0.2">
      <c r="A33" s="326" t="s">
        <v>40</v>
      </c>
      <c r="B33" s="314" t="s">
        <v>41</v>
      </c>
      <c r="C33" s="329" t="s">
        <v>330</v>
      </c>
      <c r="D33" s="206" t="s">
        <v>93</v>
      </c>
      <c r="E33" s="203">
        <v>46</v>
      </c>
      <c r="F33" s="214">
        <v>343.62</v>
      </c>
    </row>
    <row r="34" spans="1:6" ht="24.95" customHeight="1" x14ac:dyDescent="0.2">
      <c r="A34" s="327"/>
      <c r="B34" s="319"/>
      <c r="C34" s="330"/>
      <c r="D34" s="206" t="s">
        <v>79</v>
      </c>
      <c r="E34" s="203">
        <v>10</v>
      </c>
      <c r="F34" s="214">
        <v>50.9</v>
      </c>
    </row>
    <row r="35" spans="1:6" ht="24.95" customHeight="1" x14ac:dyDescent="0.2">
      <c r="A35" s="327"/>
      <c r="B35" s="319"/>
      <c r="C35" s="330"/>
      <c r="D35" s="206" t="s">
        <v>11</v>
      </c>
      <c r="E35" s="203">
        <v>4</v>
      </c>
      <c r="F35" s="214">
        <v>48.4</v>
      </c>
    </row>
    <row r="36" spans="1:6" ht="30" customHeight="1" x14ac:dyDescent="0.2">
      <c r="A36" s="327"/>
      <c r="B36" s="319"/>
      <c r="C36" s="330"/>
      <c r="D36" s="206" t="s">
        <v>62</v>
      </c>
      <c r="E36" s="203">
        <v>10</v>
      </c>
      <c r="F36" s="214">
        <v>50.300000000000004</v>
      </c>
    </row>
    <row r="37" spans="1:6" ht="24.95" customHeight="1" x14ac:dyDescent="0.2">
      <c r="A37" s="328"/>
      <c r="B37" s="315"/>
      <c r="C37" s="333"/>
      <c r="D37" s="206" t="s">
        <v>43</v>
      </c>
      <c r="E37" s="203">
        <v>0.1</v>
      </c>
      <c r="F37" s="214">
        <v>0.19</v>
      </c>
    </row>
    <row r="38" spans="1:6" ht="29.25" customHeight="1" x14ac:dyDescent="0.2">
      <c r="A38" s="202" t="s">
        <v>46</v>
      </c>
      <c r="B38" s="202" t="s">
        <v>47</v>
      </c>
      <c r="C38" s="203" t="s">
        <v>67</v>
      </c>
      <c r="D38" s="203" t="s">
        <v>68</v>
      </c>
      <c r="E38" s="203">
        <v>5</v>
      </c>
      <c r="F38" s="214">
        <v>25.75</v>
      </c>
    </row>
    <row r="39" spans="1:6" ht="33" customHeight="1" x14ac:dyDescent="0.2">
      <c r="A39" s="202" t="s">
        <v>49</v>
      </c>
      <c r="B39" s="202" t="s">
        <v>50</v>
      </c>
      <c r="C39" s="203" t="s">
        <v>51</v>
      </c>
      <c r="D39" s="203" t="s">
        <v>52</v>
      </c>
      <c r="E39" s="203">
        <v>5</v>
      </c>
      <c r="F39" s="214">
        <v>62.9</v>
      </c>
    </row>
    <row r="40" spans="1:6" ht="24.95" customHeight="1" x14ac:dyDescent="0.2">
      <c r="A40" s="199" t="s">
        <v>53</v>
      </c>
      <c r="B40" s="316" t="s">
        <v>54</v>
      </c>
      <c r="C40" s="320"/>
      <c r="D40" s="203" t="s">
        <v>53</v>
      </c>
      <c r="E40" s="169">
        <v>180</v>
      </c>
      <c r="F40" s="214">
        <v>120.60000000000001</v>
      </c>
    </row>
    <row r="41" spans="1:6" ht="19.5" customHeight="1" x14ac:dyDescent="0.2">
      <c r="A41" s="334" t="s">
        <v>331</v>
      </c>
      <c r="B41" s="335"/>
      <c r="C41" s="335"/>
      <c r="D41" s="335"/>
      <c r="E41" s="336"/>
      <c r="F41" s="213">
        <v>3304.23</v>
      </c>
    </row>
    <row r="42" spans="1:6" ht="19.5" customHeight="1" x14ac:dyDescent="0.25">
      <c r="A42" s="209"/>
      <c r="B42" s="209"/>
      <c r="C42" s="209"/>
      <c r="D42" s="209"/>
      <c r="E42" s="209"/>
      <c r="F42" s="209"/>
    </row>
    <row r="43" spans="1:6" ht="19.5" customHeight="1" x14ac:dyDescent="0.2">
      <c r="A43" s="166" t="s">
        <v>27</v>
      </c>
      <c r="B43" s="201">
        <v>2</v>
      </c>
      <c r="C43" s="167"/>
      <c r="D43" s="167"/>
      <c r="E43" s="167"/>
      <c r="F43" s="167"/>
    </row>
    <row r="44" spans="1:6" ht="19.5" customHeight="1" x14ac:dyDescent="0.2">
      <c r="A44" s="167"/>
      <c r="B44" s="161"/>
      <c r="C44" s="167"/>
      <c r="D44" s="167"/>
      <c r="E44" s="167"/>
      <c r="F44" s="167"/>
    </row>
    <row r="45" spans="1:6" ht="12.75" customHeight="1" x14ac:dyDescent="0.2">
      <c r="A45" s="313" t="s">
        <v>28</v>
      </c>
      <c r="B45" s="321" t="s">
        <v>29</v>
      </c>
      <c r="C45" s="313" t="s">
        <v>56</v>
      </c>
      <c r="D45" s="313" t="s">
        <v>31</v>
      </c>
      <c r="E45" s="313" t="s">
        <v>32</v>
      </c>
      <c r="F45" s="314" t="s">
        <v>33</v>
      </c>
    </row>
    <row r="46" spans="1:6" ht="33.75" customHeight="1" x14ac:dyDescent="0.2">
      <c r="A46" s="313"/>
      <c r="B46" s="322"/>
      <c r="C46" s="313"/>
      <c r="D46" s="313"/>
      <c r="E46" s="313"/>
      <c r="F46" s="315"/>
    </row>
    <row r="47" spans="1:6" ht="35.25" customHeight="1" x14ac:dyDescent="0.2">
      <c r="A47" s="314" t="s">
        <v>34</v>
      </c>
      <c r="B47" s="195" t="s">
        <v>57</v>
      </c>
      <c r="C47" s="317" t="s">
        <v>76</v>
      </c>
      <c r="D47" s="203" t="s">
        <v>245</v>
      </c>
      <c r="E47" s="203">
        <v>10</v>
      </c>
      <c r="F47" s="214">
        <v>167.7</v>
      </c>
    </row>
    <row r="48" spans="1:6" ht="60.75" customHeight="1" x14ac:dyDescent="0.2">
      <c r="A48" s="315"/>
      <c r="B48" s="200" t="s">
        <v>37</v>
      </c>
      <c r="C48" s="340"/>
      <c r="D48" s="203" t="s">
        <v>38</v>
      </c>
      <c r="E48" s="203">
        <v>13</v>
      </c>
      <c r="F48" s="214">
        <v>493.61</v>
      </c>
    </row>
    <row r="49" spans="1:6" ht="30.75" customHeight="1" x14ac:dyDescent="0.2">
      <c r="A49" s="319" t="s">
        <v>40</v>
      </c>
      <c r="B49" s="319" t="s">
        <v>41</v>
      </c>
      <c r="C49" s="329" t="s">
        <v>332</v>
      </c>
      <c r="D49" s="203" t="s">
        <v>42</v>
      </c>
      <c r="E49" s="203">
        <v>70</v>
      </c>
      <c r="F49" s="214">
        <v>347.9</v>
      </c>
    </row>
    <row r="50" spans="1:6" ht="24.95" customHeight="1" x14ac:dyDescent="0.2">
      <c r="A50" s="319"/>
      <c r="B50" s="315"/>
      <c r="C50" s="333"/>
      <c r="D50" s="203" t="s">
        <v>43</v>
      </c>
      <c r="E50" s="203">
        <v>0.1</v>
      </c>
      <c r="F50" s="214">
        <v>0.19</v>
      </c>
    </row>
    <row r="51" spans="1:6" ht="30.75" customHeight="1" x14ac:dyDescent="0.2">
      <c r="A51" s="202" t="s">
        <v>44</v>
      </c>
      <c r="B51" s="202" t="s">
        <v>45</v>
      </c>
      <c r="C51" s="197" t="s">
        <v>82</v>
      </c>
      <c r="D51" s="203" t="s">
        <v>83</v>
      </c>
      <c r="E51" s="203">
        <v>158</v>
      </c>
      <c r="F51" s="214">
        <v>368.14</v>
      </c>
    </row>
    <row r="52" spans="1:6" ht="30" customHeight="1" x14ac:dyDescent="0.2">
      <c r="A52" s="202" t="s">
        <v>46</v>
      </c>
      <c r="B52" s="202" t="s">
        <v>47</v>
      </c>
      <c r="C52" s="203" t="s">
        <v>67</v>
      </c>
      <c r="D52" s="203" t="s">
        <v>68</v>
      </c>
      <c r="E52" s="203">
        <v>5</v>
      </c>
      <c r="F52" s="214">
        <v>25.75</v>
      </c>
    </row>
    <row r="53" spans="1:6" ht="29.25" customHeight="1" x14ac:dyDescent="0.2">
      <c r="A53" s="202" t="s">
        <v>49</v>
      </c>
      <c r="B53" s="202" t="s">
        <v>50</v>
      </c>
      <c r="C53" s="203" t="s">
        <v>51</v>
      </c>
      <c r="D53" s="203" t="s">
        <v>52</v>
      </c>
      <c r="E53" s="203">
        <v>10</v>
      </c>
      <c r="F53" s="214">
        <v>125.8</v>
      </c>
    </row>
    <row r="54" spans="1:6" ht="24.95" customHeight="1" x14ac:dyDescent="0.2">
      <c r="A54" s="199" t="s">
        <v>53</v>
      </c>
      <c r="B54" s="316" t="s">
        <v>54</v>
      </c>
      <c r="C54" s="320"/>
      <c r="D54" s="203" t="s">
        <v>53</v>
      </c>
      <c r="E54" s="203">
        <v>180</v>
      </c>
      <c r="F54" s="214">
        <v>120.60000000000001</v>
      </c>
    </row>
    <row r="55" spans="1:6" ht="19.5" customHeight="1" x14ac:dyDescent="0.2">
      <c r="A55" s="334" t="s">
        <v>331</v>
      </c>
      <c r="B55" s="335"/>
      <c r="C55" s="335"/>
      <c r="D55" s="335"/>
      <c r="E55" s="336"/>
      <c r="F55" s="213">
        <v>1649.69</v>
      </c>
    </row>
    <row r="56" spans="1:6" s="2" customFormat="1" ht="19.5" customHeight="1" x14ac:dyDescent="0.25">
      <c r="A56" s="160"/>
      <c r="B56" s="162"/>
      <c r="C56" s="162"/>
      <c r="D56" s="162"/>
      <c r="E56" s="162"/>
      <c r="F56" s="162"/>
    </row>
    <row r="57" spans="1:6" s="2" customFormat="1" ht="19.5" customHeight="1" x14ac:dyDescent="0.25">
      <c r="A57" s="166" t="s">
        <v>27</v>
      </c>
      <c r="B57" s="201">
        <v>3</v>
      </c>
      <c r="C57" s="167"/>
      <c r="D57" s="167"/>
      <c r="E57" s="167"/>
      <c r="F57" s="167"/>
    </row>
    <row r="58" spans="1:6" s="2" customFormat="1" ht="19.5" customHeight="1" x14ac:dyDescent="0.25">
      <c r="A58" s="167"/>
      <c r="B58" s="161"/>
      <c r="C58" s="167"/>
      <c r="D58" s="167"/>
      <c r="E58" s="167"/>
      <c r="F58" s="167"/>
    </row>
    <row r="59" spans="1:6" ht="12.75" customHeight="1" x14ac:dyDescent="0.2">
      <c r="A59" s="313" t="s">
        <v>28</v>
      </c>
      <c r="B59" s="321" t="s">
        <v>29</v>
      </c>
      <c r="C59" s="313" t="s">
        <v>56</v>
      </c>
      <c r="D59" s="313" t="s">
        <v>31</v>
      </c>
      <c r="E59" s="313" t="s">
        <v>32</v>
      </c>
      <c r="F59" s="314" t="s">
        <v>33</v>
      </c>
    </row>
    <row r="60" spans="1:6" ht="36" customHeight="1" x14ac:dyDescent="0.2">
      <c r="A60" s="313"/>
      <c r="B60" s="321"/>
      <c r="C60" s="313"/>
      <c r="D60" s="313"/>
      <c r="E60" s="313"/>
      <c r="F60" s="315"/>
    </row>
    <row r="61" spans="1:6" ht="30.75" customHeight="1" x14ac:dyDescent="0.2">
      <c r="A61" s="314" t="s">
        <v>34</v>
      </c>
      <c r="B61" s="195" t="s">
        <v>57</v>
      </c>
      <c r="C61" s="329" t="s">
        <v>276</v>
      </c>
      <c r="D61" s="203" t="s">
        <v>73</v>
      </c>
      <c r="E61" s="203">
        <v>10</v>
      </c>
      <c r="F61" s="214">
        <v>363</v>
      </c>
    </row>
    <row r="62" spans="1:6" ht="37.5" customHeight="1" x14ac:dyDescent="0.2">
      <c r="A62" s="319"/>
      <c r="B62" s="319" t="s">
        <v>37</v>
      </c>
      <c r="C62" s="330"/>
      <c r="D62" s="203" t="s">
        <v>38</v>
      </c>
      <c r="E62" s="203">
        <v>13</v>
      </c>
      <c r="F62" s="214">
        <v>493.61</v>
      </c>
    </row>
    <row r="63" spans="1:6" ht="24.95" customHeight="1" x14ac:dyDescent="0.2">
      <c r="A63" s="315"/>
      <c r="B63" s="315"/>
      <c r="C63" s="333"/>
      <c r="D63" s="203" t="s">
        <v>39</v>
      </c>
      <c r="E63" s="203">
        <v>2</v>
      </c>
      <c r="F63" s="214">
        <v>176.46</v>
      </c>
    </row>
    <row r="64" spans="1:6" ht="29.25" customHeight="1" x14ac:dyDescent="0.2">
      <c r="A64" s="314" t="s">
        <v>277</v>
      </c>
      <c r="B64" s="314" t="s">
        <v>60</v>
      </c>
      <c r="C64" s="329" t="s">
        <v>447</v>
      </c>
      <c r="D64" s="203" t="s">
        <v>74</v>
      </c>
      <c r="E64" s="203">
        <v>84</v>
      </c>
      <c r="F64" s="214">
        <v>2542.6799999999998</v>
      </c>
    </row>
    <row r="65" spans="1:6" ht="30" customHeight="1" x14ac:dyDescent="0.2">
      <c r="A65" s="319"/>
      <c r="B65" s="319"/>
      <c r="C65" s="330"/>
      <c r="D65" s="203" t="s">
        <v>62</v>
      </c>
      <c r="E65" s="203">
        <v>10</v>
      </c>
      <c r="F65" s="214">
        <v>50.300000000000004</v>
      </c>
    </row>
    <row r="66" spans="1:6" ht="31.5" customHeight="1" x14ac:dyDescent="0.2">
      <c r="A66" s="319"/>
      <c r="B66" s="319"/>
      <c r="C66" s="330"/>
      <c r="D66" s="203" t="s">
        <v>104</v>
      </c>
      <c r="E66" s="203">
        <v>10</v>
      </c>
      <c r="F66" s="214">
        <v>24.6</v>
      </c>
    </row>
    <row r="67" spans="1:6" ht="24.95" customHeight="1" x14ac:dyDescent="0.2">
      <c r="A67" s="319"/>
      <c r="B67" s="319"/>
      <c r="C67" s="330"/>
      <c r="D67" s="170" t="s">
        <v>11</v>
      </c>
      <c r="E67" s="203">
        <v>4</v>
      </c>
      <c r="F67" s="214">
        <v>48.4</v>
      </c>
    </row>
    <row r="68" spans="1:6" ht="30" customHeight="1" x14ac:dyDescent="0.2">
      <c r="A68" s="319"/>
      <c r="B68" s="319"/>
      <c r="C68" s="330"/>
      <c r="D68" s="203" t="s">
        <v>63</v>
      </c>
      <c r="E68" s="203">
        <v>10</v>
      </c>
      <c r="F68" s="214">
        <v>91.6</v>
      </c>
    </row>
    <row r="69" spans="1:6" ht="32.25" customHeight="1" x14ac:dyDescent="0.2">
      <c r="A69" s="319"/>
      <c r="B69" s="319"/>
      <c r="C69" s="330"/>
      <c r="D69" s="203" t="s">
        <v>64</v>
      </c>
      <c r="E69" s="203">
        <v>10</v>
      </c>
      <c r="F69" s="214">
        <v>36.800000000000004</v>
      </c>
    </row>
    <row r="70" spans="1:6" ht="24.95" customHeight="1" x14ac:dyDescent="0.2">
      <c r="A70" s="319"/>
      <c r="B70" s="319"/>
      <c r="C70" s="330"/>
      <c r="D70" s="170" t="s">
        <v>65</v>
      </c>
      <c r="E70" s="203">
        <v>1</v>
      </c>
      <c r="F70" s="214">
        <v>8.27</v>
      </c>
    </row>
    <row r="71" spans="1:6" ht="24.95" customHeight="1" x14ac:dyDescent="0.2">
      <c r="A71" s="315"/>
      <c r="B71" s="315"/>
      <c r="C71" s="333"/>
      <c r="D71" s="203" t="s">
        <v>43</v>
      </c>
      <c r="E71" s="203">
        <v>0.1</v>
      </c>
      <c r="F71" s="214">
        <v>0.19</v>
      </c>
    </row>
    <row r="72" spans="1:6" ht="30" customHeight="1" x14ac:dyDescent="0.2">
      <c r="A72" s="326" t="s">
        <v>40</v>
      </c>
      <c r="B72" s="314" t="s">
        <v>41</v>
      </c>
      <c r="C72" s="329" t="s">
        <v>90</v>
      </c>
      <c r="D72" s="203" t="s">
        <v>36</v>
      </c>
      <c r="E72" s="203">
        <v>48.45</v>
      </c>
      <c r="F72" s="214">
        <v>220.93199999999999</v>
      </c>
    </row>
    <row r="73" spans="1:6" ht="30" customHeight="1" x14ac:dyDescent="0.2">
      <c r="A73" s="327"/>
      <c r="B73" s="319"/>
      <c r="C73" s="330"/>
      <c r="D73" s="203" t="s">
        <v>62</v>
      </c>
      <c r="E73" s="203">
        <v>10</v>
      </c>
      <c r="F73" s="214">
        <v>50.300000000000004</v>
      </c>
    </row>
    <row r="74" spans="1:6" ht="24.95" customHeight="1" x14ac:dyDescent="0.2">
      <c r="A74" s="327"/>
      <c r="B74" s="319"/>
      <c r="C74" s="330"/>
      <c r="D74" s="203" t="s">
        <v>11</v>
      </c>
      <c r="E74" s="203">
        <v>4</v>
      </c>
      <c r="F74" s="214">
        <v>48.4</v>
      </c>
    </row>
    <row r="75" spans="1:6" ht="24.95" customHeight="1" x14ac:dyDescent="0.2">
      <c r="A75" s="328"/>
      <c r="B75" s="315"/>
      <c r="C75" s="333"/>
      <c r="D75" s="203" t="s">
        <v>43</v>
      </c>
      <c r="E75" s="203">
        <v>0.1</v>
      </c>
      <c r="F75" s="214">
        <v>0.19</v>
      </c>
    </row>
    <row r="76" spans="1:6" ht="30.75" customHeight="1" x14ac:dyDescent="0.2">
      <c r="A76" s="202" t="s">
        <v>46</v>
      </c>
      <c r="B76" s="202" t="s">
        <v>47</v>
      </c>
      <c r="C76" s="203" t="s">
        <v>67</v>
      </c>
      <c r="D76" s="203" t="s">
        <v>68</v>
      </c>
      <c r="E76" s="203">
        <v>5</v>
      </c>
      <c r="F76" s="214">
        <v>25.75</v>
      </c>
    </row>
    <row r="77" spans="1:6" ht="30.75" customHeight="1" x14ac:dyDescent="0.2">
      <c r="A77" s="202" t="s">
        <v>49</v>
      </c>
      <c r="B77" s="202" t="s">
        <v>50</v>
      </c>
      <c r="C77" s="203" t="s">
        <v>51</v>
      </c>
      <c r="D77" s="203" t="s">
        <v>52</v>
      </c>
      <c r="E77" s="203">
        <v>5</v>
      </c>
      <c r="F77" s="214">
        <v>62.9</v>
      </c>
    </row>
    <row r="78" spans="1:6" ht="24.95" customHeight="1" x14ac:dyDescent="0.2">
      <c r="A78" s="199" t="s">
        <v>53</v>
      </c>
      <c r="B78" s="316" t="s">
        <v>54</v>
      </c>
      <c r="C78" s="320"/>
      <c r="D78" s="203" t="s">
        <v>53</v>
      </c>
      <c r="E78" s="203">
        <v>180</v>
      </c>
      <c r="F78" s="214">
        <v>120.60000000000001</v>
      </c>
    </row>
    <row r="79" spans="1:6" ht="19.5" customHeight="1" x14ac:dyDescent="0.25">
      <c r="A79" s="334" t="s">
        <v>331</v>
      </c>
      <c r="B79" s="335"/>
      <c r="C79" s="335"/>
      <c r="D79" s="335"/>
      <c r="E79" s="336"/>
      <c r="F79" s="220">
        <v>4364.9799999999996</v>
      </c>
    </row>
    <row r="80" spans="1:6" ht="19.5" customHeight="1" x14ac:dyDescent="0.25">
      <c r="A80" s="209"/>
      <c r="B80" s="209"/>
      <c r="C80" s="209"/>
      <c r="D80" s="209"/>
      <c r="E80" s="209"/>
      <c r="F80" s="209"/>
    </row>
    <row r="81" spans="1:6" ht="19.5" customHeight="1" x14ac:dyDescent="0.2">
      <c r="A81" s="166" t="s">
        <v>27</v>
      </c>
      <c r="B81" s="201">
        <v>4</v>
      </c>
      <c r="C81" s="167"/>
      <c r="D81" s="167"/>
      <c r="E81" s="167"/>
      <c r="F81" s="167"/>
    </row>
    <row r="82" spans="1:6" ht="19.5" customHeight="1" x14ac:dyDescent="0.2">
      <c r="A82" s="160"/>
      <c r="B82" s="162"/>
      <c r="C82" s="162"/>
      <c r="D82" s="162"/>
      <c r="E82" s="162"/>
      <c r="F82" s="162"/>
    </row>
    <row r="83" spans="1:6" ht="12.75" customHeight="1" x14ac:dyDescent="0.2">
      <c r="A83" s="313" t="s">
        <v>28</v>
      </c>
      <c r="B83" s="321" t="s">
        <v>29</v>
      </c>
      <c r="C83" s="313" t="s">
        <v>56</v>
      </c>
      <c r="D83" s="313" t="s">
        <v>31</v>
      </c>
      <c r="E83" s="313" t="s">
        <v>32</v>
      </c>
      <c r="F83" s="314" t="s">
        <v>33</v>
      </c>
    </row>
    <row r="84" spans="1:6" ht="34.5" customHeight="1" x14ac:dyDescent="0.2">
      <c r="A84" s="313"/>
      <c r="B84" s="322"/>
      <c r="C84" s="313"/>
      <c r="D84" s="313"/>
      <c r="E84" s="313"/>
      <c r="F84" s="315"/>
    </row>
    <row r="85" spans="1:6" ht="32.25" customHeight="1" x14ac:dyDescent="0.2">
      <c r="A85" s="345" t="s">
        <v>34</v>
      </c>
      <c r="B85" s="195" t="s">
        <v>57</v>
      </c>
      <c r="C85" s="317" t="s">
        <v>296</v>
      </c>
      <c r="D85" s="203" t="s">
        <v>69</v>
      </c>
      <c r="E85" s="203">
        <v>10</v>
      </c>
      <c r="F85" s="214">
        <v>44</v>
      </c>
    </row>
    <row r="86" spans="1:6" ht="33" customHeight="1" x14ac:dyDescent="0.2">
      <c r="A86" s="346"/>
      <c r="B86" s="319" t="s">
        <v>37</v>
      </c>
      <c r="C86" s="318"/>
      <c r="D86" s="203" t="s">
        <v>38</v>
      </c>
      <c r="E86" s="203">
        <v>13</v>
      </c>
      <c r="F86" s="214">
        <v>493.61</v>
      </c>
    </row>
    <row r="87" spans="1:6" ht="33.75" customHeight="1" x14ac:dyDescent="0.2">
      <c r="A87" s="346"/>
      <c r="B87" s="315"/>
      <c r="C87" s="340"/>
      <c r="D87" s="203" t="s">
        <v>39</v>
      </c>
      <c r="E87" s="203">
        <v>2</v>
      </c>
      <c r="F87" s="214">
        <v>176.46</v>
      </c>
    </row>
    <row r="88" spans="1:6" ht="33.75" customHeight="1" x14ac:dyDescent="0.2">
      <c r="A88" s="202" t="s">
        <v>40</v>
      </c>
      <c r="B88" s="217" t="s">
        <v>41</v>
      </c>
      <c r="C88" s="206" t="s">
        <v>428</v>
      </c>
      <c r="D88" s="206" t="s">
        <v>409</v>
      </c>
      <c r="E88" s="203">
        <v>60</v>
      </c>
      <c r="F88" s="214">
        <v>1020</v>
      </c>
    </row>
    <row r="89" spans="1:6" ht="30" customHeight="1" x14ac:dyDescent="0.2">
      <c r="A89" s="202" t="s">
        <v>44</v>
      </c>
      <c r="B89" s="202" t="s">
        <v>45</v>
      </c>
      <c r="C89" s="197" t="s">
        <v>15</v>
      </c>
      <c r="D89" s="203" t="s">
        <v>111</v>
      </c>
      <c r="E89" s="203">
        <v>130</v>
      </c>
      <c r="F89" s="214">
        <v>1671.8</v>
      </c>
    </row>
    <row r="90" spans="1:6" ht="32.25" customHeight="1" x14ac:dyDescent="0.2">
      <c r="A90" s="202" t="s">
        <v>46</v>
      </c>
      <c r="B90" s="202" t="s">
        <v>47</v>
      </c>
      <c r="C90" s="203" t="s">
        <v>67</v>
      </c>
      <c r="D90" s="203" t="s">
        <v>68</v>
      </c>
      <c r="E90" s="203">
        <v>5</v>
      </c>
      <c r="F90" s="214">
        <v>25.75</v>
      </c>
    </row>
    <row r="91" spans="1:6" ht="24.95" customHeight="1" x14ac:dyDescent="0.2">
      <c r="A91" s="199" t="s">
        <v>53</v>
      </c>
      <c r="B91" s="316" t="s">
        <v>54</v>
      </c>
      <c r="C91" s="320"/>
      <c r="D91" s="203" t="s">
        <v>53</v>
      </c>
      <c r="E91" s="203">
        <v>180</v>
      </c>
      <c r="F91" s="214">
        <v>120.60000000000001</v>
      </c>
    </row>
    <row r="92" spans="1:6" ht="19.5" customHeight="1" x14ac:dyDescent="0.2">
      <c r="A92" s="334" t="s">
        <v>331</v>
      </c>
      <c r="B92" s="335"/>
      <c r="C92" s="335"/>
      <c r="D92" s="335"/>
      <c r="E92" s="336"/>
      <c r="F92" s="213">
        <v>3552.22</v>
      </c>
    </row>
    <row r="93" spans="1:6" s="2" customFormat="1" ht="19.5" customHeight="1" x14ac:dyDescent="0.25">
      <c r="A93" s="160"/>
      <c r="B93" s="162"/>
      <c r="C93" s="162"/>
      <c r="D93" s="162"/>
      <c r="E93" s="162"/>
      <c r="F93" s="162"/>
    </row>
    <row r="94" spans="1:6" ht="19.5" customHeight="1" x14ac:dyDescent="0.2">
      <c r="A94" s="166" t="s">
        <v>27</v>
      </c>
      <c r="B94" s="201">
        <v>5</v>
      </c>
      <c r="C94" s="167"/>
      <c r="D94" s="167"/>
      <c r="E94" s="167"/>
      <c r="F94" s="167"/>
    </row>
    <row r="95" spans="1:6" ht="19.5" customHeight="1" x14ac:dyDescent="0.2">
      <c r="A95" s="167"/>
      <c r="B95" s="161"/>
      <c r="C95" s="167"/>
      <c r="D95" s="167"/>
      <c r="E95" s="167"/>
      <c r="F95" s="167"/>
    </row>
    <row r="96" spans="1:6" ht="12.75" customHeight="1" x14ac:dyDescent="0.2">
      <c r="A96" s="313" t="s">
        <v>28</v>
      </c>
      <c r="B96" s="321" t="s">
        <v>29</v>
      </c>
      <c r="C96" s="313" t="s">
        <v>56</v>
      </c>
      <c r="D96" s="313" t="s">
        <v>31</v>
      </c>
      <c r="E96" s="313" t="s">
        <v>32</v>
      </c>
      <c r="F96" s="314" t="s">
        <v>33</v>
      </c>
    </row>
    <row r="97" spans="1:6" ht="33.75" customHeight="1" x14ac:dyDescent="0.2">
      <c r="A97" s="313"/>
      <c r="B97" s="322"/>
      <c r="C97" s="313"/>
      <c r="D97" s="313"/>
      <c r="E97" s="313"/>
      <c r="F97" s="315"/>
    </row>
    <row r="98" spans="1:6" ht="33" customHeight="1" x14ac:dyDescent="0.2">
      <c r="A98" s="337" t="s">
        <v>34</v>
      </c>
      <c r="B98" s="195" t="s">
        <v>57</v>
      </c>
      <c r="C98" s="317" t="s">
        <v>86</v>
      </c>
      <c r="D98" s="203" t="s">
        <v>36</v>
      </c>
      <c r="E98" s="203">
        <v>10</v>
      </c>
      <c r="F98" s="214">
        <v>45.599999999999994</v>
      </c>
    </row>
    <row r="99" spans="1:6" ht="36.75" customHeight="1" x14ac:dyDescent="0.2">
      <c r="A99" s="338"/>
      <c r="B99" s="319" t="s">
        <v>37</v>
      </c>
      <c r="C99" s="318"/>
      <c r="D99" s="203" t="s">
        <v>38</v>
      </c>
      <c r="E99" s="203">
        <v>13</v>
      </c>
      <c r="F99" s="214">
        <v>493.61</v>
      </c>
    </row>
    <row r="100" spans="1:6" ht="30" customHeight="1" x14ac:dyDescent="0.2">
      <c r="A100" s="339"/>
      <c r="B100" s="315"/>
      <c r="C100" s="340"/>
      <c r="D100" s="203" t="s">
        <v>39</v>
      </c>
      <c r="E100" s="203">
        <v>2</v>
      </c>
      <c r="F100" s="214">
        <v>176.46</v>
      </c>
    </row>
    <row r="101" spans="1:6" ht="35.25" customHeight="1" x14ac:dyDescent="0.2">
      <c r="A101" s="326" t="s">
        <v>277</v>
      </c>
      <c r="B101" s="319" t="s">
        <v>60</v>
      </c>
      <c r="C101" s="331" t="s">
        <v>333</v>
      </c>
      <c r="D101" s="203" t="s">
        <v>70</v>
      </c>
      <c r="E101" s="203">
        <v>55</v>
      </c>
      <c r="F101" s="214">
        <v>593.44999999999993</v>
      </c>
    </row>
    <row r="102" spans="1:6" ht="24.95" customHeight="1" x14ac:dyDescent="0.2">
      <c r="A102" s="327"/>
      <c r="B102" s="315"/>
      <c r="C102" s="344"/>
      <c r="D102" s="203" t="s">
        <v>43</v>
      </c>
      <c r="E102" s="203">
        <v>0.1</v>
      </c>
      <c r="F102" s="214">
        <v>0.19</v>
      </c>
    </row>
    <row r="103" spans="1:6" ht="32.25" customHeight="1" x14ac:dyDescent="0.2">
      <c r="A103" s="328"/>
      <c r="B103" s="202" t="s">
        <v>45</v>
      </c>
      <c r="C103" s="332"/>
      <c r="D103" s="206" t="s">
        <v>378</v>
      </c>
      <c r="E103" s="203">
        <v>20</v>
      </c>
      <c r="F103" s="214">
        <v>81.400000000000006</v>
      </c>
    </row>
    <row r="104" spans="1:6" ht="34.5" customHeight="1" x14ac:dyDescent="0.2">
      <c r="A104" s="326" t="s">
        <v>40</v>
      </c>
      <c r="B104" s="314" t="s">
        <v>41</v>
      </c>
      <c r="C104" s="329" t="s">
        <v>334</v>
      </c>
      <c r="D104" s="203" t="s">
        <v>42</v>
      </c>
      <c r="E104" s="203">
        <v>70</v>
      </c>
      <c r="F104" s="214">
        <v>347.9</v>
      </c>
    </row>
    <row r="105" spans="1:6" ht="24.95" customHeight="1" x14ac:dyDescent="0.2">
      <c r="A105" s="328"/>
      <c r="B105" s="315"/>
      <c r="C105" s="333"/>
      <c r="D105" s="203" t="s">
        <v>43</v>
      </c>
      <c r="E105" s="203">
        <v>0.1</v>
      </c>
      <c r="F105" s="214">
        <v>0.19</v>
      </c>
    </row>
    <row r="106" spans="1:6" ht="33.75" customHeight="1" x14ac:dyDescent="0.2">
      <c r="A106" s="202" t="s">
        <v>46</v>
      </c>
      <c r="B106" s="202" t="s">
        <v>47</v>
      </c>
      <c r="C106" s="203" t="s">
        <v>48</v>
      </c>
      <c r="D106" s="203" t="s">
        <v>13</v>
      </c>
      <c r="E106" s="203">
        <v>7</v>
      </c>
      <c r="F106" s="214">
        <v>41.09</v>
      </c>
    </row>
    <row r="107" spans="1:6" ht="31.5" customHeight="1" x14ac:dyDescent="0.2">
      <c r="A107" s="202" t="s">
        <v>49</v>
      </c>
      <c r="B107" s="202" t="s">
        <v>50</v>
      </c>
      <c r="C107" s="203" t="s">
        <v>51</v>
      </c>
      <c r="D107" s="203" t="s">
        <v>52</v>
      </c>
      <c r="E107" s="203">
        <v>5</v>
      </c>
      <c r="F107" s="214">
        <v>62.9</v>
      </c>
    </row>
    <row r="108" spans="1:6" ht="24.95" customHeight="1" x14ac:dyDescent="0.2">
      <c r="A108" s="199" t="s">
        <v>53</v>
      </c>
      <c r="B108" s="316" t="s">
        <v>54</v>
      </c>
      <c r="C108" s="320"/>
      <c r="D108" s="203" t="s">
        <v>53</v>
      </c>
      <c r="E108" s="203">
        <v>180</v>
      </c>
      <c r="F108" s="214">
        <v>120.60000000000001</v>
      </c>
    </row>
    <row r="109" spans="1:6" ht="20.100000000000001" customHeight="1" x14ac:dyDescent="0.2">
      <c r="A109" s="334" t="s">
        <v>331</v>
      </c>
      <c r="B109" s="335"/>
      <c r="C109" s="335"/>
      <c r="D109" s="335"/>
      <c r="E109" s="336"/>
      <c r="F109" s="213">
        <v>1963.39</v>
      </c>
    </row>
    <row r="110" spans="1:6" s="2" customFormat="1" ht="19.5" customHeight="1" x14ac:dyDescent="0.25">
      <c r="A110" s="160"/>
      <c r="B110" s="162"/>
      <c r="C110" s="162"/>
      <c r="D110" s="162"/>
      <c r="E110" s="162"/>
      <c r="F110" s="162"/>
    </row>
    <row r="111" spans="1:6" ht="19.5" customHeight="1" x14ac:dyDescent="0.2">
      <c r="A111" s="166" t="s">
        <v>27</v>
      </c>
      <c r="B111" s="201">
        <v>6</v>
      </c>
      <c r="C111" s="167"/>
      <c r="D111" s="167"/>
      <c r="E111" s="167"/>
      <c r="F111" s="167"/>
    </row>
    <row r="112" spans="1:6" ht="19.5" customHeight="1" x14ac:dyDescent="0.2">
      <c r="A112" s="167"/>
      <c r="B112" s="161"/>
      <c r="C112" s="167"/>
      <c r="D112" s="167"/>
      <c r="E112" s="167"/>
      <c r="F112" s="167"/>
    </row>
    <row r="113" spans="1:6" ht="12.75" customHeight="1" x14ac:dyDescent="0.2">
      <c r="A113" s="313" t="s">
        <v>28</v>
      </c>
      <c r="B113" s="321" t="s">
        <v>29</v>
      </c>
      <c r="C113" s="313" t="s">
        <v>56</v>
      </c>
      <c r="D113" s="313" t="s">
        <v>31</v>
      </c>
      <c r="E113" s="313" t="s">
        <v>32</v>
      </c>
      <c r="F113" s="314" t="s">
        <v>33</v>
      </c>
    </row>
    <row r="114" spans="1:6" ht="32.25" customHeight="1" x14ac:dyDescent="0.2">
      <c r="A114" s="313"/>
      <c r="B114" s="321"/>
      <c r="C114" s="313"/>
      <c r="D114" s="313"/>
      <c r="E114" s="313"/>
      <c r="F114" s="315"/>
    </row>
    <row r="115" spans="1:6" ht="31.5" customHeight="1" x14ac:dyDescent="0.2">
      <c r="A115" s="314" t="s">
        <v>34</v>
      </c>
      <c r="B115" s="195" t="s">
        <v>57</v>
      </c>
      <c r="C115" s="329" t="s">
        <v>275</v>
      </c>
      <c r="D115" s="203" t="s">
        <v>58</v>
      </c>
      <c r="E115" s="203">
        <v>10</v>
      </c>
      <c r="F115" s="214">
        <v>86</v>
      </c>
    </row>
    <row r="116" spans="1:6" ht="34.5" customHeight="1" x14ac:dyDescent="0.2">
      <c r="A116" s="319"/>
      <c r="B116" s="319" t="s">
        <v>37</v>
      </c>
      <c r="C116" s="330"/>
      <c r="D116" s="203" t="s">
        <v>38</v>
      </c>
      <c r="E116" s="203">
        <v>13</v>
      </c>
      <c r="F116" s="214">
        <v>493.61</v>
      </c>
    </row>
    <row r="117" spans="1:6" ht="34.5" customHeight="1" x14ac:dyDescent="0.2">
      <c r="A117" s="208"/>
      <c r="B117" s="315"/>
      <c r="C117" s="330"/>
      <c r="D117" s="203" t="s">
        <v>39</v>
      </c>
      <c r="E117" s="203">
        <v>2</v>
      </c>
      <c r="F117" s="214">
        <v>176.46</v>
      </c>
    </row>
    <row r="118" spans="1:6" ht="30.75" customHeight="1" x14ac:dyDescent="0.2">
      <c r="A118" s="326" t="s">
        <v>277</v>
      </c>
      <c r="B118" s="314" t="s">
        <v>60</v>
      </c>
      <c r="C118" s="329" t="s">
        <v>449</v>
      </c>
      <c r="D118" s="203" t="s">
        <v>70</v>
      </c>
      <c r="E118" s="203">
        <v>55</v>
      </c>
      <c r="F118" s="214">
        <v>593.44999999999993</v>
      </c>
    </row>
    <row r="119" spans="1:6" ht="30.75" customHeight="1" x14ac:dyDescent="0.2">
      <c r="A119" s="327"/>
      <c r="B119" s="319"/>
      <c r="C119" s="330"/>
      <c r="D119" s="203" t="s">
        <v>62</v>
      </c>
      <c r="E119" s="203">
        <v>10</v>
      </c>
      <c r="F119" s="214">
        <v>50.300000000000004</v>
      </c>
    </row>
    <row r="120" spans="1:6" ht="30.75" customHeight="1" x14ac:dyDescent="0.2">
      <c r="A120" s="327"/>
      <c r="B120" s="319"/>
      <c r="C120" s="330"/>
      <c r="D120" s="203" t="s">
        <v>79</v>
      </c>
      <c r="E120" s="203">
        <v>10</v>
      </c>
      <c r="F120" s="214">
        <v>50.9</v>
      </c>
    </row>
    <row r="121" spans="1:6" ht="24.95" customHeight="1" x14ac:dyDescent="0.2">
      <c r="A121" s="328"/>
      <c r="B121" s="315"/>
      <c r="C121" s="333"/>
      <c r="D121" s="203" t="s">
        <v>43</v>
      </c>
      <c r="E121" s="203">
        <v>0.1</v>
      </c>
      <c r="F121" s="214">
        <v>0.19</v>
      </c>
    </row>
    <row r="122" spans="1:6" ht="33" customHeight="1" x14ac:dyDescent="0.2">
      <c r="A122" s="326" t="s">
        <v>40</v>
      </c>
      <c r="B122" s="314" t="s">
        <v>41</v>
      </c>
      <c r="C122" s="329" t="s">
        <v>91</v>
      </c>
      <c r="D122" s="203" t="s">
        <v>92</v>
      </c>
      <c r="E122" s="203">
        <v>106</v>
      </c>
      <c r="F122" s="214">
        <v>261.82</v>
      </c>
    </row>
    <row r="123" spans="1:6" ht="24.95" customHeight="1" x14ac:dyDescent="0.2">
      <c r="A123" s="328"/>
      <c r="B123" s="315"/>
      <c r="C123" s="333"/>
      <c r="D123" s="203" t="s">
        <v>43</v>
      </c>
      <c r="E123" s="203">
        <v>0.1</v>
      </c>
      <c r="F123" s="214">
        <v>0.19</v>
      </c>
    </row>
    <row r="124" spans="1:6" ht="32.25" customHeight="1" x14ac:dyDescent="0.2">
      <c r="A124" s="202" t="s">
        <v>46</v>
      </c>
      <c r="B124" s="202" t="s">
        <v>47</v>
      </c>
      <c r="C124" s="203" t="s">
        <v>67</v>
      </c>
      <c r="D124" s="203" t="s">
        <v>68</v>
      </c>
      <c r="E124" s="203">
        <v>5</v>
      </c>
      <c r="F124" s="214">
        <v>25.75</v>
      </c>
    </row>
    <row r="125" spans="1:6" ht="32.25" customHeight="1" x14ac:dyDescent="0.2">
      <c r="A125" s="202" t="s">
        <v>49</v>
      </c>
      <c r="B125" s="202" t="s">
        <v>50</v>
      </c>
      <c r="C125" s="203" t="s">
        <v>51</v>
      </c>
      <c r="D125" s="203" t="s">
        <v>52</v>
      </c>
      <c r="E125" s="203">
        <v>7</v>
      </c>
      <c r="F125" s="214">
        <v>88.06</v>
      </c>
    </row>
    <row r="126" spans="1:6" ht="24.95" customHeight="1" x14ac:dyDescent="0.2">
      <c r="A126" s="199" t="s">
        <v>53</v>
      </c>
      <c r="B126" s="316" t="s">
        <v>54</v>
      </c>
      <c r="C126" s="320"/>
      <c r="D126" s="203" t="s">
        <v>53</v>
      </c>
      <c r="E126" s="203">
        <v>180</v>
      </c>
      <c r="F126" s="214">
        <v>120.60000000000001</v>
      </c>
    </row>
    <row r="127" spans="1:6" ht="19.5" customHeight="1" x14ac:dyDescent="0.2">
      <c r="A127" s="334" t="s">
        <v>331</v>
      </c>
      <c r="B127" s="335"/>
      <c r="C127" s="335"/>
      <c r="D127" s="335"/>
      <c r="E127" s="336"/>
      <c r="F127" s="213">
        <v>1947.33</v>
      </c>
    </row>
    <row r="128" spans="1:6" s="2" customFormat="1" ht="19.5" customHeight="1" x14ac:dyDescent="0.25">
      <c r="A128" s="160"/>
      <c r="B128" s="162"/>
      <c r="C128" s="162"/>
      <c r="D128" s="162"/>
      <c r="E128" s="162"/>
      <c r="F128" s="162"/>
    </row>
    <row r="129" spans="1:6" ht="19.5" customHeight="1" x14ac:dyDescent="0.2">
      <c r="A129" s="166" t="s">
        <v>27</v>
      </c>
      <c r="B129" s="201">
        <v>7</v>
      </c>
      <c r="C129" s="167"/>
      <c r="D129" s="167"/>
      <c r="E129" s="167"/>
      <c r="F129" s="167"/>
    </row>
    <row r="130" spans="1:6" ht="19.5" customHeight="1" x14ac:dyDescent="0.2">
      <c r="A130" s="167"/>
      <c r="B130" s="161"/>
      <c r="C130" s="167"/>
      <c r="D130" s="167"/>
      <c r="E130" s="167"/>
      <c r="F130" s="167"/>
    </row>
    <row r="131" spans="1:6" ht="12.75" customHeight="1" x14ac:dyDescent="0.2">
      <c r="A131" s="313" t="s">
        <v>28</v>
      </c>
      <c r="B131" s="321" t="s">
        <v>29</v>
      </c>
      <c r="C131" s="313" t="s">
        <v>56</v>
      </c>
      <c r="D131" s="313" t="s">
        <v>31</v>
      </c>
      <c r="E131" s="313" t="s">
        <v>32</v>
      </c>
      <c r="F131" s="314" t="s">
        <v>33</v>
      </c>
    </row>
    <row r="132" spans="1:6" ht="33.75" customHeight="1" x14ac:dyDescent="0.2">
      <c r="A132" s="313"/>
      <c r="B132" s="322"/>
      <c r="C132" s="313"/>
      <c r="D132" s="313"/>
      <c r="E132" s="313"/>
      <c r="F132" s="315"/>
    </row>
    <row r="133" spans="1:6" ht="33" customHeight="1" x14ac:dyDescent="0.2">
      <c r="A133" s="337" t="s">
        <v>34</v>
      </c>
      <c r="B133" s="195" t="s">
        <v>57</v>
      </c>
      <c r="C133" s="317" t="s">
        <v>84</v>
      </c>
      <c r="D133" s="203" t="s">
        <v>85</v>
      </c>
      <c r="E133" s="203">
        <v>10</v>
      </c>
      <c r="F133" s="214">
        <v>40.300000000000004</v>
      </c>
    </row>
    <row r="134" spans="1:6" ht="42" customHeight="1" x14ac:dyDescent="0.2">
      <c r="A134" s="338"/>
      <c r="B134" s="319" t="s">
        <v>37</v>
      </c>
      <c r="C134" s="318"/>
      <c r="D134" s="203" t="s">
        <v>38</v>
      </c>
      <c r="E134" s="203">
        <v>13</v>
      </c>
      <c r="F134" s="214">
        <v>493.61</v>
      </c>
    </row>
    <row r="135" spans="1:6" ht="24.95" customHeight="1" x14ac:dyDescent="0.2">
      <c r="A135" s="338"/>
      <c r="B135" s="315"/>
      <c r="C135" s="318"/>
      <c r="D135" s="203" t="s">
        <v>39</v>
      </c>
      <c r="E135" s="203">
        <v>2</v>
      </c>
      <c r="F135" s="214">
        <v>176.46</v>
      </c>
    </row>
    <row r="136" spans="1:6" ht="37.5" customHeight="1" x14ac:dyDescent="0.2">
      <c r="A136" s="202" t="s">
        <v>40</v>
      </c>
      <c r="B136" s="217" t="s">
        <v>41</v>
      </c>
      <c r="C136" s="196" t="s">
        <v>386</v>
      </c>
      <c r="D136" s="203" t="s">
        <v>418</v>
      </c>
      <c r="E136" s="203">
        <v>60</v>
      </c>
      <c r="F136" s="214">
        <v>1212</v>
      </c>
    </row>
    <row r="137" spans="1:6" ht="29.25" customHeight="1" x14ac:dyDescent="0.2">
      <c r="A137" s="198" t="s">
        <v>44</v>
      </c>
      <c r="B137" s="198" t="s">
        <v>45</v>
      </c>
      <c r="C137" s="203" t="s">
        <v>335</v>
      </c>
      <c r="D137" s="203" t="s">
        <v>77</v>
      </c>
      <c r="E137" s="203">
        <v>200</v>
      </c>
      <c r="F137" s="214">
        <v>758</v>
      </c>
    </row>
    <row r="138" spans="1:6" ht="33" customHeight="1" x14ac:dyDescent="0.2">
      <c r="A138" s="202" t="s">
        <v>46</v>
      </c>
      <c r="B138" s="202" t="s">
        <v>47</v>
      </c>
      <c r="C138" s="203" t="s">
        <v>67</v>
      </c>
      <c r="D138" s="203" t="s">
        <v>68</v>
      </c>
      <c r="E138" s="203">
        <v>5</v>
      </c>
      <c r="F138" s="214">
        <v>25.75</v>
      </c>
    </row>
    <row r="139" spans="1:6" ht="24.95" customHeight="1" x14ac:dyDescent="0.2">
      <c r="A139" s="199" t="s">
        <v>53</v>
      </c>
      <c r="B139" s="316" t="s">
        <v>54</v>
      </c>
      <c r="C139" s="320"/>
      <c r="D139" s="203" t="s">
        <v>53</v>
      </c>
      <c r="E139" s="203">
        <v>180</v>
      </c>
      <c r="F139" s="214">
        <v>120.60000000000001</v>
      </c>
    </row>
    <row r="140" spans="1:6" ht="20.100000000000001" customHeight="1" x14ac:dyDescent="0.2">
      <c r="A140" s="334" t="s">
        <v>331</v>
      </c>
      <c r="B140" s="335"/>
      <c r="C140" s="335"/>
      <c r="D140" s="335"/>
      <c r="E140" s="336"/>
      <c r="F140" s="213">
        <v>2826.72</v>
      </c>
    </row>
    <row r="141" spans="1:6" s="2" customFormat="1" ht="19.5" customHeight="1" x14ac:dyDescent="0.25">
      <c r="A141" s="160"/>
      <c r="B141" s="162"/>
      <c r="C141" s="162"/>
      <c r="D141" s="162"/>
      <c r="E141" s="162"/>
      <c r="F141" s="162"/>
    </row>
    <row r="142" spans="1:6" ht="19.5" customHeight="1" x14ac:dyDescent="0.2">
      <c r="A142" s="166" t="s">
        <v>27</v>
      </c>
      <c r="B142" s="201">
        <v>8</v>
      </c>
      <c r="C142" s="167"/>
      <c r="D142" s="167"/>
      <c r="E142" s="167"/>
      <c r="F142" s="167"/>
    </row>
    <row r="143" spans="1:6" ht="19.5" customHeight="1" x14ac:dyDescent="0.2">
      <c r="A143" s="167"/>
      <c r="B143" s="161"/>
      <c r="C143" s="167"/>
      <c r="D143" s="167"/>
      <c r="E143" s="167"/>
      <c r="F143" s="167"/>
    </row>
    <row r="144" spans="1:6" ht="18.75" customHeight="1" x14ac:dyDescent="0.2">
      <c r="A144" s="313" t="s">
        <v>28</v>
      </c>
      <c r="B144" s="321" t="s">
        <v>29</v>
      </c>
      <c r="C144" s="313" t="s">
        <v>56</v>
      </c>
      <c r="D144" s="313" t="s">
        <v>31</v>
      </c>
      <c r="E144" s="313" t="s">
        <v>32</v>
      </c>
      <c r="F144" s="314" t="s">
        <v>33</v>
      </c>
    </row>
    <row r="145" spans="1:6" ht="34.5" customHeight="1" x14ac:dyDescent="0.2">
      <c r="A145" s="313"/>
      <c r="B145" s="322"/>
      <c r="C145" s="313"/>
      <c r="D145" s="313"/>
      <c r="E145" s="313"/>
      <c r="F145" s="315"/>
    </row>
    <row r="146" spans="1:6" ht="36" customHeight="1" x14ac:dyDescent="0.2">
      <c r="A146" s="337" t="s">
        <v>34</v>
      </c>
      <c r="B146" s="195" t="s">
        <v>57</v>
      </c>
      <c r="C146" s="317" t="s">
        <v>76</v>
      </c>
      <c r="D146" s="203" t="s">
        <v>245</v>
      </c>
      <c r="E146" s="203">
        <v>10</v>
      </c>
      <c r="F146" s="214">
        <v>167.7</v>
      </c>
    </row>
    <row r="147" spans="1:6" ht="63" customHeight="1" x14ac:dyDescent="0.2">
      <c r="A147" s="338"/>
      <c r="B147" s="200" t="s">
        <v>37</v>
      </c>
      <c r="C147" s="318"/>
      <c r="D147" s="203" t="s">
        <v>38</v>
      </c>
      <c r="E147" s="203">
        <v>13</v>
      </c>
      <c r="F147" s="214">
        <v>493.61</v>
      </c>
    </row>
    <row r="148" spans="1:6" ht="31.5" customHeight="1" x14ac:dyDescent="0.2">
      <c r="A148" s="326" t="s">
        <v>277</v>
      </c>
      <c r="B148" s="319" t="s">
        <v>60</v>
      </c>
      <c r="C148" s="314" t="s">
        <v>451</v>
      </c>
      <c r="D148" s="203" t="s">
        <v>78</v>
      </c>
      <c r="E148" s="203">
        <v>97.2</v>
      </c>
      <c r="F148" s="214">
        <v>2436.8040000000001</v>
      </c>
    </row>
    <row r="149" spans="1:6" ht="30" customHeight="1" x14ac:dyDescent="0.2">
      <c r="A149" s="327"/>
      <c r="B149" s="319"/>
      <c r="C149" s="319"/>
      <c r="D149" s="203" t="s">
        <v>62</v>
      </c>
      <c r="E149" s="203">
        <v>10</v>
      </c>
      <c r="F149" s="214">
        <v>50.300000000000004</v>
      </c>
    </row>
    <row r="150" spans="1:6" ht="30.75" customHeight="1" x14ac:dyDescent="0.2">
      <c r="A150" s="327"/>
      <c r="B150" s="319"/>
      <c r="C150" s="319"/>
      <c r="D150" s="203" t="s">
        <v>64</v>
      </c>
      <c r="E150" s="203">
        <v>10</v>
      </c>
      <c r="F150" s="214">
        <v>36.800000000000004</v>
      </c>
    </row>
    <row r="151" spans="1:6" ht="24.95" customHeight="1" x14ac:dyDescent="0.2">
      <c r="A151" s="327"/>
      <c r="B151" s="319"/>
      <c r="C151" s="319"/>
      <c r="D151" s="170" t="s">
        <v>11</v>
      </c>
      <c r="E151" s="203">
        <v>4</v>
      </c>
      <c r="F151" s="214">
        <v>48.4</v>
      </c>
    </row>
    <row r="152" spans="1:6" ht="34.5" customHeight="1" x14ac:dyDescent="0.2">
      <c r="A152" s="327"/>
      <c r="B152" s="319"/>
      <c r="C152" s="319"/>
      <c r="D152" s="203" t="s">
        <v>63</v>
      </c>
      <c r="E152" s="203">
        <v>10</v>
      </c>
      <c r="F152" s="214">
        <v>91.6</v>
      </c>
    </row>
    <row r="153" spans="1:6" ht="24.95" customHeight="1" x14ac:dyDescent="0.2">
      <c r="A153" s="327"/>
      <c r="B153" s="319"/>
      <c r="C153" s="319"/>
      <c r="D153" s="170" t="s">
        <v>65</v>
      </c>
      <c r="E153" s="203">
        <v>1</v>
      </c>
      <c r="F153" s="214">
        <v>8.27</v>
      </c>
    </row>
    <row r="154" spans="1:6" ht="24.95" customHeight="1" x14ac:dyDescent="0.2">
      <c r="A154" s="328"/>
      <c r="B154" s="315"/>
      <c r="C154" s="315"/>
      <c r="D154" s="203" t="s">
        <v>43</v>
      </c>
      <c r="E154" s="203">
        <v>0.1</v>
      </c>
      <c r="F154" s="214">
        <v>0.19</v>
      </c>
    </row>
    <row r="155" spans="1:6" ht="30" customHeight="1" x14ac:dyDescent="0.2">
      <c r="A155" s="326" t="s">
        <v>40</v>
      </c>
      <c r="B155" s="314" t="s">
        <v>41</v>
      </c>
      <c r="C155" s="329" t="s">
        <v>71</v>
      </c>
      <c r="D155" s="203" t="s">
        <v>72</v>
      </c>
      <c r="E155" s="203">
        <v>106</v>
      </c>
      <c r="F155" s="214">
        <v>604.20000000000005</v>
      </c>
    </row>
    <row r="156" spans="1:6" ht="24.95" customHeight="1" x14ac:dyDescent="0.2">
      <c r="A156" s="327"/>
      <c r="B156" s="319"/>
      <c r="C156" s="333"/>
      <c r="D156" s="203" t="s">
        <v>43</v>
      </c>
      <c r="E156" s="203">
        <v>0.1</v>
      </c>
      <c r="F156" s="214">
        <v>0.19</v>
      </c>
    </row>
    <row r="157" spans="1:6" ht="31.5" customHeight="1" x14ac:dyDescent="0.2">
      <c r="A157" s="202" t="s">
        <v>46</v>
      </c>
      <c r="B157" s="202" t="s">
        <v>47</v>
      </c>
      <c r="C157" s="203" t="s">
        <v>67</v>
      </c>
      <c r="D157" s="203" t="s">
        <v>68</v>
      </c>
      <c r="E157" s="203">
        <v>5</v>
      </c>
      <c r="F157" s="214">
        <v>25.75</v>
      </c>
    </row>
    <row r="158" spans="1:6" ht="32.25" customHeight="1" x14ac:dyDescent="0.2">
      <c r="A158" s="202" t="s">
        <v>49</v>
      </c>
      <c r="B158" s="202" t="s">
        <v>50</v>
      </c>
      <c r="C158" s="203" t="s">
        <v>51</v>
      </c>
      <c r="D158" s="203" t="s">
        <v>52</v>
      </c>
      <c r="E158" s="203">
        <v>5</v>
      </c>
      <c r="F158" s="214">
        <v>62.9</v>
      </c>
    </row>
    <row r="159" spans="1:6" ht="24.95" customHeight="1" x14ac:dyDescent="0.2">
      <c r="A159" s="199" t="s">
        <v>53</v>
      </c>
      <c r="B159" s="316" t="s">
        <v>54</v>
      </c>
      <c r="C159" s="320"/>
      <c r="D159" s="203" t="s">
        <v>53</v>
      </c>
      <c r="E159" s="203">
        <v>180</v>
      </c>
      <c r="F159" s="214">
        <v>120.60000000000001</v>
      </c>
    </row>
    <row r="160" spans="1:6" ht="20.100000000000001" customHeight="1" x14ac:dyDescent="0.2">
      <c r="A160" s="334" t="s">
        <v>331</v>
      </c>
      <c r="B160" s="335"/>
      <c r="C160" s="335"/>
      <c r="D160" s="335"/>
      <c r="E160" s="336"/>
      <c r="F160" s="213">
        <v>4147.3100000000004</v>
      </c>
    </row>
    <row r="161" spans="1:6" s="2" customFormat="1" ht="20.100000000000001" customHeight="1" x14ac:dyDescent="0.25">
      <c r="A161" s="160"/>
      <c r="B161" s="162"/>
      <c r="C161" s="162"/>
      <c r="D161" s="162"/>
      <c r="E161" s="162"/>
      <c r="F161" s="162"/>
    </row>
    <row r="162" spans="1:6" ht="20.25" customHeight="1" x14ac:dyDescent="0.2">
      <c r="A162" s="166" t="s">
        <v>27</v>
      </c>
      <c r="B162" s="201">
        <v>9</v>
      </c>
      <c r="C162" s="167"/>
      <c r="D162" s="167"/>
      <c r="E162" s="167"/>
      <c r="F162" s="167"/>
    </row>
    <row r="163" spans="1:6" ht="20.25" customHeight="1" x14ac:dyDescent="0.2">
      <c r="A163" s="167"/>
      <c r="B163" s="161"/>
      <c r="C163" s="167"/>
      <c r="D163" s="167"/>
      <c r="E163" s="167"/>
      <c r="F163" s="167"/>
    </row>
    <row r="164" spans="1:6" ht="12.75" customHeight="1" x14ac:dyDescent="0.2">
      <c r="A164" s="313" t="s">
        <v>28</v>
      </c>
      <c r="B164" s="321" t="s">
        <v>29</v>
      </c>
      <c r="C164" s="313" t="s">
        <v>56</v>
      </c>
      <c r="D164" s="313" t="s">
        <v>31</v>
      </c>
      <c r="E164" s="313" t="s">
        <v>32</v>
      </c>
      <c r="F164" s="314" t="s">
        <v>33</v>
      </c>
    </row>
    <row r="165" spans="1:6" ht="34.5" customHeight="1" x14ac:dyDescent="0.2">
      <c r="A165" s="313"/>
      <c r="B165" s="322"/>
      <c r="C165" s="313"/>
      <c r="D165" s="313"/>
      <c r="E165" s="313"/>
      <c r="F165" s="315"/>
    </row>
    <row r="166" spans="1:6" ht="32.25" customHeight="1" x14ac:dyDescent="0.2">
      <c r="A166" s="316" t="s">
        <v>34</v>
      </c>
      <c r="B166" s="195" t="s">
        <v>57</v>
      </c>
      <c r="C166" s="317" t="s">
        <v>86</v>
      </c>
      <c r="D166" s="203" t="s">
        <v>36</v>
      </c>
      <c r="E166" s="203">
        <v>10</v>
      </c>
      <c r="F166" s="214">
        <v>45.599999999999994</v>
      </c>
    </row>
    <row r="167" spans="1:6" ht="39.75" customHeight="1" x14ac:dyDescent="0.2">
      <c r="A167" s="316"/>
      <c r="B167" s="319" t="s">
        <v>37</v>
      </c>
      <c r="C167" s="318"/>
      <c r="D167" s="203" t="s">
        <v>38</v>
      </c>
      <c r="E167" s="203">
        <v>13</v>
      </c>
      <c r="F167" s="214">
        <v>493.61</v>
      </c>
    </row>
    <row r="168" spans="1:6" ht="24.95" customHeight="1" x14ac:dyDescent="0.2">
      <c r="A168" s="316"/>
      <c r="B168" s="315"/>
      <c r="C168" s="340"/>
      <c r="D168" s="203" t="s">
        <v>39</v>
      </c>
      <c r="E168" s="203">
        <v>2</v>
      </c>
      <c r="F168" s="214">
        <v>176.46</v>
      </c>
    </row>
    <row r="169" spans="1:6" ht="33.75" customHeight="1" x14ac:dyDescent="0.2">
      <c r="A169" s="326" t="s">
        <v>40</v>
      </c>
      <c r="B169" s="319" t="s">
        <v>41</v>
      </c>
      <c r="C169" s="329" t="s">
        <v>336</v>
      </c>
      <c r="D169" s="203" t="s">
        <v>42</v>
      </c>
      <c r="E169" s="203">
        <v>70</v>
      </c>
      <c r="F169" s="214">
        <v>347.9</v>
      </c>
    </row>
    <row r="170" spans="1:6" ht="24.95" customHeight="1" x14ac:dyDescent="0.2">
      <c r="A170" s="328"/>
      <c r="B170" s="315"/>
      <c r="C170" s="333"/>
      <c r="D170" s="203" t="s">
        <v>43</v>
      </c>
      <c r="E170" s="203">
        <v>0.1</v>
      </c>
      <c r="F170" s="214">
        <v>0.19</v>
      </c>
    </row>
    <row r="171" spans="1:6" ht="32.25" customHeight="1" x14ac:dyDescent="0.2">
      <c r="A171" s="202" t="s">
        <v>44</v>
      </c>
      <c r="B171" s="202" t="s">
        <v>45</v>
      </c>
      <c r="C171" s="196" t="s">
        <v>82</v>
      </c>
      <c r="D171" s="203" t="s">
        <v>83</v>
      </c>
      <c r="E171" s="203">
        <v>158</v>
      </c>
      <c r="F171" s="214">
        <v>368.14</v>
      </c>
    </row>
    <row r="172" spans="1:6" ht="29.25" customHeight="1" x14ac:dyDescent="0.2">
      <c r="A172" s="202" t="s">
        <v>46</v>
      </c>
      <c r="B172" s="202" t="s">
        <v>47</v>
      </c>
      <c r="C172" s="203" t="s">
        <v>48</v>
      </c>
      <c r="D172" s="203" t="s">
        <v>13</v>
      </c>
      <c r="E172" s="203">
        <v>7</v>
      </c>
      <c r="F172" s="214">
        <v>41.09</v>
      </c>
    </row>
    <row r="173" spans="1:6" ht="33" customHeight="1" x14ac:dyDescent="0.2">
      <c r="A173" s="202" t="s">
        <v>49</v>
      </c>
      <c r="B173" s="202" t="s">
        <v>50</v>
      </c>
      <c r="C173" s="203" t="s">
        <v>51</v>
      </c>
      <c r="D173" s="203" t="s">
        <v>52</v>
      </c>
      <c r="E173" s="203">
        <v>8</v>
      </c>
      <c r="F173" s="214">
        <v>100.64</v>
      </c>
    </row>
    <row r="174" spans="1:6" ht="24.95" customHeight="1" x14ac:dyDescent="0.2">
      <c r="A174" s="199" t="s">
        <v>53</v>
      </c>
      <c r="B174" s="316" t="s">
        <v>54</v>
      </c>
      <c r="C174" s="320"/>
      <c r="D174" s="203" t="s">
        <v>53</v>
      </c>
      <c r="E174" s="203">
        <v>180</v>
      </c>
      <c r="F174" s="214">
        <v>120.60000000000001</v>
      </c>
    </row>
    <row r="175" spans="1:6" ht="20.100000000000001" customHeight="1" x14ac:dyDescent="0.2">
      <c r="A175" s="334" t="s">
        <v>331</v>
      </c>
      <c r="B175" s="335"/>
      <c r="C175" s="335"/>
      <c r="D175" s="335"/>
      <c r="E175" s="336"/>
      <c r="F175" s="213">
        <v>1694.23</v>
      </c>
    </row>
    <row r="176" spans="1:6" s="2" customFormat="1" ht="19.5" customHeight="1" x14ac:dyDescent="0.25">
      <c r="A176" s="160"/>
      <c r="B176" s="162"/>
      <c r="C176" s="162"/>
      <c r="D176" s="162"/>
      <c r="E176" s="162"/>
      <c r="F176" s="162"/>
    </row>
    <row r="177" spans="1:6" ht="19.5" customHeight="1" x14ac:dyDescent="0.2">
      <c r="A177" s="166" t="s">
        <v>27</v>
      </c>
      <c r="B177" s="201">
        <v>10</v>
      </c>
      <c r="C177" s="167"/>
      <c r="D177" s="167"/>
      <c r="E177" s="167"/>
      <c r="F177" s="167"/>
    </row>
    <row r="178" spans="1:6" ht="19.5" customHeight="1" x14ac:dyDescent="0.2">
      <c r="A178" s="167"/>
      <c r="B178" s="161"/>
      <c r="C178" s="167"/>
      <c r="D178" s="167"/>
      <c r="E178" s="167"/>
      <c r="F178" s="167"/>
    </row>
    <row r="179" spans="1:6" ht="12.75" customHeight="1" x14ac:dyDescent="0.2">
      <c r="A179" s="313" t="s">
        <v>28</v>
      </c>
      <c r="B179" s="321" t="s">
        <v>29</v>
      </c>
      <c r="C179" s="313" t="s">
        <v>56</v>
      </c>
      <c r="D179" s="313" t="s">
        <v>31</v>
      </c>
      <c r="E179" s="313" t="s">
        <v>32</v>
      </c>
      <c r="F179" s="314" t="s">
        <v>33</v>
      </c>
    </row>
    <row r="180" spans="1:6" ht="36" customHeight="1" x14ac:dyDescent="0.2">
      <c r="A180" s="313"/>
      <c r="B180" s="322"/>
      <c r="C180" s="313"/>
      <c r="D180" s="313"/>
      <c r="E180" s="313"/>
      <c r="F180" s="315"/>
    </row>
    <row r="181" spans="1:6" ht="36" customHeight="1" x14ac:dyDescent="0.2">
      <c r="A181" s="316" t="s">
        <v>34</v>
      </c>
      <c r="B181" s="195" t="s">
        <v>57</v>
      </c>
      <c r="C181" s="317" t="s">
        <v>276</v>
      </c>
      <c r="D181" s="203" t="s">
        <v>73</v>
      </c>
      <c r="E181" s="203">
        <v>10</v>
      </c>
      <c r="F181" s="214">
        <v>363</v>
      </c>
    </row>
    <row r="182" spans="1:6" ht="33" customHeight="1" x14ac:dyDescent="0.2">
      <c r="A182" s="316"/>
      <c r="B182" s="319" t="s">
        <v>37</v>
      </c>
      <c r="C182" s="318"/>
      <c r="D182" s="203" t="s">
        <v>38</v>
      </c>
      <c r="E182" s="203">
        <v>13</v>
      </c>
      <c r="F182" s="214">
        <v>493.61</v>
      </c>
    </row>
    <row r="183" spans="1:6" ht="24.95" customHeight="1" x14ac:dyDescent="0.2">
      <c r="A183" s="316"/>
      <c r="B183" s="315"/>
      <c r="C183" s="340"/>
      <c r="D183" s="203" t="s">
        <v>39</v>
      </c>
      <c r="E183" s="203">
        <v>2</v>
      </c>
      <c r="F183" s="214">
        <v>176.46</v>
      </c>
    </row>
    <row r="184" spans="1:6" ht="30.75" customHeight="1" x14ac:dyDescent="0.2">
      <c r="A184" s="326" t="s">
        <v>59</v>
      </c>
      <c r="B184" s="319" t="s">
        <v>60</v>
      </c>
      <c r="C184" s="329" t="s">
        <v>452</v>
      </c>
      <c r="D184" s="203" t="s">
        <v>74</v>
      </c>
      <c r="E184" s="203">
        <v>84</v>
      </c>
      <c r="F184" s="214">
        <v>2542.6799999999998</v>
      </c>
    </row>
    <row r="185" spans="1:6" ht="30.75" customHeight="1" x14ac:dyDescent="0.2">
      <c r="A185" s="327"/>
      <c r="B185" s="319"/>
      <c r="C185" s="330"/>
      <c r="D185" s="203" t="s">
        <v>62</v>
      </c>
      <c r="E185" s="203">
        <v>10</v>
      </c>
      <c r="F185" s="214">
        <v>50.300000000000004</v>
      </c>
    </row>
    <row r="186" spans="1:6" ht="30" customHeight="1" x14ac:dyDescent="0.2">
      <c r="A186" s="327"/>
      <c r="B186" s="319"/>
      <c r="C186" s="330"/>
      <c r="D186" s="203" t="s">
        <v>64</v>
      </c>
      <c r="E186" s="203">
        <v>10</v>
      </c>
      <c r="F186" s="214">
        <v>36.800000000000004</v>
      </c>
    </row>
    <row r="187" spans="1:6" ht="24.95" customHeight="1" x14ac:dyDescent="0.2">
      <c r="A187" s="327"/>
      <c r="B187" s="319"/>
      <c r="C187" s="330"/>
      <c r="D187" s="170" t="s">
        <v>11</v>
      </c>
      <c r="E187" s="203">
        <v>4</v>
      </c>
      <c r="F187" s="214">
        <v>48.4</v>
      </c>
    </row>
    <row r="188" spans="1:6" ht="30" customHeight="1" x14ac:dyDescent="0.2">
      <c r="A188" s="327"/>
      <c r="B188" s="319"/>
      <c r="C188" s="330"/>
      <c r="D188" s="203" t="s">
        <v>63</v>
      </c>
      <c r="E188" s="203">
        <v>10</v>
      </c>
      <c r="F188" s="214">
        <v>91.6</v>
      </c>
    </row>
    <row r="189" spans="1:6" ht="31.5" customHeight="1" x14ac:dyDescent="0.2">
      <c r="A189" s="327"/>
      <c r="B189" s="319"/>
      <c r="C189" s="330"/>
      <c r="D189" s="203" t="s">
        <v>65</v>
      </c>
      <c r="E189" s="203">
        <v>1</v>
      </c>
      <c r="F189" s="214">
        <v>8.27</v>
      </c>
    </row>
    <row r="190" spans="1:6" ht="24.95" customHeight="1" x14ac:dyDescent="0.2">
      <c r="A190" s="328"/>
      <c r="B190" s="315"/>
      <c r="C190" s="333"/>
      <c r="D190" s="203" t="s">
        <v>43</v>
      </c>
      <c r="E190" s="203">
        <v>0.1</v>
      </c>
      <c r="F190" s="214">
        <v>0.19</v>
      </c>
    </row>
    <row r="191" spans="1:6" ht="37.5" customHeight="1" x14ac:dyDescent="0.2">
      <c r="A191" s="326" t="s">
        <v>40</v>
      </c>
      <c r="B191" s="314" t="s">
        <v>41</v>
      </c>
      <c r="C191" s="331" t="s">
        <v>295</v>
      </c>
      <c r="D191" s="203" t="s">
        <v>36</v>
      </c>
      <c r="E191" s="203">
        <v>48.45</v>
      </c>
      <c r="F191" s="214">
        <v>220.93199999999999</v>
      </c>
    </row>
    <row r="192" spans="1:6" ht="24.95" customHeight="1" x14ac:dyDescent="0.2">
      <c r="A192" s="327"/>
      <c r="B192" s="319"/>
      <c r="C192" s="344"/>
      <c r="D192" s="203" t="s">
        <v>75</v>
      </c>
      <c r="E192" s="203">
        <v>10</v>
      </c>
      <c r="F192" s="214">
        <v>136.30000000000001</v>
      </c>
    </row>
    <row r="193" spans="1:6" ht="24.95" customHeight="1" x14ac:dyDescent="0.2">
      <c r="A193" s="328"/>
      <c r="B193" s="315"/>
      <c r="C193" s="332"/>
      <c r="D193" s="203" t="s">
        <v>43</v>
      </c>
      <c r="E193" s="203">
        <v>0.1</v>
      </c>
      <c r="F193" s="214">
        <v>0.19</v>
      </c>
    </row>
    <row r="194" spans="1:6" ht="31.5" customHeight="1" x14ac:dyDescent="0.2">
      <c r="A194" s="202" t="s">
        <v>46</v>
      </c>
      <c r="B194" s="202" t="s">
        <v>47</v>
      </c>
      <c r="C194" s="203" t="s">
        <v>67</v>
      </c>
      <c r="D194" s="203" t="s">
        <v>68</v>
      </c>
      <c r="E194" s="203">
        <v>5</v>
      </c>
      <c r="F194" s="214">
        <v>25.75</v>
      </c>
    </row>
    <row r="195" spans="1:6" ht="30.75" customHeight="1" x14ac:dyDescent="0.2">
      <c r="A195" s="202" t="s">
        <v>49</v>
      </c>
      <c r="B195" s="202" t="s">
        <v>50</v>
      </c>
      <c r="C195" s="203" t="s">
        <v>51</v>
      </c>
      <c r="D195" s="203" t="s">
        <v>52</v>
      </c>
      <c r="E195" s="203">
        <v>5</v>
      </c>
      <c r="F195" s="214">
        <v>62.9</v>
      </c>
    </row>
    <row r="196" spans="1:6" ht="24.95" customHeight="1" x14ac:dyDescent="0.2">
      <c r="A196" s="199" t="s">
        <v>53</v>
      </c>
      <c r="B196" s="316" t="s">
        <v>54</v>
      </c>
      <c r="C196" s="320"/>
      <c r="D196" s="203" t="s">
        <v>53</v>
      </c>
      <c r="E196" s="203">
        <v>180</v>
      </c>
      <c r="F196" s="214">
        <v>120.60000000000001</v>
      </c>
    </row>
    <row r="197" spans="1:6" ht="19.5" customHeight="1" x14ac:dyDescent="0.2">
      <c r="A197" s="356" t="s">
        <v>331</v>
      </c>
      <c r="B197" s="357"/>
      <c r="C197" s="357"/>
      <c r="D197" s="357"/>
      <c r="E197" s="358"/>
      <c r="F197" s="213">
        <v>4377.9799999999996</v>
      </c>
    </row>
    <row r="198" spans="1:6" s="2" customFormat="1" ht="19.5" customHeight="1" x14ac:dyDescent="0.25">
      <c r="A198" s="160"/>
      <c r="B198" s="162"/>
      <c r="C198" s="162"/>
      <c r="D198" s="162"/>
      <c r="E198" s="162"/>
      <c r="F198" s="162"/>
    </row>
    <row r="199" spans="1:6" ht="19.5" customHeight="1" x14ac:dyDescent="0.2">
      <c r="A199" s="166" t="s">
        <v>27</v>
      </c>
      <c r="B199" s="201">
        <v>11</v>
      </c>
      <c r="C199" s="167"/>
      <c r="D199" s="167"/>
      <c r="E199" s="167"/>
      <c r="F199" s="167"/>
    </row>
    <row r="200" spans="1:6" ht="19.5" customHeight="1" x14ac:dyDescent="0.2">
      <c r="A200" s="167"/>
      <c r="B200" s="161"/>
      <c r="C200" s="167"/>
      <c r="D200" s="167"/>
      <c r="E200" s="167"/>
      <c r="F200" s="167"/>
    </row>
    <row r="201" spans="1:6" ht="12.75" customHeight="1" x14ac:dyDescent="0.2">
      <c r="A201" s="313" t="s">
        <v>28</v>
      </c>
      <c r="B201" s="321" t="s">
        <v>29</v>
      </c>
      <c r="C201" s="313" t="s">
        <v>56</v>
      </c>
      <c r="D201" s="313" t="s">
        <v>31</v>
      </c>
      <c r="E201" s="313" t="s">
        <v>32</v>
      </c>
      <c r="F201" s="314" t="s">
        <v>33</v>
      </c>
    </row>
    <row r="202" spans="1:6" s="190" customFormat="1" ht="36" customHeight="1" x14ac:dyDescent="0.25">
      <c r="A202" s="313"/>
      <c r="B202" s="321"/>
      <c r="C202" s="313"/>
      <c r="D202" s="313"/>
      <c r="E202" s="313"/>
      <c r="F202" s="315"/>
    </row>
    <row r="203" spans="1:6" s="190" customFormat="1" ht="80.25" customHeight="1" x14ac:dyDescent="0.25">
      <c r="A203" s="207" t="s">
        <v>34</v>
      </c>
      <c r="B203" s="202" t="s">
        <v>293</v>
      </c>
      <c r="C203" s="196" t="s">
        <v>294</v>
      </c>
      <c r="D203" s="203" t="s">
        <v>38</v>
      </c>
      <c r="E203" s="199">
        <v>13</v>
      </c>
      <c r="F203" s="214">
        <v>493.61</v>
      </c>
    </row>
    <row r="204" spans="1:6" s="190" customFormat="1" ht="32.25" customHeight="1" x14ac:dyDescent="0.25">
      <c r="A204" s="314" t="s">
        <v>59</v>
      </c>
      <c r="B204" s="314" t="s">
        <v>60</v>
      </c>
      <c r="C204" s="329" t="s">
        <v>453</v>
      </c>
      <c r="D204" s="203" t="s">
        <v>78</v>
      </c>
      <c r="E204" s="203">
        <v>97.2</v>
      </c>
      <c r="F204" s="214">
        <v>2436.8040000000001</v>
      </c>
    </row>
    <row r="205" spans="1:6" s="190" customFormat="1" ht="33" customHeight="1" x14ac:dyDescent="0.25">
      <c r="A205" s="319"/>
      <c r="B205" s="319"/>
      <c r="C205" s="330"/>
      <c r="D205" s="203" t="s">
        <v>62</v>
      </c>
      <c r="E205" s="203">
        <v>10</v>
      </c>
      <c r="F205" s="214">
        <v>50.300000000000004</v>
      </c>
    </row>
    <row r="206" spans="1:6" s="190" customFormat="1" ht="34.5" customHeight="1" x14ac:dyDescent="0.25">
      <c r="A206" s="319"/>
      <c r="B206" s="319"/>
      <c r="C206" s="330"/>
      <c r="D206" s="203" t="s">
        <v>79</v>
      </c>
      <c r="E206" s="203">
        <v>10</v>
      </c>
      <c r="F206" s="214">
        <v>50.9</v>
      </c>
    </row>
    <row r="207" spans="1:6" s="190" customFormat="1" ht="24.95" customHeight="1" x14ac:dyDescent="0.25">
      <c r="A207" s="319"/>
      <c r="B207" s="319"/>
      <c r="C207" s="330"/>
      <c r="D207" s="170" t="s">
        <v>11</v>
      </c>
      <c r="E207" s="203">
        <v>4</v>
      </c>
      <c r="F207" s="214">
        <v>48.4</v>
      </c>
    </row>
    <row r="208" spans="1:6" s="190" customFormat="1" ht="30" customHeight="1" x14ac:dyDescent="0.25">
      <c r="A208" s="319"/>
      <c r="B208" s="319"/>
      <c r="C208" s="330"/>
      <c r="D208" s="203" t="s">
        <v>63</v>
      </c>
      <c r="E208" s="203">
        <v>10</v>
      </c>
      <c r="F208" s="214">
        <v>91.6</v>
      </c>
    </row>
    <row r="209" spans="1:6" s="190" customFormat="1" ht="31.5" customHeight="1" x14ac:dyDescent="0.25">
      <c r="A209" s="319"/>
      <c r="B209" s="319"/>
      <c r="C209" s="330"/>
      <c r="D209" s="203" t="s">
        <v>65</v>
      </c>
      <c r="E209" s="203">
        <v>1</v>
      </c>
      <c r="F209" s="214">
        <v>8.27</v>
      </c>
    </row>
    <row r="210" spans="1:6" s="190" customFormat="1" ht="24.95" customHeight="1" x14ac:dyDescent="0.25">
      <c r="A210" s="315"/>
      <c r="B210" s="315"/>
      <c r="C210" s="333"/>
      <c r="D210" s="203" t="s">
        <v>43</v>
      </c>
      <c r="E210" s="203">
        <v>0.1</v>
      </c>
      <c r="F210" s="214">
        <v>0.19</v>
      </c>
    </row>
    <row r="211" spans="1:6" s="190" customFormat="1" ht="33" customHeight="1" x14ac:dyDescent="0.25">
      <c r="A211" s="314" t="s">
        <v>40</v>
      </c>
      <c r="B211" s="314" t="s">
        <v>41</v>
      </c>
      <c r="C211" s="329" t="s">
        <v>298</v>
      </c>
      <c r="D211" s="203" t="s">
        <v>36</v>
      </c>
      <c r="E211" s="203">
        <v>48.45</v>
      </c>
      <c r="F211" s="214">
        <v>220.93199999999999</v>
      </c>
    </row>
    <row r="212" spans="1:6" s="190" customFormat="1" ht="29.25" customHeight="1" x14ac:dyDescent="0.25">
      <c r="A212" s="319"/>
      <c r="B212" s="319"/>
      <c r="C212" s="330"/>
      <c r="D212" s="203" t="s">
        <v>64</v>
      </c>
      <c r="E212" s="203">
        <v>10</v>
      </c>
      <c r="F212" s="214">
        <v>36.800000000000004</v>
      </c>
    </row>
    <row r="213" spans="1:6" s="190" customFormat="1" ht="24.95" customHeight="1" x14ac:dyDescent="0.25">
      <c r="A213" s="319"/>
      <c r="B213" s="319"/>
      <c r="C213" s="330"/>
      <c r="D213" s="203" t="s">
        <v>11</v>
      </c>
      <c r="E213" s="203">
        <v>4</v>
      </c>
      <c r="F213" s="214">
        <v>48.4</v>
      </c>
    </row>
    <row r="214" spans="1:6" s="190" customFormat="1" ht="24.95" customHeight="1" x14ac:dyDescent="0.25">
      <c r="A214" s="319"/>
      <c r="B214" s="319"/>
      <c r="C214" s="330"/>
      <c r="D214" s="203" t="s">
        <v>43</v>
      </c>
      <c r="E214" s="203">
        <v>0.1</v>
      </c>
      <c r="F214" s="214">
        <v>0.19</v>
      </c>
    </row>
    <row r="215" spans="1:6" s="190" customFormat="1" ht="30.75" customHeight="1" x14ac:dyDescent="0.25">
      <c r="A215" s="202" t="s">
        <v>46</v>
      </c>
      <c r="B215" s="202" t="s">
        <v>47</v>
      </c>
      <c r="C215" s="203" t="s">
        <v>297</v>
      </c>
      <c r="D215" s="203" t="s">
        <v>13</v>
      </c>
      <c r="E215" s="203">
        <v>7</v>
      </c>
      <c r="F215" s="214">
        <v>41.09</v>
      </c>
    </row>
    <row r="216" spans="1:6" s="190" customFormat="1" ht="30.75" customHeight="1" x14ac:dyDescent="0.25">
      <c r="A216" s="202" t="s">
        <v>49</v>
      </c>
      <c r="B216" s="202" t="s">
        <v>50</v>
      </c>
      <c r="C216" s="203" t="s">
        <v>51</v>
      </c>
      <c r="D216" s="203" t="s">
        <v>52</v>
      </c>
      <c r="E216" s="203">
        <v>5</v>
      </c>
      <c r="F216" s="214">
        <v>62.9</v>
      </c>
    </row>
    <row r="217" spans="1:6" s="190" customFormat="1" ht="24.95" customHeight="1" x14ac:dyDescent="0.25">
      <c r="A217" s="199" t="s">
        <v>53</v>
      </c>
      <c r="B217" s="316" t="s">
        <v>54</v>
      </c>
      <c r="C217" s="320"/>
      <c r="D217" s="203" t="s">
        <v>53</v>
      </c>
      <c r="E217" s="203">
        <v>180</v>
      </c>
      <c r="F217" s="214">
        <v>120.60000000000001</v>
      </c>
    </row>
    <row r="218" spans="1:6" ht="19.5" customHeight="1" x14ac:dyDescent="0.2">
      <c r="A218" s="334" t="s">
        <v>331</v>
      </c>
      <c r="B218" s="335"/>
      <c r="C218" s="335"/>
      <c r="D218" s="335"/>
      <c r="E218" s="336"/>
      <c r="F218" s="213">
        <v>3710.99</v>
      </c>
    </row>
    <row r="219" spans="1:6" s="2" customFormat="1" ht="19.5" customHeight="1" x14ac:dyDescent="0.25">
      <c r="A219" s="160"/>
      <c r="B219" s="162"/>
      <c r="C219" s="162"/>
      <c r="D219" s="162"/>
      <c r="E219" s="162"/>
      <c r="F219" s="162"/>
    </row>
    <row r="220" spans="1:6" s="2" customFormat="1" ht="19.5" customHeight="1" x14ac:dyDescent="0.25">
      <c r="A220" s="166" t="s">
        <v>27</v>
      </c>
      <c r="B220" s="201">
        <v>12</v>
      </c>
      <c r="C220" s="167"/>
      <c r="D220" s="167"/>
      <c r="E220" s="167"/>
      <c r="F220" s="167"/>
    </row>
    <row r="221" spans="1:6" s="2" customFormat="1" ht="19.5" customHeight="1" x14ac:dyDescent="0.25">
      <c r="A221" s="167"/>
      <c r="B221" s="161"/>
      <c r="C221" s="167"/>
      <c r="D221" s="167"/>
      <c r="E221" s="167"/>
      <c r="F221" s="167"/>
    </row>
    <row r="222" spans="1:6" ht="12.75" customHeight="1" x14ac:dyDescent="0.2">
      <c r="A222" s="313" t="s">
        <v>28</v>
      </c>
      <c r="B222" s="321" t="s">
        <v>29</v>
      </c>
      <c r="C222" s="313" t="s">
        <v>56</v>
      </c>
      <c r="D222" s="313" t="s">
        <v>31</v>
      </c>
      <c r="E222" s="313" t="s">
        <v>32</v>
      </c>
      <c r="F222" s="314" t="s">
        <v>33</v>
      </c>
    </row>
    <row r="223" spans="1:6" ht="36" customHeight="1" x14ac:dyDescent="0.2">
      <c r="A223" s="313"/>
      <c r="B223" s="322"/>
      <c r="C223" s="313"/>
      <c r="D223" s="313"/>
      <c r="E223" s="313"/>
      <c r="F223" s="315"/>
    </row>
    <row r="224" spans="1:6" ht="33.75" customHeight="1" x14ac:dyDescent="0.2">
      <c r="A224" s="345" t="s">
        <v>34</v>
      </c>
      <c r="B224" s="195" t="s">
        <v>57</v>
      </c>
      <c r="C224" s="317" t="s">
        <v>86</v>
      </c>
      <c r="D224" s="203" t="s">
        <v>36</v>
      </c>
      <c r="E224" s="203">
        <v>10</v>
      </c>
      <c r="F224" s="214">
        <v>45.599999999999994</v>
      </c>
    </row>
    <row r="225" spans="1:6" ht="40.5" customHeight="1" x14ac:dyDescent="0.2">
      <c r="A225" s="346"/>
      <c r="B225" s="319" t="s">
        <v>37</v>
      </c>
      <c r="C225" s="318"/>
      <c r="D225" s="203" t="s">
        <v>38</v>
      </c>
      <c r="E225" s="203">
        <v>13</v>
      </c>
      <c r="F225" s="214">
        <v>493.61</v>
      </c>
    </row>
    <row r="226" spans="1:6" ht="24.95" customHeight="1" x14ac:dyDescent="0.2">
      <c r="A226" s="347"/>
      <c r="B226" s="315"/>
      <c r="C226" s="340"/>
      <c r="D226" s="203" t="s">
        <v>39</v>
      </c>
      <c r="E226" s="203">
        <v>2</v>
      </c>
      <c r="F226" s="214">
        <v>176.46</v>
      </c>
    </row>
    <row r="227" spans="1:6" ht="35.25" customHeight="1" x14ac:dyDescent="0.2">
      <c r="A227" s="327" t="s">
        <v>40</v>
      </c>
      <c r="B227" s="319" t="s">
        <v>41</v>
      </c>
      <c r="C227" s="331" t="s">
        <v>87</v>
      </c>
      <c r="D227" s="203" t="s">
        <v>42</v>
      </c>
      <c r="E227" s="203">
        <v>70</v>
      </c>
      <c r="F227" s="214">
        <v>347.9</v>
      </c>
    </row>
    <row r="228" spans="1:6" ht="24.95" customHeight="1" x14ac:dyDescent="0.2">
      <c r="A228" s="328"/>
      <c r="B228" s="315"/>
      <c r="C228" s="332"/>
      <c r="D228" s="203" t="s">
        <v>43</v>
      </c>
      <c r="E228" s="203">
        <v>0.1</v>
      </c>
      <c r="F228" s="214">
        <v>0.19</v>
      </c>
    </row>
    <row r="229" spans="1:6" ht="24.95" customHeight="1" x14ac:dyDescent="0.2">
      <c r="A229" s="202" t="s">
        <v>44</v>
      </c>
      <c r="B229" s="202" t="s">
        <v>45</v>
      </c>
      <c r="C229" s="196" t="s">
        <v>94</v>
      </c>
      <c r="D229" s="203" t="s">
        <v>95</v>
      </c>
      <c r="E229" s="203">
        <v>184</v>
      </c>
      <c r="F229" s="214">
        <v>493.12</v>
      </c>
    </row>
    <row r="230" spans="1:6" ht="33" customHeight="1" x14ac:dyDescent="0.2">
      <c r="A230" s="202" t="s">
        <v>46</v>
      </c>
      <c r="B230" s="202" t="s">
        <v>47</v>
      </c>
      <c r="C230" s="203" t="s">
        <v>67</v>
      </c>
      <c r="D230" s="203" t="s">
        <v>68</v>
      </c>
      <c r="E230" s="203">
        <v>5</v>
      </c>
      <c r="F230" s="214">
        <v>25.75</v>
      </c>
    </row>
    <row r="231" spans="1:6" ht="33" customHeight="1" x14ac:dyDescent="0.2">
      <c r="A231" s="202" t="s">
        <v>49</v>
      </c>
      <c r="B231" s="202" t="s">
        <v>50</v>
      </c>
      <c r="C231" s="203" t="s">
        <v>51</v>
      </c>
      <c r="D231" s="203" t="s">
        <v>52</v>
      </c>
      <c r="E231" s="203">
        <v>10</v>
      </c>
      <c r="F231" s="214">
        <v>125.8</v>
      </c>
    </row>
    <row r="232" spans="1:6" ht="24.95" customHeight="1" x14ac:dyDescent="0.2">
      <c r="A232" s="199" t="s">
        <v>53</v>
      </c>
      <c r="B232" s="316" t="s">
        <v>54</v>
      </c>
      <c r="C232" s="320"/>
      <c r="D232" s="203" t="s">
        <v>53</v>
      </c>
      <c r="E232" s="203">
        <v>180</v>
      </c>
      <c r="F232" s="214">
        <v>120.60000000000001</v>
      </c>
    </row>
    <row r="233" spans="1:6" ht="20.100000000000001" customHeight="1" x14ac:dyDescent="0.2">
      <c r="A233" s="334" t="s">
        <v>331</v>
      </c>
      <c r="B233" s="335"/>
      <c r="C233" s="335"/>
      <c r="D233" s="335"/>
      <c r="E233" s="336"/>
      <c r="F233" s="213">
        <v>1829.03</v>
      </c>
    </row>
    <row r="234" spans="1:6" s="2" customFormat="1" ht="19.5" customHeight="1" x14ac:dyDescent="0.25">
      <c r="A234" s="160"/>
      <c r="B234" s="162"/>
      <c r="C234" s="162"/>
      <c r="D234" s="162"/>
      <c r="E234" s="162"/>
      <c r="F234" s="162"/>
    </row>
    <row r="235" spans="1:6" s="190" customFormat="1" ht="19.5" customHeight="1" x14ac:dyDescent="0.25">
      <c r="A235" s="166" t="s">
        <v>27</v>
      </c>
      <c r="B235" s="201">
        <v>13</v>
      </c>
      <c r="C235" s="167"/>
      <c r="D235" s="167"/>
      <c r="E235" s="167"/>
      <c r="F235" s="167"/>
    </row>
    <row r="236" spans="1:6" s="190" customFormat="1" ht="19.5" customHeight="1" x14ac:dyDescent="0.25">
      <c r="A236" s="167"/>
      <c r="B236" s="161"/>
      <c r="C236" s="167"/>
      <c r="D236" s="167"/>
      <c r="E236" s="167"/>
      <c r="F236" s="167"/>
    </row>
    <row r="237" spans="1:6" s="190" customFormat="1" ht="12.75" customHeight="1" x14ac:dyDescent="0.25">
      <c r="A237" s="313" t="s">
        <v>28</v>
      </c>
      <c r="B237" s="321" t="s">
        <v>29</v>
      </c>
      <c r="C237" s="313" t="s">
        <v>56</v>
      </c>
      <c r="D237" s="313" t="s">
        <v>31</v>
      </c>
      <c r="E237" s="313" t="s">
        <v>32</v>
      </c>
      <c r="F237" s="314" t="s">
        <v>33</v>
      </c>
    </row>
    <row r="238" spans="1:6" s="190" customFormat="1" ht="36.75" customHeight="1" x14ac:dyDescent="0.25">
      <c r="A238" s="313"/>
      <c r="B238" s="322"/>
      <c r="C238" s="313"/>
      <c r="D238" s="313"/>
      <c r="E238" s="313"/>
      <c r="F238" s="315"/>
    </row>
    <row r="239" spans="1:6" s="190" customFormat="1" ht="34.5" customHeight="1" x14ac:dyDescent="0.25">
      <c r="A239" s="337" t="s">
        <v>34</v>
      </c>
      <c r="B239" s="195" t="s">
        <v>57</v>
      </c>
      <c r="C239" s="317" t="s">
        <v>84</v>
      </c>
      <c r="D239" s="203" t="s">
        <v>85</v>
      </c>
      <c r="E239" s="203">
        <v>10</v>
      </c>
      <c r="F239" s="214">
        <v>40.300000000000004</v>
      </c>
    </row>
    <row r="240" spans="1:6" s="190" customFormat="1" ht="35.25" customHeight="1" x14ac:dyDescent="0.25">
      <c r="A240" s="338"/>
      <c r="B240" s="319" t="s">
        <v>37</v>
      </c>
      <c r="C240" s="318"/>
      <c r="D240" s="203" t="s">
        <v>38</v>
      </c>
      <c r="E240" s="203">
        <v>13</v>
      </c>
      <c r="F240" s="214">
        <v>493.61</v>
      </c>
    </row>
    <row r="241" spans="1:6" s="190" customFormat="1" ht="24.95" customHeight="1" x14ac:dyDescent="0.25">
      <c r="A241" s="338"/>
      <c r="B241" s="315"/>
      <c r="C241" s="340"/>
      <c r="D241" s="203" t="s">
        <v>39</v>
      </c>
      <c r="E241" s="203">
        <v>2</v>
      </c>
      <c r="F241" s="214">
        <v>176.46</v>
      </c>
    </row>
    <row r="242" spans="1:6" s="190" customFormat="1" ht="33" customHeight="1" x14ac:dyDescent="0.25">
      <c r="A242" s="326" t="s">
        <v>277</v>
      </c>
      <c r="B242" s="319" t="s">
        <v>60</v>
      </c>
      <c r="C242" s="331" t="s">
        <v>337</v>
      </c>
      <c r="D242" s="203" t="s">
        <v>70</v>
      </c>
      <c r="E242" s="203">
        <v>55</v>
      </c>
      <c r="F242" s="214">
        <v>593.44999999999993</v>
      </c>
    </row>
    <row r="243" spans="1:6" s="190" customFormat="1" ht="24.95" customHeight="1" x14ac:dyDescent="0.25">
      <c r="A243" s="327"/>
      <c r="B243" s="315"/>
      <c r="C243" s="344"/>
      <c r="D243" s="203" t="s">
        <v>43</v>
      </c>
      <c r="E243" s="203">
        <v>0.1</v>
      </c>
      <c r="F243" s="214">
        <v>0.19</v>
      </c>
    </row>
    <row r="244" spans="1:6" s="190" customFormat="1" ht="24.95" customHeight="1" x14ac:dyDescent="0.25">
      <c r="A244" s="328"/>
      <c r="B244" s="199" t="s">
        <v>45</v>
      </c>
      <c r="C244" s="332"/>
      <c r="D244" s="206" t="s">
        <v>108</v>
      </c>
      <c r="E244" s="203">
        <v>30</v>
      </c>
      <c r="F244" s="214">
        <v>147.89999999999998</v>
      </c>
    </row>
    <row r="245" spans="1:6" s="190" customFormat="1" ht="33" customHeight="1" x14ac:dyDescent="0.25">
      <c r="A245" s="314" t="s">
        <v>40</v>
      </c>
      <c r="B245" s="314" t="s">
        <v>41</v>
      </c>
      <c r="C245" s="341" t="s">
        <v>66</v>
      </c>
      <c r="D245" s="203" t="s">
        <v>96</v>
      </c>
      <c r="E245" s="203">
        <v>125</v>
      </c>
      <c r="F245" s="214">
        <v>891.25</v>
      </c>
    </row>
    <row r="246" spans="1:6" s="190" customFormat="1" ht="24.95" customHeight="1" x14ac:dyDescent="0.25">
      <c r="A246" s="319"/>
      <c r="B246" s="319"/>
      <c r="C246" s="342"/>
      <c r="D246" s="203" t="s">
        <v>43</v>
      </c>
      <c r="E246" s="203">
        <v>0.1</v>
      </c>
      <c r="F246" s="214">
        <v>0.19</v>
      </c>
    </row>
    <row r="247" spans="1:6" s="190" customFormat="1" ht="32.25" customHeight="1" x14ac:dyDescent="0.25">
      <c r="A247" s="202" t="s">
        <v>46</v>
      </c>
      <c r="B247" s="202" t="s">
        <v>47</v>
      </c>
      <c r="C247" s="203" t="s">
        <v>67</v>
      </c>
      <c r="D247" s="203" t="s">
        <v>68</v>
      </c>
      <c r="E247" s="203">
        <v>5</v>
      </c>
      <c r="F247" s="214">
        <v>25.75</v>
      </c>
    </row>
    <row r="248" spans="1:6" s="190" customFormat="1" ht="29.25" customHeight="1" x14ac:dyDescent="0.25">
      <c r="A248" s="202" t="s">
        <v>49</v>
      </c>
      <c r="B248" s="202" t="s">
        <v>50</v>
      </c>
      <c r="C248" s="203" t="s">
        <v>51</v>
      </c>
      <c r="D248" s="203" t="s">
        <v>52</v>
      </c>
      <c r="E248" s="203">
        <v>5</v>
      </c>
      <c r="F248" s="214">
        <v>62.9</v>
      </c>
    </row>
    <row r="249" spans="1:6" s="190" customFormat="1" ht="24.95" customHeight="1" x14ac:dyDescent="0.25">
      <c r="A249" s="199" t="s">
        <v>53</v>
      </c>
      <c r="B249" s="316" t="s">
        <v>54</v>
      </c>
      <c r="C249" s="320"/>
      <c r="D249" s="203" t="s">
        <v>53</v>
      </c>
      <c r="E249" s="203">
        <v>180</v>
      </c>
      <c r="F249" s="214">
        <v>120.60000000000001</v>
      </c>
    </row>
    <row r="250" spans="1:6" s="190" customFormat="1" ht="19.5" customHeight="1" x14ac:dyDescent="0.25">
      <c r="A250" s="334" t="s">
        <v>331</v>
      </c>
      <c r="B250" s="335"/>
      <c r="C250" s="335"/>
      <c r="D250" s="335"/>
      <c r="E250" s="336"/>
      <c r="F250" s="213">
        <v>2552.6</v>
      </c>
    </row>
    <row r="251" spans="1:6" s="2" customFormat="1" ht="19.5" customHeight="1" x14ac:dyDescent="0.25">
      <c r="A251" s="160"/>
      <c r="B251" s="162"/>
      <c r="C251" s="162"/>
      <c r="D251" s="162"/>
      <c r="E251" s="162"/>
      <c r="F251" s="162"/>
    </row>
    <row r="252" spans="1:6" ht="19.5" customHeight="1" x14ac:dyDescent="0.2">
      <c r="A252" s="166" t="s">
        <v>27</v>
      </c>
      <c r="B252" s="201">
        <v>14</v>
      </c>
      <c r="C252" s="167"/>
      <c r="D252" s="167"/>
      <c r="E252" s="167"/>
      <c r="F252" s="167"/>
    </row>
    <row r="253" spans="1:6" ht="19.5" customHeight="1" x14ac:dyDescent="0.2">
      <c r="A253" s="167"/>
      <c r="B253" s="161"/>
      <c r="C253" s="167"/>
      <c r="D253" s="167"/>
      <c r="E253" s="167"/>
      <c r="F253" s="167"/>
    </row>
    <row r="254" spans="1:6" ht="12.75" customHeight="1" x14ac:dyDescent="0.2">
      <c r="A254" s="313" t="s">
        <v>28</v>
      </c>
      <c r="B254" s="321" t="s">
        <v>29</v>
      </c>
      <c r="C254" s="313" t="s">
        <v>56</v>
      </c>
      <c r="D254" s="313" t="s">
        <v>31</v>
      </c>
      <c r="E254" s="313" t="s">
        <v>32</v>
      </c>
      <c r="F254" s="314" t="s">
        <v>33</v>
      </c>
    </row>
    <row r="255" spans="1:6" ht="36" customHeight="1" x14ac:dyDescent="0.2">
      <c r="A255" s="313"/>
      <c r="B255" s="322"/>
      <c r="C255" s="313"/>
      <c r="D255" s="313"/>
      <c r="E255" s="313"/>
      <c r="F255" s="315"/>
    </row>
    <row r="256" spans="1:6" ht="31.5" customHeight="1" x14ac:dyDescent="0.2">
      <c r="A256" s="337" t="s">
        <v>34</v>
      </c>
      <c r="B256" s="195" t="s">
        <v>57</v>
      </c>
      <c r="C256" s="317" t="s">
        <v>76</v>
      </c>
      <c r="D256" s="203" t="s">
        <v>245</v>
      </c>
      <c r="E256" s="203">
        <v>10</v>
      </c>
      <c r="F256" s="214">
        <v>167.7</v>
      </c>
    </row>
    <row r="257" spans="1:6" ht="69.75" customHeight="1" x14ac:dyDescent="0.2">
      <c r="A257" s="338"/>
      <c r="B257" s="200" t="s">
        <v>37</v>
      </c>
      <c r="C257" s="318"/>
      <c r="D257" s="203" t="s">
        <v>38</v>
      </c>
      <c r="E257" s="203">
        <v>13</v>
      </c>
      <c r="F257" s="214">
        <v>493.61</v>
      </c>
    </row>
    <row r="258" spans="1:6" ht="32.25" customHeight="1" x14ac:dyDescent="0.2">
      <c r="A258" s="195" t="s">
        <v>40</v>
      </c>
      <c r="B258" s="217" t="s">
        <v>41</v>
      </c>
      <c r="C258" s="251" t="s">
        <v>392</v>
      </c>
      <c r="D258" s="206" t="s">
        <v>411</v>
      </c>
      <c r="E258" s="203">
        <v>60</v>
      </c>
      <c r="F258" s="214">
        <v>1043.4000000000001</v>
      </c>
    </row>
    <row r="259" spans="1:6" ht="32.25" customHeight="1" x14ac:dyDescent="0.25">
      <c r="A259" s="195" t="s">
        <v>44</v>
      </c>
      <c r="B259" s="202" t="s">
        <v>45</v>
      </c>
      <c r="C259" s="203" t="s">
        <v>16</v>
      </c>
      <c r="D259" s="168" t="s">
        <v>88</v>
      </c>
      <c r="E259" s="203">
        <v>158</v>
      </c>
      <c r="F259" s="214">
        <v>662.0200000000001</v>
      </c>
    </row>
    <row r="260" spans="1:6" ht="34.5" customHeight="1" x14ac:dyDescent="0.2">
      <c r="A260" s="202" t="s">
        <v>46</v>
      </c>
      <c r="B260" s="202" t="s">
        <v>47</v>
      </c>
      <c r="C260" s="203" t="s">
        <v>278</v>
      </c>
      <c r="D260" s="203" t="s">
        <v>68</v>
      </c>
      <c r="E260" s="203">
        <v>5</v>
      </c>
      <c r="F260" s="214">
        <v>25.75</v>
      </c>
    </row>
    <row r="261" spans="1:6" ht="24.95" customHeight="1" x14ac:dyDescent="0.2">
      <c r="A261" s="199" t="s">
        <v>53</v>
      </c>
      <c r="B261" s="316" t="s">
        <v>54</v>
      </c>
      <c r="C261" s="320"/>
      <c r="D261" s="203" t="s">
        <v>53</v>
      </c>
      <c r="E261" s="203">
        <v>180</v>
      </c>
      <c r="F261" s="214">
        <v>120.60000000000001</v>
      </c>
    </row>
    <row r="262" spans="1:6" ht="20.100000000000001" customHeight="1" x14ac:dyDescent="0.2">
      <c r="A262" s="334" t="s">
        <v>331</v>
      </c>
      <c r="B262" s="335"/>
      <c r="C262" s="335"/>
      <c r="D262" s="335"/>
      <c r="E262" s="336"/>
      <c r="F262" s="213">
        <v>2513.08</v>
      </c>
    </row>
    <row r="263" spans="1:6" s="2" customFormat="1" ht="19.5" customHeight="1" x14ac:dyDescent="0.25">
      <c r="A263" s="160"/>
      <c r="B263" s="162"/>
      <c r="C263" s="162"/>
      <c r="D263" s="162"/>
      <c r="E263" s="162"/>
      <c r="F263" s="162"/>
    </row>
    <row r="264" spans="1:6" ht="21" customHeight="1" x14ac:dyDescent="0.2">
      <c r="A264" s="166" t="s">
        <v>27</v>
      </c>
      <c r="B264" s="201">
        <v>15</v>
      </c>
      <c r="C264" s="167"/>
      <c r="D264" s="167"/>
      <c r="E264" s="167"/>
      <c r="F264" s="167"/>
    </row>
    <row r="265" spans="1:6" ht="21" customHeight="1" x14ac:dyDescent="0.2">
      <c r="A265" s="167"/>
      <c r="B265" s="161"/>
      <c r="C265" s="167"/>
      <c r="D265" s="167"/>
      <c r="E265" s="167"/>
      <c r="F265" s="167"/>
    </row>
    <row r="266" spans="1:6" ht="12.75" customHeight="1" x14ac:dyDescent="0.2">
      <c r="A266" s="313" t="s">
        <v>28</v>
      </c>
      <c r="B266" s="321" t="s">
        <v>29</v>
      </c>
      <c r="C266" s="313" t="s">
        <v>56</v>
      </c>
      <c r="D266" s="313" t="s">
        <v>31</v>
      </c>
      <c r="E266" s="313" t="s">
        <v>32</v>
      </c>
      <c r="F266" s="314" t="s">
        <v>33</v>
      </c>
    </row>
    <row r="267" spans="1:6" ht="36.75" customHeight="1" x14ac:dyDescent="0.2">
      <c r="A267" s="313"/>
      <c r="B267" s="322"/>
      <c r="C267" s="313"/>
      <c r="D267" s="313"/>
      <c r="E267" s="313"/>
      <c r="F267" s="315"/>
    </row>
    <row r="268" spans="1:6" ht="35.25" customHeight="1" x14ac:dyDescent="0.2">
      <c r="A268" s="337" t="s">
        <v>34</v>
      </c>
      <c r="B268" s="195" t="s">
        <v>57</v>
      </c>
      <c r="C268" s="317" t="s">
        <v>329</v>
      </c>
      <c r="D268" s="203" t="s">
        <v>58</v>
      </c>
      <c r="E268" s="203">
        <v>10</v>
      </c>
      <c r="F268" s="214">
        <v>86</v>
      </c>
    </row>
    <row r="269" spans="1:6" ht="36.75" customHeight="1" x14ac:dyDescent="0.2">
      <c r="A269" s="338"/>
      <c r="B269" s="319" t="s">
        <v>37</v>
      </c>
      <c r="C269" s="318"/>
      <c r="D269" s="203" t="s">
        <v>38</v>
      </c>
      <c r="E269" s="203">
        <v>13</v>
      </c>
      <c r="F269" s="214">
        <v>493.61</v>
      </c>
    </row>
    <row r="270" spans="1:6" ht="26.25" customHeight="1" x14ac:dyDescent="0.2">
      <c r="A270" s="338"/>
      <c r="B270" s="315"/>
      <c r="C270" s="318"/>
      <c r="D270" s="203" t="s">
        <v>39</v>
      </c>
      <c r="E270" s="203">
        <v>2</v>
      </c>
      <c r="F270" s="214">
        <v>176.46</v>
      </c>
    </row>
    <row r="271" spans="1:6" ht="31.5" customHeight="1" x14ac:dyDescent="0.2">
      <c r="A271" s="314" t="s">
        <v>59</v>
      </c>
      <c r="B271" s="319" t="s">
        <v>60</v>
      </c>
      <c r="C271" s="329" t="s">
        <v>455</v>
      </c>
      <c r="D271" s="203" t="s">
        <v>61</v>
      </c>
      <c r="E271" s="203">
        <v>88.8</v>
      </c>
      <c r="F271" s="214">
        <v>1609.944</v>
      </c>
    </row>
    <row r="272" spans="1:6" ht="29.25" customHeight="1" x14ac:dyDescent="0.2">
      <c r="A272" s="319"/>
      <c r="B272" s="319"/>
      <c r="C272" s="330"/>
      <c r="D272" s="203" t="s">
        <v>62</v>
      </c>
      <c r="E272" s="203">
        <v>10</v>
      </c>
      <c r="F272" s="214">
        <v>50.300000000000004</v>
      </c>
    </row>
    <row r="273" spans="1:6" ht="30" customHeight="1" x14ac:dyDescent="0.2">
      <c r="A273" s="319"/>
      <c r="B273" s="319"/>
      <c r="C273" s="330"/>
      <c r="D273" s="203" t="s">
        <v>63</v>
      </c>
      <c r="E273" s="203">
        <v>10</v>
      </c>
      <c r="F273" s="214">
        <v>91.6</v>
      </c>
    </row>
    <row r="274" spans="1:6" ht="30.75" customHeight="1" x14ac:dyDescent="0.2">
      <c r="A274" s="319"/>
      <c r="B274" s="319"/>
      <c r="C274" s="330"/>
      <c r="D274" s="203" t="s">
        <v>64</v>
      </c>
      <c r="E274" s="203">
        <v>10</v>
      </c>
      <c r="F274" s="214">
        <v>36.800000000000004</v>
      </c>
    </row>
    <row r="275" spans="1:6" ht="24.95" customHeight="1" x14ac:dyDescent="0.2">
      <c r="A275" s="319"/>
      <c r="B275" s="319"/>
      <c r="C275" s="330"/>
      <c r="D275" s="203" t="s">
        <v>11</v>
      </c>
      <c r="E275" s="203">
        <v>4</v>
      </c>
      <c r="F275" s="214">
        <v>48.4</v>
      </c>
    </row>
    <row r="276" spans="1:6" ht="24.95" customHeight="1" x14ac:dyDescent="0.2">
      <c r="A276" s="319"/>
      <c r="B276" s="319"/>
      <c r="C276" s="330"/>
      <c r="D276" s="203" t="s">
        <v>65</v>
      </c>
      <c r="E276" s="203">
        <v>1</v>
      </c>
      <c r="F276" s="214">
        <v>8.27</v>
      </c>
    </row>
    <row r="277" spans="1:6" ht="24.95" customHeight="1" x14ac:dyDescent="0.2">
      <c r="A277" s="315"/>
      <c r="B277" s="315"/>
      <c r="C277" s="333"/>
      <c r="D277" s="203" t="s">
        <v>43</v>
      </c>
      <c r="E277" s="203">
        <v>0.1</v>
      </c>
      <c r="F277" s="214">
        <v>0.19</v>
      </c>
    </row>
    <row r="278" spans="1:6" ht="32.25" customHeight="1" x14ac:dyDescent="0.2">
      <c r="A278" s="314" t="s">
        <v>40</v>
      </c>
      <c r="B278" s="314" t="s">
        <v>41</v>
      </c>
      <c r="C278" s="341" t="s">
        <v>338</v>
      </c>
      <c r="D278" s="206" t="s">
        <v>93</v>
      </c>
      <c r="E278" s="203">
        <v>46</v>
      </c>
      <c r="F278" s="214">
        <v>343.62</v>
      </c>
    </row>
    <row r="279" spans="1:6" ht="30" customHeight="1" x14ac:dyDescent="0.2">
      <c r="A279" s="319"/>
      <c r="B279" s="319"/>
      <c r="C279" s="342"/>
      <c r="D279" s="206" t="s">
        <v>79</v>
      </c>
      <c r="E279" s="203">
        <v>10</v>
      </c>
      <c r="F279" s="214">
        <v>50.9</v>
      </c>
    </row>
    <row r="280" spans="1:6" ht="24.95" customHeight="1" x14ac:dyDescent="0.2">
      <c r="A280" s="319"/>
      <c r="B280" s="319"/>
      <c r="C280" s="342"/>
      <c r="D280" s="206" t="s">
        <v>11</v>
      </c>
      <c r="E280" s="203">
        <v>4</v>
      </c>
      <c r="F280" s="214">
        <v>48.4</v>
      </c>
    </row>
    <row r="281" spans="1:6" ht="30" customHeight="1" x14ac:dyDescent="0.2">
      <c r="A281" s="319"/>
      <c r="B281" s="319"/>
      <c r="C281" s="342"/>
      <c r="D281" s="206" t="s">
        <v>62</v>
      </c>
      <c r="E281" s="203">
        <v>10</v>
      </c>
      <c r="F281" s="214">
        <v>50.300000000000004</v>
      </c>
    </row>
    <row r="282" spans="1:6" ht="24.95" customHeight="1" x14ac:dyDescent="0.2">
      <c r="A282" s="315"/>
      <c r="B282" s="315"/>
      <c r="C282" s="343"/>
      <c r="D282" s="206" t="s">
        <v>43</v>
      </c>
      <c r="E282" s="203">
        <v>0.1</v>
      </c>
      <c r="F282" s="214">
        <v>0.19</v>
      </c>
    </row>
    <row r="283" spans="1:6" ht="33" customHeight="1" x14ac:dyDescent="0.2">
      <c r="A283" s="202" t="s">
        <v>46</v>
      </c>
      <c r="B283" s="202" t="s">
        <v>47</v>
      </c>
      <c r="C283" s="203" t="s">
        <v>67</v>
      </c>
      <c r="D283" s="203" t="s">
        <v>68</v>
      </c>
      <c r="E283" s="203">
        <v>5</v>
      </c>
      <c r="F283" s="214">
        <v>25.75</v>
      </c>
    </row>
    <row r="284" spans="1:6" ht="30.75" customHeight="1" x14ac:dyDescent="0.2">
      <c r="A284" s="202" t="s">
        <v>49</v>
      </c>
      <c r="B284" s="202" t="s">
        <v>50</v>
      </c>
      <c r="C284" s="203" t="s">
        <v>51</v>
      </c>
      <c r="D284" s="203" t="s">
        <v>52</v>
      </c>
      <c r="E284" s="203">
        <v>5</v>
      </c>
      <c r="F284" s="214">
        <v>62.9</v>
      </c>
    </row>
    <row r="285" spans="1:6" ht="24.95" customHeight="1" x14ac:dyDescent="0.2">
      <c r="A285" s="199" t="s">
        <v>53</v>
      </c>
      <c r="B285" s="316" t="s">
        <v>54</v>
      </c>
      <c r="C285" s="320"/>
      <c r="D285" s="203" t="s">
        <v>53</v>
      </c>
      <c r="E285" s="203">
        <v>180</v>
      </c>
      <c r="F285" s="214">
        <v>120.60000000000001</v>
      </c>
    </row>
    <row r="286" spans="1:6" ht="20.100000000000001" customHeight="1" x14ac:dyDescent="0.2">
      <c r="A286" s="334" t="s">
        <v>331</v>
      </c>
      <c r="B286" s="335"/>
      <c r="C286" s="335"/>
      <c r="D286" s="335"/>
      <c r="E286" s="336"/>
      <c r="F286" s="213">
        <v>3304.23</v>
      </c>
    </row>
    <row r="287" spans="1:6" s="2" customFormat="1" ht="19.5" customHeight="1" x14ac:dyDescent="0.25">
      <c r="A287" s="160"/>
      <c r="B287" s="162"/>
      <c r="C287" s="162"/>
      <c r="D287" s="162"/>
      <c r="E287" s="162"/>
      <c r="F287" s="162"/>
    </row>
    <row r="288" spans="1:6" ht="19.5" customHeight="1" x14ac:dyDescent="0.2">
      <c r="A288" s="166" t="s">
        <v>27</v>
      </c>
      <c r="B288" s="201">
        <v>16</v>
      </c>
      <c r="C288" s="167"/>
      <c r="D288" s="167"/>
      <c r="E288" s="167"/>
      <c r="F288" s="167"/>
    </row>
    <row r="289" spans="1:6" ht="19.5" customHeight="1" x14ac:dyDescent="0.2">
      <c r="A289" s="167"/>
      <c r="B289" s="161"/>
      <c r="C289" s="167"/>
      <c r="D289" s="167"/>
      <c r="E289" s="167"/>
      <c r="F289" s="167"/>
    </row>
    <row r="290" spans="1:6" ht="12.75" customHeight="1" x14ac:dyDescent="0.2">
      <c r="A290" s="313" t="s">
        <v>28</v>
      </c>
      <c r="B290" s="321" t="s">
        <v>29</v>
      </c>
      <c r="C290" s="313" t="s">
        <v>56</v>
      </c>
      <c r="D290" s="313" t="s">
        <v>31</v>
      </c>
      <c r="E290" s="313" t="s">
        <v>32</v>
      </c>
      <c r="F290" s="314" t="s">
        <v>33</v>
      </c>
    </row>
    <row r="291" spans="1:6" ht="37.5" customHeight="1" x14ac:dyDescent="0.2">
      <c r="A291" s="313"/>
      <c r="B291" s="322"/>
      <c r="C291" s="313"/>
      <c r="D291" s="313"/>
      <c r="E291" s="313"/>
      <c r="F291" s="315"/>
    </row>
    <row r="292" spans="1:6" ht="31.5" customHeight="1" x14ac:dyDescent="0.2">
      <c r="A292" s="337" t="s">
        <v>34</v>
      </c>
      <c r="B292" s="195" t="s">
        <v>57</v>
      </c>
      <c r="C292" s="317" t="s">
        <v>86</v>
      </c>
      <c r="D292" s="203" t="s">
        <v>36</v>
      </c>
      <c r="E292" s="203">
        <v>10</v>
      </c>
      <c r="F292" s="214">
        <v>45.599999999999994</v>
      </c>
    </row>
    <row r="293" spans="1:6" ht="39.75" customHeight="1" x14ac:dyDescent="0.2">
      <c r="A293" s="338"/>
      <c r="B293" s="319" t="s">
        <v>37</v>
      </c>
      <c r="C293" s="318"/>
      <c r="D293" s="203" t="s">
        <v>38</v>
      </c>
      <c r="E293" s="203">
        <v>13</v>
      </c>
      <c r="F293" s="214">
        <v>493.61</v>
      </c>
    </row>
    <row r="294" spans="1:6" ht="22.5" customHeight="1" x14ac:dyDescent="0.2">
      <c r="A294" s="339"/>
      <c r="B294" s="315"/>
      <c r="C294" s="318"/>
      <c r="D294" s="203" t="s">
        <v>39</v>
      </c>
      <c r="E294" s="203">
        <v>2</v>
      </c>
      <c r="F294" s="214">
        <v>176.46</v>
      </c>
    </row>
    <row r="295" spans="1:6" ht="25.5" customHeight="1" x14ac:dyDescent="0.2">
      <c r="A295" s="326" t="s">
        <v>59</v>
      </c>
      <c r="B295" s="319" t="s">
        <v>60</v>
      </c>
      <c r="C295" s="329" t="s">
        <v>456</v>
      </c>
      <c r="D295" s="203" t="s">
        <v>78</v>
      </c>
      <c r="E295" s="203">
        <v>97.2</v>
      </c>
      <c r="F295" s="214">
        <v>2436.8040000000001</v>
      </c>
    </row>
    <row r="296" spans="1:6" ht="31.5" x14ac:dyDescent="0.2">
      <c r="A296" s="327"/>
      <c r="B296" s="319"/>
      <c r="C296" s="330"/>
      <c r="D296" s="203" t="s">
        <v>62</v>
      </c>
      <c r="E296" s="203">
        <v>10</v>
      </c>
      <c r="F296" s="214">
        <v>50.300000000000004</v>
      </c>
    </row>
    <row r="297" spans="1:6" ht="32.25" customHeight="1" x14ac:dyDescent="0.2">
      <c r="A297" s="327"/>
      <c r="B297" s="319"/>
      <c r="C297" s="330"/>
      <c r="D297" s="203" t="s">
        <v>64</v>
      </c>
      <c r="E297" s="203">
        <v>10</v>
      </c>
      <c r="F297" s="214">
        <v>36.800000000000004</v>
      </c>
    </row>
    <row r="298" spans="1:6" s="159" customFormat="1" ht="21.75" customHeight="1" x14ac:dyDescent="0.2">
      <c r="A298" s="327"/>
      <c r="B298" s="319"/>
      <c r="C298" s="330"/>
      <c r="D298" s="170" t="s">
        <v>11</v>
      </c>
      <c r="E298" s="203">
        <v>4</v>
      </c>
      <c r="F298" s="214">
        <v>48.4</v>
      </c>
    </row>
    <row r="299" spans="1:6" s="159" customFormat="1" ht="31.5" x14ac:dyDescent="0.2">
      <c r="A299" s="327"/>
      <c r="B299" s="319"/>
      <c r="C299" s="330"/>
      <c r="D299" s="203" t="s">
        <v>63</v>
      </c>
      <c r="E299" s="203">
        <v>10</v>
      </c>
      <c r="F299" s="214">
        <v>91.6</v>
      </c>
    </row>
    <row r="300" spans="1:6" s="159" customFormat="1" ht="22.5" customHeight="1" x14ac:dyDescent="0.2">
      <c r="A300" s="327"/>
      <c r="B300" s="319"/>
      <c r="C300" s="330"/>
      <c r="D300" s="170" t="s">
        <v>79</v>
      </c>
      <c r="E300" s="203">
        <v>10</v>
      </c>
      <c r="F300" s="214">
        <v>50.9</v>
      </c>
    </row>
    <row r="301" spans="1:6" s="159" customFormat="1" ht="22.5" customHeight="1" x14ac:dyDescent="0.2">
      <c r="A301" s="327"/>
      <c r="B301" s="319"/>
      <c r="C301" s="330"/>
      <c r="D301" s="170" t="s">
        <v>65</v>
      </c>
      <c r="E301" s="203">
        <v>1</v>
      </c>
      <c r="F301" s="214">
        <v>8.27</v>
      </c>
    </row>
    <row r="302" spans="1:6" ht="22.5" customHeight="1" x14ac:dyDescent="0.2">
      <c r="A302" s="328"/>
      <c r="B302" s="315"/>
      <c r="C302" s="333"/>
      <c r="D302" s="203" t="s">
        <v>43</v>
      </c>
      <c r="E302" s="203">
        <v>0.1</v>
      </c>
      <c r="F302" s="214">
        <v>0.19</v>
      </c>
    </row>
    <row r="303" spans="1:6" ht="31.5" x14ac:dyDescent="0.2">
      <c r="A303" s="326" t="s">
        <v>40</v>
      </c>
      <c r="B303" s="314" t="s">
        <v>41</v>
      </c>
      <c r="C303" s="314" t="s">
        <v>80</v>
      </c>
      <c r="D303" s="203" t="s">
        <v>81</v>
      </c>
      <c r="E303" s="203">
        <v>106</v>
      </c>
      <c r="F303" s="214">
        <v>590.42000000000007</v>
      </c>
    </row>
    <row r="304" spans="1:6" ht="22.5" customHeight="1" x14ac:dyDescent="0.2">
      <c r="A304" s="328"/>
      <c r="B304" s="315"/>
      <c r="C304" s="315"/>
      <c r="D304" s="203" t="s">
        <v>43</v>
      </c>
      <c r="E304" s="203">
        <v>0.1</v>
      </c>
      <c r="F304" s="214">
        <v>0.19</v>
      </c>
    </row>
    <row r="305" spans="1:6" ht="31.5" x14ac:dyDescent="0.2">
      <c r="A305" s="202" t="s">
        <v>46</v>
      </c>
      <c r="B305" s="202" t="s">
        <v>47</v>
      </c>
      <c r="C305" s="203" t="s">
        <v>48</v>
      </c>
      <c r="D305" s="203" t="s">
        <v>13</v>
      </c>
      <c r="E305" s="203">
        <v>7</v>
      </c>
      <c r="F305" s="214">
        <v>41.09</v>
      </c>
    </row>
    <row r="306" spans="1:6" ht="31.5" x14ac:dyDescent="0.2">
      <c r="A306" s="202" t="s">
        <v>49</v>
      </c>
      <c r="B306" s="202" t="s">
        <v>50</v>
      </c>
      <c r="C306" s="203" t="s">
        <v>51</v>
      </c>
      <c r="D306" s="203" t="s">
        <v>52</v>
      </c>
      <c r="E306" s="203">
        <v>5</v>
      </c>
      <c r="F306" s="214">
        <v>62.9</v>
      </c>
    </row>
    <row r="307" spans="1:6" ht="19.5" customHeight="1" x14ac:dyDescent="0.2">
      <c r="A307" s="199" t="s">
        <v>53</v>
      </c>
      <c r="B307" s="316" t="s">
        <v>54</v>
      </c>
      <c r="C307" s="320"/>
      <c r="D307" s="203" t="s">
        <v>53</v>
      </c>
      <c r="E307" s="203">
        <v>180</v>
      </c>
      <c r="F307" s="214">
        <v>120.60000000000001</v>
      </c>
    </row>
    <row r="308" spans="1:6" ht="20.100000000000001" customHeight="1" x14ac:dyDescent="0.2">
      <c r="A308" s="334" t="s">
        <v>331</v>
      </c>
      <c r="B308" s="335"/>
      <c r="C308" s="335"/>
      <c r="D308" s="335"/>
      <c r="E308" s="336"/>
      <c r="F308" s="213">
        <v>4254.13</v>
      </c>
    </row>
    <row r="309" spans="1:6" s="2" customFormat="1" ht="19.5" customHeight="1" x14ac:dyDescent="0.25">
      <c r="A309" s="160"/>
      <c r="B309" s="162"/>
      <c r="C309" s="162"/>
      <c r="D309" s="162"/>
      <c r="E309" s="162"/>
      <c r="F309" s="162"/>
    </row>
    <row r="310" spans="1:6" ht="19.5" customHeight="1" x14ac:dyDescent="0.2">
      <c r="A310" s="166" t="s">
        <v>27</v>
      </c>
      <c r="B310" s="201">
        <v>17</v>
      </c>
      <c r="C310" s="167"/>
      <c r="D310" s="167"/>
      <c r="E310" s="167"/>
      <c r="F310" s="167"/>
    </row>
    <row r="311" spans="1:6" ht="19.5" customHeight="1" x14ac:dyDescent="0.2">
      <c r="A311" s="167"/>
      <c r="B311" s="161"/>
      <c r="C311" s="167"/>
      <c r="D311" s="167"/>
      <c r="E311" s="167"/>
      <c r="F311" s="167"/>
    </row>
    <row r="312" spans="1:6" ht="12.75" customHeight="1" x14ac:dyDescent="0.2">
      <c r="A312" s="313" t="s">
        <v>28</v>
      </c>
      <c r="B312" s="321" t="s">
        <v>29</v>
      </c>
      <c r="C312" s="313" t="s">
        <v>56</v>
      </c>
      <c r="D312" s="313" t="s">
        <v>31</v>
      </c>
      <c r="E312" s="313" t="s">
        <v>32</v>
      </c>
      <c r="F312" s="314" t="s">
        <v>33</v>
      </c>
    </row>
    <row r="313" spans="1:6" ht="36" customHeight="1" x14ac:dyDescent="0.2">
      <c r="A313" s="313"/>
      <c r="B313" s="322"/>
      <c r="C313" s="313"/>
      <c r="D313" s="313"/>
      <c r="E313" s="313"/>
      <c r="F313" s="315"/>
    </row>
    <row r="314" spans="1:6" ht="33.75" customHeight="1" x14ac:dyDescent="0.2">
      <c r="A314" s="337" t="s">
        <v>34</v>
      </c>
      <c r="B314" s="195" t="s">
        <v>57</v>
      </c>
      <c r="C314" s="317" t="s">
        <v>76</v>
      </c>
      <c r="D314" s="203" t="s">
        <v>245</v>
      </c>
      <c r="E314" s="203">
        <v>10</v>
      </c>
      <c r="F314" s="214">
        <v>167.7</v>
      </c>
    </row>
    <row r="315" spans="1:6" ht="65.25" customHeight="1" x14ac:dyDescent="0.2">
      <c r="A315" s="339"/>
      <c r="B315" s="200" t="s">
        <v>37</v>
      </c>
      <c r="C315" s="340"/>
      <c r="D315" s="203" t="s">
        <v>38</v>
      </c>
      <c r="E315" s="203">
        <v>13</v>
      </c>
      <c r="F315" s="214">
        <v>493.61</v>
      </c>
    </row>
    <row r="316" spans="1:6" ht="33.75" customHeight="1" x14ac:dyDescent="0.2">
      <c r="A316" s="326" t="s">
        <v>277</v>
      </c>
      <c r="B316" s="319" t="s">
        <v>60</v>
      </c>
      <c r="C316" s="330" t="s">
        <v>457</v>
      </c>
      <c r="D316" s="203" t="s">
        <v>70</v>
      </c>
      <c r="E316" s="203">
        <v>55</v>
      </c>
      <c r="F316" s="214">
        <v>593.44999999999993</v>
      </c>
    </row>
    <row r="317" spans="1:6" ht="33.75" customHeight="1" x14ac:dyDescent="0.2">
      <c r="A317" s="327"/>
      <c r="B317" s="319"/>
      <c r="C317" s="330"/>
      <c r="D317" s="203" t="s">
        <v>62</v>
      </c>
      <c r="E317" s="203">
        <v>10</v>
      </c>
      <c r="F317" s="214">
        <v>50.300000000000004</v>
      </c>
    </row>
    <row r="318" spans="1:6" ht="26.25" customHeight="1" x14ac:dyDescent="0.2">
      <c r="A318" s="327"/>
      <c r="B318" s="319"/>
      <c r="C318" s="330"/>
      <c r="D318" s="203" t="s">
        <v>79</v>
      </c>
      <c r="E318" s="203">
        <v>10</v>
      </c>
      <c r="F318" s="214">
        <v>50.9</v>
      </c>
    </row>
    <row r="319" spans="1:6" ht="24.95" customHeight="1" x14ac:dyDescent="0.2">
      <c r="A319" s="328"/>
      <c r="B319" s="315"/>
      <c r="C319" s="333"/>
      <c r="D319" s="203" t="s">
        <v>43</v>
      </c>
      <c r="E319" s="203">
        <v>0.1</v>
      </c>
      <c r="F319" s="214">
        <v>0.19</v>
      </c>
    </row>
    <row r="320" spans="1:6" ht="32.25" customHeight="1" x14ac:dyDescent="0.2">
      <c r="A320" s="326" t="s">
        <v>40</v>
      </c>
      <c r="B320" s="314" t="s">
        <v>41</v>
      </c>
      <c r="C320" s="329" t="s">
        <v>339</v>
      </c>
      <c r="D320" s="206" t="s">
        <v>96</v>
      </c>
      <c r="E320" s="203">
        <v>125</v>
      </c>
      <c r="F320" s="214">
        <v>891.25</v>
      </c>
    </row>
    <row r="321" spans="1:6" ht="34.5" customHeight="1" x14ac:dyDescent="0.2">
      <c r="A321" s="327"/>
      <c r="B321" s="319"/>
      <c r="C321" s="330"/>
      <c r="D321" s="206" t="s">
        <v>62</v>
      </c>
      <c r="E321" s="203">
        <v>4</v>
      </c>
      <c r="F321" s="214">
        <v>20.12</v>
      </c>
    </row>
    <row r="322" spans="1:6" ht="24.95" customHeight="1" x14ac:dyDescent="0.2">
      <c r="A322" s="327"/>
      <c r="B322" s="319"/>
      <c r="C322" s="330"/>
      <c r="D322" s="206" t="s">
        <v>43</v>
      </c>
      <c r="E322" s="203">
        <v>0.1</v>
      </c>
      <c r="F322" s="214">
        <v>0.19</v>
      </c>
    </row>
    <row r="323" spans="1:6" ht="24.95" customHeight="1" x14ac:dyDescent="0.2">
      <c r="A323" s="328"/>
      <c r="B323" s="315"/>
      <c r="C323" s="330"/>
      <c r="D323" s="206" t="s">
        <v>11</v>
      </c>
      <c r="E323" s="203">
        <v>2</v>
      </c>
      <c r="F323" s="214">
        <v>24.2</v>
      </c>
    </row>
    <row r="324" spans="1:6" ht="35.25" customHeight="1" x14ac:dyDescent="0.2">
      <c r="A324" s="202" t="s">
        <v>46</v>
      </c>
      <c r="B324" s="202" t="s">
        <v>47</v>
      </c>
      <c r="C324" s="203" t="s">
        <v>278</v>
      </c>
      <c r="D324" s="203" t="s">
        <v>68</v>
      </c>
      <c r="E324" s="203">
        <v>5</v>
      </c>
      <c r="F324" s="214">
        <v>25.75</v>
      </c>
    </row>
    <row r="325" spans="1:6" ht="36.75" customHeight="1" x14ac:dyDescent="0.2">
      <c r="A325" s="202" t="s">
        <v>49</v>
      </c>
      <c r="B325" s="202" t="s">
        <v>50</v>
      </c>
      <c r="C325" s="203" t="s">
        <v>51</v>
      </c>
      <c r="D325" s="203" t="s">
        <v>52</v>
      </c>
      <c r="E325" s="203">
        <v>5</v>
      </c>
      <c r="F325" s="214">
        <v>62.9</v>
      </c>
    </row>
    <row r="326" spans="1:6" ht="24.95" customHeight="1" x14ac:dyDescent="0.2">
      <c r="A326" s="199" t="s">
        <v>53</v>
      </c>
      <c r="B326" s="316" t="s">
        <v>54</v>
      </c>
      <c r="C326" s="320"/>
      <c r="D326" s="203" t="s">
        <v>53</v>
      </c>
      <c r="E326" s="203">
        <v>180</v>
      </c>
      <c r="F326" s="214">
        <v>120.60000000000001</v>
      </c>
    </row>
    <row r="327" spans="1:6" ht="19.5" customHeight="1" x14ac:dyDescent="0.2">
      <c r="A327" s="334" t="s">
        <v>331</v>
      </c>
      <c r="B327" s="335"/>
      <c r="C327" s="335"/>
      <c r="D327" s="335"/>
      <c r="E327" s="336"/>
      <c r="F327" s="213">
        <v>2501.16</v>
      </c>
    </row>
    <row r="328" spans="1:6" s="2" customFormat="1" ht="19.5" customHeight="1" x14ac:dyDescent="0.25">
      <c r="A328" s="160"/>
      <c r="B328" s="162"/>
      <c r="C328" s="162"/>
      <c r="D328" s="162"/>
      <c r="E328" s="162"/>
      <c r="F328" s="162"/>
    </row>
    <row r="329" spans="1:6" ht="19.5" customHeight="1" x14ac:dyDescent="0.2">
      <c r="A329" s="166" t="s">
        <v>27</v>
      </c>
      <c r="B329" s="201">
        <v>18</v>
      </c>
      <c r="C329" s="167"/>
      <c r="D329" s="167"/>
      <c r="E329" s="167"/>
      <c r="F329" s="167"/>
    </row>
    <row r="330" spans="1:6" ht="19.5" customHeight="1" x14ac:dyDescent="0.2">
      <c r="A330" s="167"/>
      <c r="B330" s="161"/>
      <c r="C330" s="167"/>
      <c r="D330" s="167"/>
      <c r="E330" s="167"/>
      <c r="F330" s="167"/>
    </row>
    <row r="331" spans="1:6" ht="18" customHeight="1" x14ac:dyDescent="0.2">
      <c r="A331" s="313" t="s">
        <v>28</v>
      </c>
      <c r="B331" s="321" t="s">
        <v>29</v>
      </c>
      <c r="C331" s="313" t="s">
        <v>56</v>
      </c>
      <c r="D331" s="313" t="s">
        <v>31</v>
      </c>
      <c r="E331" s="313" t="s">
        <v>32</v>
      </c>
      <c r="F331" s="314" t="s">
        <v>33</v>
      </c>
    </row>
    <row r="332" spans="1:6" ht="34.5" customHeight="1" thickBot="1" x14ac:dyDescent="0.25">
      <c r="A332" s="313"/>
      <c r="B332" s="322"/>
      <c r="C332" s="313"/>
      <c r="D332" s="313"/>
      <c r="E332" s="313"/>
      <c r="F332" s="315"/>
    </row>
    <row r="333" spans="1:6" ht="29.25" customHeight="1" x14ac:dyDescent="0.2">
      <c r="A333" s="337" t="s">
        <v>34</v>
      </c>
      <c r="B333" s="222" t="s">
        <v>57</v>
      </c>
      <c r="C333" s="317" t="s">
        <v>296</v>
      </c>
      <c r="D333" s="203" t="s">
        <v>69</v>
      </c>
      <c r="E333" s="199">
        <v>10</v>
      </c>
      <c r="F333" s="214">
        <v>44</v>
      </c>
    </row>
    <row r="334" spans="1:6" ht="38.25" customHeight="1" x14ac:dyDescent="0.2">
      <c r="A334" s="338"/>
      <c r="B334" s="365" t="s">
        <v>37</v>
      </c>
      <c r="C334" s="318"/>
      <c r="D334" s="203" t="s">
        <v>38</v>
      </c>
      <c r="E334" s="199">
        <v>13</v>
      </c>
      <c r="F334" s="214">
        <v>493.61</v>
      </c>
    </row>
    <row r="335" spans="1:6" ht="24.95" customHeight="1" thickBot="1" x14ac:dyDescent="0.25">
      <c r="A335" s="339"/>
      <c r="B335" s="366"/>
      <c r="C335" s="340"/>
      <c r="D335" s="203" t="s">
        <v>39</v>
      </c>
      <c r="E335" s="203">
        <v>2</v>
      </c>
      <c r="F335" s="214">
        <v>176.46</v>
      </c>
    </row>
    <row r="336" spans="1:6" ht="29.25" customHeight="1" x14ac:dyDescent="0.2">
      <c r="A336" s="314" t="s">
        <v>277</v>
      </c>
      <c r="B336" s="319" t="s">
        <v>60</v>
      </c>
      <c r="C336" s="329" t="s">
        <v>462</v>
      </c>
      <c r="D336" s="203" t="s">
        <v>74</v>
      </c>
      <c r="E336" s="203">
        <v>84</v>
      </c>
      <c r="F336" s="214">
        <v>2542.6799999999998</v>
      </c>
    </row>
    <row r="337" spans="1:6" ht="28.5" customHeight="1" x14ac:dyDescent="0.2">
      <c r="A337" s="319"/>
      <c r="B337" s="319"/>
      <c r="C337" s="330"/>
      <c r="D337" s="203" t="s">
        <v>62</v>
      </c>
      <c r="E337" s="203">
        <v>10</v>
      </c>
      <c r="F337" s="214">
        <v>50.300000000000004</v>
      </c>
    </row>
    <row r="338" spans="1:6" ht="30" customHeight="1" x14ac:dyDescent="0.2">
      <c r="A338" s="319"/>
      <c r="B338" s="319"/>
      <c r="C338" s="330"/>
      <c r="D338" s="203" t="s">
        <v>104</v>
      </c>
      <c r="E338" s="203">
        <v>10</v>
      </c>
      <c r="F338" s="214">
        <v>24.6</v>
      </c>
    </row>
    <row r="339" spans="1:6" ht="24.95" customHeight="1" x14ac:dyDescent="0.2">
      <c r="A339" s="319"/>
      <c r="B339" s="319"/>
      <c r="C339" s="330"/>
      <c r="D339" s="170" t="s">
        <v>11</v>
      </c>
      <c r="E339" s="203">
        <v>4</v>
      </c>
      <c r="F339" s="214">
        <v>48.4</v>
      </c>
    </row>
    <row r="340" spans="1:6" ht="31.5" customHeight="1" x14ac:dyDescent="0.2">
      <c r="A340" s="319"/>
      <c r="B340" s="319"/>
      <c r="C340" s="330"/>
      <c r="D340" s="203" t="s">
        <v>63</v>
      </c>
      <c r="E340" s="203">
        <v>10</v>
      </c>
      <c r="F340" s="214">
        <v>91.6</v>
      </c>
    </row>
    <row r="341" spans="1:6" ht="32.25" customHeight="1" x14ac:dyDescent="0.2">
      <c r="A341" s="319"/>
      <c r="B341" s="319"/>
      <c r="C341" s="330"/>
      <c r="D341" s="203" t="s">
        <v>64</v>
      </c>
      <c r="E341" s="203">
        <v>10</v>
      </c>
      <c r="F341" s="214">
        <v>36.800000000000004</v>
      </c>
    </row>
    <row r="342" spans="1:6" ht="24.95" customHeight="1" x14ac:dyDescent="0.2">
      <c r="A342" s="319"/>
      <c r="B342" s="319"/>
      <c r="C342" s="330"/>
      <c r="D342" s="170" t="s">
        <v>65</v>
      </c>
      <c r="E342" s="203">
        <v>1</v>
      </c>
      <c r="F342" s="214">
        <v>8.27</v>
      </c>
    </row>
    <row r="343" spans="1:6" ht="24.95" customHeight="1" x14ac:dyDescent="0.2">
      <c r="A343" s="315"/>
      <c r="B343" s="315"/>
      <c r="C343" s="333"/>
      <c r="D343" s="203" t="s">
        <v>43</v>
      </c>
      <c r="E343" s="203">
        <v>0.1</v>
      </c>
      <c r="F343" s="214">
        <v>0.19</v>
      </c>
    </row>
    <row r="344" spans="1:6" ht="32.25" customHeight="1" x14ac:dyDescent="0.2">
      <c r="A344" s="314" t="s">
        <v>40</v>
      </c>
      <c r="B344" s="314" t="s">
        <v>41</v>
      </c>
      <c r="C344" s="329" t="s">
        <v>459</v>
      </c>
      <c r="D344" s="203" t="s">
        <v>36</v>
      </c>
      <c r="E344" s="203">
        <v>48.45</v>
      </c>
      <c r="F344" s="214">
        <v>220.93199999999999</v>
      </c>
    </row>
    <row r="345" spans="1:6" ht="24.95" customHeight="1" x14ac:dyDescent="0.2">
      <c r="A345" s="319"/>
      <c r="B345" s="319"/>
      <c r="C345" s="330"/>
      <c r="D345" s="203" t="s">
        <v>11</v>
      </c>
      <c r="E345" s="203">
        <v>4</v>
      </c>
      <c r="F345" s="214">
        <v>48.4</v>
      </c>
    </row>
    <row r="346" spans="1:6" ht="37.5" customHeight="1" x14ac:dyDescent="0.2">
      <c r="A346" s="319"/>
      <c r="B346" s="319"/>
      <c r="C346" s="330"/>
      <c r="D346" s="203" t="s">
        <v>93</v>
      </c>
      <c r="E346" s="203">
        <v>5</v>
      </c>
      <c r="F346" s="214">
        <v>37.35</v>
      </c>
    </row>
    <row r="347" spans="1:6" ht="24.95" customHeight="1" x14ac:dyDescent="0.2">
      <c r="A347" s="319"/>
      <c r="B347" s="319"/>
      <c r="C347" s="333"/>
      <c r="D347" s="203" t="s">
        <v>43</v>
      </c>
      <c r="E347" s="203">
        <v>0.1</v>
      </c>
      <c r="F347" s="214">
        <v>0.19</v>
      </c>
    </row>
    <row r="348" spans="1:6" ht="36.75" customHeight="1" x14ac:dyDescent="0.2">
      <c r="A348" s="202" t="s">
        <v>46</v>
      </c>
      <c r="B348" s="202" t="s">
        <v>47</v>
      </c>
      <c r="C348" s="203" t="s">
        <v>278</v>
      </c>
      <c r="D348" s="203" t="s">
        <v>68</v>
      </c>
      <c r="E348" s="203">
        <v>5</v>
      </c>
      <c r="F348" s="214">
        <v>25.75</v>
      </c>
    </row>
    <row r="349" spans="1:6" ht="33.75" customHeight="1" x14ac:dyDescent="0.2">
      <c r="A349" s="202" t="s">
        <v>49</v>
      </c>
      <c r="B349" s="202" t="s">
        <v>50</v>
      </c>
      <c r="C349" s="203" t="s">
        <v>51</v>
      </c>
      <c r="D349" s="203" t="s">
        <v>52</v>
      </c>
      <c r="E349" s="203">
        <v>5</v>
      </c>
      <c r="F349" s="214">
        <v>62.9</v>
      </c>
    </row>
    <row r="350" spans="1:6" ht="24.95" customHeight="1" x14ac:dyDescent="0.2">
      <c r="A350" s="199" t="s">
        <v>53</v>
      </c>
      <c r="B350" s="316" t="s">
        <v>54</v>
      </c>
      <c r="C350" s="320"/>
      <c r="D350" s="203" t="s">
        <v>53</v>
      </c>
      <c r="E350" s="203">
        <v>180</v>
      </c>
      <c r="F350" s="214">
        <v>120.60000000000001</v>
      </c>
    </row>
    <row r="351" spans="1:6" ht="20.100000000000001" customHeight="1" x14ac:dyDescent="0.2">
      <c r="A351" s="334" t="s">
        <v>331</v>
      </c>
      <c r="B351" s="335"/>
      <c r="C351" s="335"/>
      <c r="D351" s="335"/>
      <c r="E351" s="336"/>
      <c r="F351" s="213">
        <v>4033.03</v>
      </c>
    </row>
    <row r="352" spans="1:6" s="2" customFormat="1" ht="19.5" customHeight="1" x14ac:dyDescent="0.25">
      <c r="A352" s="160"/>
      <c r="B352" s="162"/>
      <c r="C352" s="162"/>
      <c r="D352" s="162"/>
      <c r="E352" s="162"/>
      <c r="F352" s="162"/>
    </row>
    <row r="353" spans="1:6" ht="18.75" customHeight="1" x14ac:dyDescent="0.2">
      <c r="A353" s="166" t="s">
        <v>27</v>
      </c>
      <c r="B353" s="201">
        <v>19</v>
      </c>
      <c r="C353" s="167"/>
      <c r="D353" s="167"/>
      <c r="E353" s="167"/>
      <c r="F353" s="167"/>
    </row>
    <row r="354" spans="1:6" ht="18.75" customHeight="1" x14ac:dyDescent="0.2">
      <c r="A354" s="167"/>
      <c r="B354" s="161"/>
      <c r="C354" s="167"/>
      <c r="D354" s="167"/>
      <c r="E354" s="167"/>
      <c r="F354" s="167"/>
    </row>
    <row r="355" spans="1:6" ht="12.75" customHeight="1" x14ac:dyDescent="0.2">
      <c r="A355" s="313" t="s">
        <v>28</v>
      </c>
      <c r="B355" s="321" t="s">
        <v>29</v>
      </c>
      <c r="C355" s="313" t="s">
        <v>56</v>
      </c>
      <c r="D355" s="313" t="s">
        <v>31</v>
      </c>
      <c r="E355" s="313" t="s">
        <v>32</v>
      </c>
      <c r="F355" s="314" t="s">
        <v>33</v>
      </c>
    </row>
    <row r="356" spans="1:6" ht="34.5" customHeight="1" x14ac:dyDescent="0.2">
      <c r="A356" s="313"/>
      <c r="B356" s="321"/>
      <c r="C356" s="313"/>
      <c r="D356" s="313"/>
      <c r="E356" s="313"/>
      <c r="F356" s="315"/>
    </row>
    <row r="357" spans="1:6" ht="34.5" customHeight="1" x14ac:dyDescent="0.2">
      <c r="A357" s="326" t="s">
        <v>34</v>
      </c>
      <c r="B357" s="195" t="s">
        <v>57</v>
      </c>
      <c r="C357" s="329" t="s">
        <v>329</v>
      </c>
      <c r="D357" s="203" t="s">
        <v>58</v>
      </c>
      <c r="E357" s="203">
        <v>10</v>
      </c>
      <c r="F357" s="214">
        <v>86</v>
      </c>
    </row>
    <row r="358" spans="1:6" ht="38.25" customHeight="1" x14ac:dyDescent="0.2">
      <c r="A358" s="327"/>
      <c r="B358" s="319" t="s">
        <v>37</v>
      </c>
      <c r="C358" s="330"/>
      <c r="D358" s="203" t="s">
        <v>38</v>
      </c>
      <c r="E358" s="203">
        <v>13</v>
      </c>
      <c r="F358" s="214">
        <v>493.61</v>
      </c>
    </row>
    <row r="359" spans="1:6" ht="29.25" customHeight="1" x14ac:dyDescent="0.2">
      <c r="A359" s="328"/>
      <c r="B359" s="315"/>
      <c r="C359" s="330"/>
      <c r="D359" s="203" t="s">
        <v>39</v>
      </c>
      <c r="E359" s="203">
        <v>2</v>
      </c>
      <c r="F359" s="214">
        <v>176.46</v>
      </c>
    </row>
    <row r="360" spans="1:6" ht="34.5" customHeight="1" x14ac:dyDescent="0.2">
      <c r="A360" s="326" t="s">
        <v>40</v>
      </c>
      <c r="B360" s="314" t="s">
        <v>41</v>
      </c>
      <c r="C360" s="331" t="s">
        <v>87</v>
      </c>
      <c r="D360" s="203" t="s">
        <v>42</v>
      </c>
      <c r="E360" s="203">
        <v>70</v>
      </c>
      <c r="F360" s="214">
        <v>347.9</v>
      </c>
    </row>
    <row r="361" spans="1:6" ht="24.95" customHeight="1" x14ac:dyDescent="0.2">
      <c r="A361" s="328"/>
      <c r="B361" s="315"/>
      <c r="C361" s="332"/>
      <c r="D361" s="203" t="s">
        <v>43</v>
      </c>
      <c r="E361" s="203">
        <v>0.1</v>
      </c>
      <c r="F361" s="214">
        <v>0.19</v>
      </c>
    </row>
    <row r="362" spans="1:6" ht="30.75" customHeight="1" x14ac:dyDescent="0.2">
      <c r="A362" s="195" t="s">
        <v>44</v>
      </c>
      <c r="B362" s="202" t="s">
        <v>45</v>
      </c>
      <c r="C362" s="196" t="s">
        <v>14</v>
      </c>
      <c r="D362" s="203" t="s">
        <v>89</v>
      </c>
      <c r="E362" s="203">
        <v>158</v>
      </c>
      <c r="F362" s="214">
        <v>990.66</v>
      </c>
    </row>
    <row r="363" spans="1:6" ht="39" customHeight="1" x14ac:dyDescent="0.2">
      <c r="A363" s="202" t="s">
        <v>46</v>
      </c>
      <c r="B363" s="202" t="s">
        <v>47</v>
      </c>
      <c r="C363" s="203" t="s">
        <v>278</v>
      </c>
      <c r="D363" s="203" t="s">
        <v>68</v>
      </c>
      <c r="E363" s="203">
        <v>5</v>
      </c>
      <c r="F363" s="214">
        <v>25.75</v>
      </c>
    </row>
    <row r="364" spans="1:6" ht="31.5" customHeight="1" x14ac:dyDescent="0.2">
      <c r="A364" s="202" t="s">
        <v>49</v>
      </c>
      <c r="B364" s="202" t="s">
        <v>50</v>
      </c>
      <c r="C364" s="203" t="s">
        <v>51</v>
      </c>
      <c r="D364" s="203" t="s">
        <v>52</v>
      </c>
      <c r="E364" s="203">
        <v>10</v>
      </c>
      <c r="F364" s="214">
        <v>125.8</v>
      </c>
    </row>
    <row r="365" spans="1:6" ht="24.95" customHeight="1" x14ac:dyDescent="0.2">
      <c r="A365" s="199" t="s">
        <v>53</v>
      </c>
      <c r="B365" s="316" t="s">
        <v>54</v>
      </c>
      <c r="C365" s="320"/>
      <c r="D365" s="203" t="s">
        <v>53</v>
      </c>
      <c r="E365" s="203">
        <v>180</v>
      </c>
      <c r="F365" s="214">
        <v>120.60000000000001</v>
      </c>
    </row>
    <row r="366" spans="1:6" ht="19.5" customHeight="1" x14ac:dyDescent="0.2">
      <c r="A366" s="362" t="s">
        <v>331</v>
      </c>
      <c r="B366" s="363"/>
      <c r="C366" s="363"/>
      <c r="D366" s="363"/>
      <c r="E366" s="364"/>
      <c r="F366" s="213">
        <v>2366.9699999999998</v>
      </c>
    </row>
    <row r="367" spans="1:6" s="2" customFormat="1" ht="19.5" customHeight="1" x14ac:dyDescent="0.25">
      <c r="A367" s="160"/>
      <c r="B367" s="162"/>
      <c r="C367" s="162"/>
      <c r="D367" s="162"/>
      <c r="E367" s="162"/>
      <c r="F367" s="162"/>
    </row>
    <row r="368" spans="1:6" ht="19.5" customHeight="1" x14ac:dyDescent="0.2">
      <c r="A368" s="166" t="s">
        <v>27</v>
      </c>
      <c r="B368" s="201">
        <v>20</v>
      </c>
      <c r="C368" s="167"/>
      <c r="D368" s="167"/>
      <c r="E368" s="167"/>
      <c r="F368" s="167"/>
    </row>
    <row r="369" spans="1:6" ht="19.5" customHeight="1" x14ac:dyDescent="0.2">
      <c r="A369" s="167"/>
      <c r="B369" s="161"/>
      <c r="C369" s="167"/>
      <c r="D369" s="167"/>
      <c r="E369" s="167"/>
      <c r="F369" s="167"/>
    </row>
    <row r="370" spans="1:6" ht="12.75" customHeight="1" x14ac:dyDescent="0.2">
      <c r="A370" s="313" t="s">
        <v>28</v>
      </c>
      <c r="B370" s="321" t="s">
        <v>29</v>
      </c>
      <c r="C370" s="313" t="s">
        <v>56</v>
      </c>
      <c r="D370" s="313" t="s">
        <v>31</v>
      </c>
      <c r="E370" s="313" t="s">
        <v>32</v>
      </c>
      <c r="F370" s="314" t="s">
        <v>33</v>
      </c>
    </row>
    <row r="371" spans="1:6" ht="34.5" customHeight="1" x14ac:dyDescent="0.2">
      <c r="A371" s="313"/>
      <c r="B371" s="322"/>
      <c r="C371" s="313"/>
      <c r="D371" s="313"/>
      <c r="E371" s="313"/>
      <c r="F371" s="315"/>
    </row>
    <row r="372" spans="1:6" ht="32.25" customHeight="1" x14ac:dyDescent="0.2">
      <c r="A372" s="316" t="s">
        <v>34</v>
      </c>
      <c r="B372" s="195" t="s">
        <v>57</v>
      </c>
      <c r="C372" s="317" t="s">
        <v>84</v>
      </c>
      <c r="D372" s="203" t="s">
        <v>85</v>
      </c>
      <c r="E372" s="203">
        <v>10</v>
      </c>
      <c r="F372" s="214">
        <v>40.300000000000004</v>
      </c>
    </row>
    <row r="373" spans="1:6" ht="41.25" customHeight="1" x14ac:dyDescent="0.2">
      <c r="A373" s="316"/>
      <c r="B373" s="319" t="s">
        <v>37</v>
      </c>
      <c r="C373" s="318"/>
      <c r="D373" s="203" t="s">
        <v>38</v>
      </c>
      <c r="E373" s="203">
        <v>13</v>
      </c>
      <c r="F373" s="214">
        <v>493.61</v>
      </c>
    </row>
    <row r="374" spans="1:6" ht="24.95" customHeight="1" x14ac:dyDescent="0.2">
      <c r="A374" s="316"/>
      <c r="B374" s="315"/>
      <c r="C374" s="318"/>
      <c r="D374" s="203" t="s">
        <v>39</v>
      </c>
      <c r="E374" s="203">
        <v>2</v>
      </c>
      <c r="F374" s="214">
        <v>176.46</v>
      </c>
    </row>
    <row r="375" spans="1:6" ht="34.5" customHeight="1" x14ac:dyDescent="0.2">
      <c r="A375" s="199" t="s">
        <v>40</v>
      </c>
      <c r="B375" s="200" t="s">
        <v>41</v>
      </c>
      <c r="C375" s="206" t="s">
        <v>398</v>
      </c>
      <c r="D375" s="206" t="s">
        <v>416</v>
      </c>
      <c r="E375" s="206">
        <v>60</v>
      </c>
      <c r="F375" s="272">
        <v>1068</v>
      </c>
    </row>
    <row r="376" spans="1:6" ht="33" customHeight="1" x14ac:dyDescent="0.2">
      <c r="A376" s="195" t="s">
        <v>44</v>
      </c>
      <c r="B376" s="202" t="s">
        <v>45</v>
      </c>
      <c r="C376" s="197" t="s">
        <v>82</v>
      </c>
      <c r="D376" s="203" t="s">
        <v>83</v>
      </c>
      <c r="E376" s="203">
        <v>158</v>
      </c>
      <c r="F376" s="214">
        <v>368.14</v>
      </c>
    </row>
    <row r="377" spans="1:6" ht="35.25" customHeight="1" x14ac:dyDescent="0.2">
      <c r="A377" s="202" t="s">
        <v>46</v>
      </c>
      <c r="B377" s="202" t="s">
        <v>47</v>
      </c>
      <c r="C377" s="203" t="s">
        <v>67</v>
      </c>
      <c r="D377" s="203" t="s">
        <v>68</v>
      </c>
      <c r="E377" s="203">
        <v>5</v>
      </c>
      <c r="F377" s="214">
        <v>25.75</v>
      </c>
    </row>
    <row r="378" spans="1:6" ht="24.95" customHeight="1" x14ac:dyDescent="0.2">
      <c r="A378" s="199" t="s">
        <v>53</v>
      </c>
      <c r="B378" s="316" t="s">
        <v>54</v>
      </c>
      <c r="C378" s="320"/>
      <c r="D378" s="203" t="s">
        <v>53</v>
      </c>
      <c r="E378" s="203">
        <v>180</v>
      </c>
      <c r="F378" s="214">
        <v>120.60000000000001</v>
      </c>
    </row>
    <row r="379" spans="1:6" ht="20.100000000000001" customHeight="1" x14ac:dyDescent="0.2">
      <c r="A379" s="334" t="s">
        <v>331</v>
      </c>
      <c r="B379" s="335"/>
      <c r="C379" s="335"/>
      <c r="D379" s="335"/>
      <c r="E379" s="336"/>
      <c r="F379" s="213">
        <v>2292.86</v>
      </c>
    </row>
    <row r="380" spans="1:6" ht="19.5" customHeight="1" x14ac:dyDescent="0.25">
      <c r="A380" s="308" t="s">
        <v>120</v>
      </c>
      <c r="B380" s="309"/>
      <c r="C380" s="309"/>
      <c r="D380" s="309"/>
      <c r="E380" s="310"/>
      <c r="F380" s="216">
        <v>59186.16</v>
      </c>
    </row>
    <row r="381" spans="1:6" ht="19.5" customHeight="1" x14ac:dyDescent="0.25">
      <c r="A381" s="308" t="s">
        <v>303</v>
      </c>
      <c r="B381" s="309"/>
      <c r="C381" s="309"/>
      <c r="D381" s="309"/>
      <c r="E381" s="310"/>
      <c r="F381" s="216">
        <v>2959.31</v>
      </c>
    </row>
    <row r="382" spans="1:6" ht="19.5" customHeight="1" x14ac:dyDescent="0.25">
      <c r="A382" s="308" t="s">
        <v>99</v>
      </c>
      <c r="B382" s="309"/>
      <c r="C382" s="309"/>
      <c r="D382" s="309"/>
      <c r="E382" s="310"/>
      <c r="F382" s="216">
        <v>2621.21</v>
      </c>
    </row>
    <row r="383" spans="1:6" ht="19.5" customHeight="1" x14ac:dyDescent="0.25">
      <c r="A383" s="308" t="s">
        <v>305</v>
      </c>
      <c r="B383" s="309"/>
      <c r="C383" s="309"/>
      <c r="D383" s="309"/>
      <c r="E383" s="310"/>
      <c r="F383" s="253">
        <v>8.48</v>
      </c>
    </row>
    <row r="384" spans="1:6" ht="19.5" customHeight="1" x14ac:dyDescent="0.25">
      <c r="A384" s="308" t="s">
        <v>101</v>
      </c>
      <c r="B384" s="309"/>
      <c r="C384" s="309"/>
      <c r="D384" s="309"/>
      <c r="E384" s="310"/>
      <c r="F384" s="253">
        <v>7.42</v>
      </c>
    </row>
    <row r="385" spans="1:6" ht="19.5" customHeight="1" x14ac:dyDescent="0.25">
      <c r="A385" s="311"/>
      <c r="B385" s="311"/>
      <c r="C385" s="311"/>
      <c r="D385" s="311"/>
      <c r="E385" s="311"/>
      <c r="F385" s="311"/>
    </row>
    <row r="386" spans="1:6" ht="19.5" customHeight="1" x14ac:dyDescent="0.25">
      <c r="A386" s="311"/>
      <c r="B386" s="311"/>
      <c r="C386" s="311"/>
      <c r="D386" s="311"/>
      <c r="E386" s="311"/>
      <c r="F386" s="311"/>
    </row>
    <row r="387" spans="1:6" ht="19.5" customHeight="1" x14ac:dyDescent="0.25">
      <c r="A387" s="311"/>
      <c r="B387" s="311"/>
      <c r="C387" s="311"/>
      <c r="D387" s="311"/>
      <c r="E387" s="311"/>
      <c r="F387" s="311"/>
    </row>
    <row r="388" spans="1:6" ht="19.5" customHeight="1" x14ac:dyDescent="0.25">
      <c r="A388" s="311"/>
      <c r="B388" s="311"/>
      <c r="C388" s="311"/>
      <c r="D388" s="311"/>
      <c r="E388" s="311"/>
      <c r="F388" s="311"/>
    </row>
    <row r="389" spans="1:6" ht="19.5" customHeight="1" x14ac:dyDescent="0.25">
      <c r="A389" s="311"/>
      <c r="B389" s="311"/>
      <c r="C389" s="311"/>
      <c r="D389" s="311"/>
      <c r="E389" s="311"/>
      <c r="F389" s="311"/>
    </row>
  </sheetData>
  <mergeCells count="320">
    <mergeCell ref="A1:F1"/>
    <mergeCell ref="A2:F2"/>
    <mergeCell ref="A3:F3"/>
    <mergeCell ref="A4:F4"/>
    <mergeCell ref="E370:E371"/>
    <mergeCell ref="F370:F371"/>
    <mergeCell ref="A372:A374"/>
    <mergeCell ref="C372:C374"/>
    <mergeCell ref="B373:B374"/>
    <mergeCell ref="A370:A371"/>
    <mergeCell ref="B370:B371"/>
    <mergeCell ref="C370:C371"/>
    <mergeCell ref="D370:D371"/>
    <mergeCell ref="B365:C365"/>
    <mergeCell ref="E355:E356"/>
    <mergeCell ref="F355:F356"/>
    <mergeCell ref="A357:A359"/>
    <mergeCell ref="C357:C359"/>
    <mergeCell ref="B358:B359"/>
    <mergeCell ref="A360:A361"/>
    <mergeCell ref="B360:B361"/>
    <mergeCell ref="C360:C361"/>
    <mergeCell ref="A355:A356"/>
    <mergeCell ref="B355:B356"/>
    <mergeCell ref="C355:C356"/>
    <mergeCell ref="D355:D356"/>
    <mergeCell ref="A344:A347"/>
    <mergeCell ref="B344:B347"/>
    <mergeCell ref="C344:C347"/>
    <mergeCell ref="B350:C350"/>
    <mergeCell ref="A351:E351"/>
    <mergeCell ref="A327:E327"/>
    <mergeCell ref="E331:E332"/>
    <mergeCell ref="F331:F332"/>
    <mergeCell ref="A333:A335"/>
    <mergeCell ref="C333:C335"/>
    <mergeCell ref="B334:B335"/>
    <mergeCell ref="A336:A343"/>
    <mergeCell ref="B336:B343"/>
    <mergeCell ref="C336:C343"/>
    <mergeCell ref="A331:A332"/>
    <mergeCell ref="B331:B332"/>
    <mergeCell ref="C331:C332"/>
    <mergeCell ref="D331:D332"/>
    <mergeCell ref="A308:E308"/>
    <mergeCell ref="A320:A323"/>
    <mergeCell ref="B320:B323"/>
    <mergeCell ref="C320:C323"/>
    <mergeCell ref="B326:C326"/>
    <mergeCell ref="E312:E313"/>
    <mergeCell ref="F312:F313"/>
    <mergeCell ref="A314:A315"/>
    <mergeCell ref="C314:C315"/>
    <mergeCell ref="A316:A319"/>
    <mergeCell ref="B316:B319"/>
    <mergeCell ref="C316:C319"/>
    <mergeCell ref="A312:A313"/>
    <mergeCell ref="B312:B313"/>
    <mergeCell ref="C312:C313"/>
    <mergeCell ref="D312:D313"/>
    <mergeCell ref="A286:E286"/>
    <mergeCell ref="A303:A304"/>
    <mergeCell ref="B303:B304"/>
    <mergeCell ref="C303:C304"/>
    <mergeCell ref="B307:C307"/>
    <mergeCell ref="E290:E291"/>
    <mergeCell ref="F290:F291"/>
    <mergeCell ref="A292:A294"/>
    <mergeCell ref="C292:C294"/>
    <mergeCell ref="B293:B294"/>
    <mergeCell ref="A295:A302"/>
    <mergeCell ref="B295:B302"/>
    <mergeCell ref="C295:C302"/>
    <mergeCell ref="A290:A291"/>
    <mergeCell ref="B290:B291"/>
    <mergeCell ref="C290:C291"/>
    <mergeCell ref="D290:D291"/>
    <mergeCell ref="A262:E262"/>
    <mergeCell ref="A278:A282"/>
    <mergeCell ref="B278:B282"/>
    <mergeCell ref="C278:C282"/>
    <mergeCell ref="B285:C285"/>
    <mergeCell ref="E266:E267"/>
    <mergeCell ref="F266:F267"/>
    <mergeCell ref="A268:A270"/>
    <mergeCell ref="C268:C270"/>
    <mergeCell ref="B269:B270"/>
    <mergeCell ref="A271:A277"/>
    <mergeCell ref="B271:B277"/>
    <mergeCell ref="C271:C277"/>
    <mergeCell ref="A266:A267"/>
    <mergeCell ref="B266:B267"/>
    <mergeCell ref="C266:C267"/>
    <mergeCell ref="D266:D267"/>
    <mergeCell ref="A250:E250"/>
    <mergeCell ref="E254:E255"/>
    <mergeCell ref="F254:F255"/>
    <mergeCell ref="A256:A257"/>
    <mergeCell ref="C256:C257"/>
    <mergeCell ref="B261:C261"/>
    <mergeCell ref="A254:A255"/>
    <mergeCell ref="B254:B255"/>
    <mergeCell ref="C254:C255"/>
    <mergeCell ref="D254:D255"/>
    <mergeCell ref="A233:E233"/>
    <mergeCell ref="A245:A246"/>
    <mergeCell ref="B245:B246"/>
    <mergeCell ref="C245:C246"/>
    <mergeCell ref="B249:C249"/>
    <mergeCell ref="E237:E238"/>
    <mergeCell ref="F237:F238"/>
    <mergeCell ref="A239:A241"/>
    <mergeCell ref="C239:C241"/>
    <mergeCell ref="B240:B241"/>
    <mergeCell ref="A242:A244"/>
    <mergeCell ref="B242:B243"/>
    <mergeCell ref="C242:C244"/>
    <mergeCell ref="A237:A238"/>
    <mergeCell ref="B237:B238"/>
    <mergeCell ref="C237:C238"/>
    <mergeCell ref="D237:D238"/>
    <mergeCell ref="A218:E218"/>
    <mergeCell ref="B232:C232"/>
    <mergeCell ref="E222:E223"/>
    <mergeCell ref="F222:F223"/>
    <mergeCell ref="A224:A226"/>
    <mergeCell ref="C224:C226"/>
    <mergeCell ref="B225:B226"/>
    <mergeCell ref="A227:A228"/>
    <mergeCell ref="B227:B228"/>
    <mergeCell ref="C227:C228"/>
    <mergeCell ref="A222:A223"/>
    <mergeCell ref="B222:B223"/>
    <mergeCell ref="C222:C223"/>
    <mergeCell ref="D222:D223"/>
    <mergeCell ref="A197:E197"/>
    <mergeCell ref="B217:C217"/>
    <mergeCell ref="E201:E202"/>
    <mergeCell ref="F201:F202"/>
    <mergeCell ref="A204:A210"/>
    <mergeCell ref="B204:B210"/>
    <mergeCell ref="C204:C210"/>
    <mergeCell ref="A211:A214"/>
    <mergeCell ref="B211:B214"/>
    <mergeCell ref="C211:C214"/>
    <mergeCell ref="A201:A202"/>
    <mergeCell ref="B201:B202"/>
    <mergeCell ref="C201:C202"/>
    <mergeCell ref="D201:D202"/>
    <mergeCell ref="A175:E175"/>
    <mergeCell ref="A191:A193"/>
    <mergeCell ref="B191:B193"/>
    <mergeCell ref="C191:C193"/>
    <mergeCell ref="B196:C196"/>
    <mergeCell ref="E179:E180"/>
    <mergeCell ref="F179:F180"/>
    <mergeCell ref="A181:A183"/>
    <mergeCell ref="C181:C183"/>
    <mergeCell ref="B182:B183"/>
    <mergeCell ref="A184:A190"/>
    <mergeCell ref="B184:B190"/>
    <mergeCell ref="C184:C190"/>
    <mergeCell ref="A179:A180"/>
    <mergeCell ref="B179:B180"/>
    <mergeCell ref="C179:C180"/>
    <mergeCell ref="D179:D180"/>
    <mergeCell ref="A160:E160"/>
    <mergeCell ref="B174:C174"/>
    <mergeCell ref="E164:E165"/>
    <mergeCell ref="F164:F165"/>
    <mergeCell ref="A166:A168"/>
    <mergeCell ref="C166:C168"/>
    <mergeCell ref="B167:B168"/>
    <mergeCell ref="A169:A170"/>
    <mergeCell ref="B169:B170"/>
    <mergeCell ref="C169:C170"/>
    <mergeCell ref="A164:A165"/>
    <mergeCell ref="B164:B165"/>
    <mergeCell ref="C164:C165"/>
    <mergeCell ref="D164:D165"/>
    <mergeCell ref="A140:E140"/>
    <mergeCell ref="A155:A156"/>
    <mergeCell ref="B155:B156"/>
    <mergeCell ref="C155:C156"/>
    <mergeCell ref="B159:C159"/>
    <mergeCell ref="E144:E145"/>
    <mergeCell ref="F144:F145"/>
    <mergeCell ref="A146:A147"/>
    <mergeCell ref="C146:C147"/>
    <mergeCell ref="A148:A154"/>
    <mergeCell ref="B148:B154"/>
    <mergeCell ref="C148:C154"/>
    <mergeCell ref="A144:A145"/>
    <mergeCell ref="B144:B145"/>
    <mergeCell ref="C144:C145"/>
    <mergeCell ref="D144:D145"/>
    <mergeCell ref="A127:E127"/>
    <mergeCell ref="E131:E132"/>
    <mergeCell ref="F131:F132"/>
    <mergeCell ref="A133:A135"/>
    <mergeCell ref="C133:C135"/>
    <mergeCell ref="B134:B135"/>
    <mergeCell ref="B139:C139"/>
    <mergeCell ref="A131:A132"/>
    <mergeCell ref="B131:B132"/>
    <mergeCell ref="C131:C132"/>
    <mergeCell ref="D131:D132"/>
    <mergeCell ref="A109:E109"/>
    <mergeCell ref="A122:A123"/>
    <mergeCell ref="B122:B123"/>
    <mergeCell ref="C122:C123"/>
    <mergeCell ref="B126:C126"/>
    <mergeCell ref="E113:E114"/>
    <mergeCell ref="F113:F114"/>
    <mergeCell ref="A115:A116"/>
    <mergeCell ref="C115:C117"/>
    <mergeCell ref="B116:B117"/>
    <mergeCell ref="A118:A121"/>
    <mergeCell ref="B118:B121"/>
    <mergeCell ref="C118:C121"/>
    <mergeCell ref="A113:A114"/>
    <mergeCell ref="B113:B114"/>
    <mergeCell ref="C113:C114"/>
    <mergeCell ref="D113:D114"/>
    <mergeCell ref="A92:E92"/>
    <mergeCell ref="A104:A105"/>
    <mergeCell ref="B104:B105"/>
    <mergeCell ref="C104:C105"/>
    <mergeCell ref="B108:C108"/>
    <mergeCell ref="E96:E97"/>
    <mergeCell ref="F96:F97"/>
    <mergeCell ref="A98:A100"/>
    <mergeCell ref="C98:C100"/>
    <mergeCell ref="B99:B100"/>
    <mergeCell ref="A101:A103"/>
    <mergeCell ref="B101:B102"/>
    <mergeCell ref="C101:C103"/>
    <mergeCell ref="A96:A97"/>
    <mergeCell ref="B96:B97"/>
    <mergeCell ref="C96:C97"/>
    <mergeCell ref="D96:D97"/>
    <mergeCell ref="F83:F84"/>
    <mergeCell ref="A85:A87"/>
    <mergeCell ref="C85:C87"/>
    <mergeCell ref="B86:B87"/>
    <mergeCell ref="B91:C91"/>
    <mergeCell ref="A72:A75"/>
    <mergeCell ref="B72:B75"/>
    <mergeCell ref="C72:C75"/>
    <mergeCell ref="B78:C78"/>
    <mergeCell ref="A83:A84"/>
    <mergeCell ref="B83:B84"/>
    <mergeCell ref="C83:C84"/>
    <mergeCell ref="D83:D84"/>
    <mergeCell ref="E83:E84"/>
    <mergeCell ref="E59:E60"/>
    <mergeCell ref="F59:F60"/>
    <mergeCell ref="C61:C63"/>
    <mergeCell ref="B62:B63"/>
    <mergeCell ref="A64:A71"/>
    <mergeCell ref="B64:B71"/>
    <mergeCell ref="C64:C71"/>
    <mergeCell ref="A59:A60"/>
    <mergeCell ref="B59:B60"/>
    <mergeCell ref="C59:C60"/>
    <mergeCell ref="D59:D60"/>
    <mergeCell ref="D21:D22"/>
    <mergeCell ref="B54:C54"/>
    <mergeCell ref="F45:F46"/>
    <mergeCell ref="A47:A48"/>
    <mergeCell ref="C47:C48"/>
    <mergeCell ref="A49:A50"/>
    <mergeCell ref="B49:B50"/>
    <mergeCell ref="C49:C50"/>
    <mergeCell ref="A33:A37"/>
    <mergeCell ref="B33:B37"/>
    <mergeCell ref="C33:C37"/>
    <mergeCell ref="B40:C40"/>
    <mergeCell ref="A45:A46"/>
    <mergeCell ref="B45:B46"/>
    <mergeCell ref="C45:C46"/>
    <mergeCell ref="D45:D46"/>
    <mergeCell ref="E45:E46"/>
    <mergeCell ref="A6:F6"/>
    <mergeCell ref="A7:B7"/>
    <mergeCell ref="C7:F7"/>
    <mergeCell ref="A9:B9"/>
    <mergeCell ref="C11:D11"/>
    <mergeCell ref="A61:A63"/>
    <mergeCell ref="A41:E41"/>
    <mergeCell ref="A55:E55"/>
    <mergeCell ref="A79:E79"/>
    <mergeCell ref="E21:E22"/>
    <mergeCell ref="F21:F22"/>
    <mergeCell ref="A23:A25"/>
    <mergeCell ref="C23:C25"/>
    <mergeCell ref="B24:B25"/>
    <mergeCell ref="A26:A32"/>
    <mergeCell ref="B26:B32"/>
    <mergeCell ref="C26:C32"/>
    <mergeCell ref="A13:B13"/>
    <mergeCell ref="C13:D13"/>
    <mergeCell ref="A15:B15"/>
    <mergeCell ref="B17:C17"/>
    <mergeCell ref="A21:A22"/>
    <mergeCell ref="B21:B22"/>
    <mergeCell ref="C21:C22"/>
    <mergeCell ref="A387:F387"/>
    <mergeCell ref="A388:F388"/>
    <mergeCell ref="A389:F389"/>
    <mergeCell ref="A366:E366"/>
    <mergeCell ref="A379:E379"/>
    <mergeCell ref="A380:E380"/>
    <mergeCell ref="A381:E381"/>
    <mergeCell ref="A382:E382"/>
    <mergeCell ref="A383:E383"/>
    <mergeCell ref="A384:E384"/>
    <mergeCell ref="A385:F385"/>
    <mergeCell ref="A386:F386"/>
    <mergeCell ref="B378:C378"/>
  </mergeCells>
  <dataValidations count="5">
    <dataValidation type="list" allowBlank="1" showInputMessage="1" showErrorMessage="1" sqref="B17:C17">
      <formula1>"Preescolar,Primaria:Primero, Segundo y Tercero,Primaria:Cuarto y Quinto,Secundaria,Media y Nivel Complementario"</formula1>
    </dataValidation>
    <dataValidation type="list" allowBlank="1" showInputMessage="1" showErrorMessage="1" sqref="C9">
      <formula1>"Si,No"</formula1>
    </dataValidation>
    <dataValidation type="list" allowBlank="1" showInputMessage="1" showErrorMessage="1" sqref="C13:D13">
      <formula1>"Ración para Preparar en Sitio,Comida Caliente Transportada,Ración Industrializada"</formula1>
    </dataValidation>
    <dataValidation type="list" allowBlank="1" showInputMessage="1" showErrorMessage="1" sqref="C15">
      <formula1>"Complemento JM/JT,Almuerzo"</formula1>
    </dataValidation>
    <dataValidation type="list" allowBlank="1" showInputMessage="1" showErrorMessage="1" sqref="C11">
      <formula1>"Indígena,Afrocolombiano,Palenquero,Raizal,Rrom,Sin Pertenencia Étnica"</formula1>
    </dataValidation>
  </dataValidations>
  <pageMargins left="0.70866141732283472" right="0.70866141732283472" top="0.74803149606299213" bottom="0.74803149606299213" header="0.31496062992125984" footer="0.31496062992125984"/>
  <pageSetup paperSize="10000" scale="49" fitToHeight="0" orientation="landscape" r:id="rId1"/>
  <rowBreaks count="11" manualBreakCount="11">
    <brk id="56" max="5" man="1"/>
    <brk id="114" max="5" man="1"/>
    <brk id="128" max="5" man="1"/>
    <brk id="175" max="5" man="1"/>
    <brk id="197" max="5" man="1"/>
    <brk id="219" max="5" man="1"/>
    <brk id="263" max="5" man="1"/>
    <brk id="291" max="5" man="1"/>
    <brk id="309" max="5" man="1"/>
    <brk id="328" max="5" man="1"/>
    <brk id="352" max="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view="pageBreakPreview" topLeftCell="A105" zoomScaleNormal="84" zoomScaleSheetLayoutView="100" zoomScalePageLayoutView="77" workbookViewId="0">
      <selection activeCell="A117" sqref="A117:F117"/>
    </sheetView>
  </sheetViews>
  <sheetFormatPr baseColWidth="10" defaultColWidth="11.42578125" defaultRowHeight="14.25" x14ac:dyDescent="0.2"/>
  <cols>
    <col min="1" max="1" width="21" style="191" customWidth="1"/>
    <col min="2" max="2" width="36" style="191" customWidth="1"/>
    <col min="3" max="3" width="24.140625" style="191" customWidth="1"/>
    <col min="4" max="4" width="23.28515625" style="191" customWidth="1"/>
    <col min="5" max="6" width="13.28515625" style="191" customWidth="1"/>
    <col min="7" max="16384" width="11.42578125" style="1"/>
  </cols>
  <sheetData>
    <row r="1" spans="1:6" ht="15.75" customHeight="1" x14ac:dyDescent="0.25">
      <c r="A1" s="311" t="s">
        <v>0</v>
      </c>
      <c r="B1" s="311"/>
      <c r="C1" s="311"/>
      <c r="D1" s="311"/>
      <c r="E1" s="311"/>
      <c r="F1" s="311"/>
    </row>
    <row r="2" spans="1:6" ht="15.75" customHeight="1" x14ac:dyDescent="0.25">
      <c r="A2" s="311" t="s">
        <v>307</v>
      </c>
      <c r="B2" s="311"/>
      <c r="C2" s="311"/>
      <c r="D2" s="311"/>
      <c r="E2" s="311"/>
      <c r="F2" s="311"/>
    </row>
    <row r="3" spans="1:6" ht="15.75" customHeight="1" x14ac:dyDescent="0.25">
      <c r="A3" s="311" t="s">
        <v>273</v>
      </c>
      <c r="B3" s="311"/>
      <c r="C3" s="311"/>
      <c r="D3" s="311"/>
      <c r="E3" s="311"/>
      <c r="F3" s="311"/>
    </row>
    <row r="4" spans="1:6" ht="15.75" customHeight="1" x14ac:dyDescent="0.25">
      <c r="A4" s="311" t="s">
        <v>346</v>
      </c>
      <c r="B4" s="311"/>
      <c r="C4" s="311"/>
      <c r="D4" s="311"/>
      <c r="E4" s="311"/>
      <c r="F4" s="311"/>
    </row>
    <row r="5" spans="1:6" s="190" customFormat="1" ht="19.5" customHeight="1" x14ac:dyDescent="0.25">
      <c r="A5" s="354"/>
      <c r="B5" s="354"/>
      <c r="C5" s="354"/>
      <c r="D5" s="354"/>
      <c r="E5" s="354"/>
      <c r="F5" s="354"/>
    </row>
    <row r="6" spans="1:6" s="4" customFormat="1" ht="20.25" customHeight="1" x14ac:dyDescent="0.25">
      <c r="A6" s="313" t="s">
        <v>461</v>
      </c>
      <c r="B6" s="313"/>
      <c r="C6" s="313"/>
      <c r="D6" s="313"/>
      <c r="E6" s="313"/>
      <c r="F6" s="313"/>
    </row>
    <row r="7" spans="1:6" s="4" customFormat="1" ht="19.5" customHeight="1" x14ac:dyDescent="0.25">
      <c r="A7" s="351" t="s">
        <v>17</v>
      </c>
      <c r="B7" s="351"/>
      <c r="C7" s="321" t="s">
        <v>328</v>
      </c>
      <c r="D7" s="321"/>
      <c r="E7" s="321"/>
      <c r="F7" s="321"/>
    </row>
    <row r="8" spans="1:6" s="4" customFormat="1" ht="19.5" customHeight="1" x14ac:dyDescent="0.25">
      <c r="A8" s="160"/>
      <c r="B8" s="160"/>
      <c r="C8" s="161"/>
      <c r="D8" s="161"/>
      <c r="E8" s="161"/>
      <c r="F8" s="161"/>
    </row>
    <row r="9" spans="1:6" s="4" customFormat="1" ht="19.5" customHeight="1" x14ac:dyDescent="0.25">
      <c r="A9" s="351" t="s">
        <v>18</v>
      </c>
      <c r="B9" s="351"/>
      <c r="C9" s="201" t="s">
        <v>19</v>
      </c>
      <c r="D9" s="161"/>
      <c r="E9" s="161"/>
      <c r="F9" s="161"/>
    </row>
    <row r="10" spans="1:6" s="4" customFormat="1" ht="19.5" customHeight="1" x14ac:dyDescent="0.25">
      <c r="A10" s="160"/>
      <c r="B10" s="162"/>
      <c r="C10" s="162"/>
      <c r="D10" s="162"/>
      <c r="E10" s="162"/>
      <c r="F10" s="162"/>
    </row>
    <row r="11" spans="1:6" s="4" customFormat="1" ht="19.5" customHeight="1" x14ac:dyDescent="0.25">
      <c r="A11" s="205" t="s">
        <v>20</v>
      </c>
      <c r="B11" s="205"/>
      <c r="C11" s="321"/>
      <c r="D11" s="321"/>
      <c r="E11" s="163"/>
      <c r="F11" s="165"/>
    </row>
    <row r="12" spans="1:6" s="4" customFormat="1" ht="19.5" customHeight="1" x14ac:dyDescent="0.25">
      <c r="A12" s="160"/>
      <c r="B12" s="162"/>
      <c r="C12" s="162"/>
      <c r="D12" s="162"/>
      <c r="E12" s="162"/>
      <c r="F12" s="162"/>
    </row>
    <row r="13" spans="1:6" s="4" customFormat="1" ht="19.5" customHeight="1" x14ac:dyDescent="0.25">
      <c r="A13" s="351" t="s">
        <v>21</v>
      </c>
      <c r="B13" s="351"/>
      <c r="C13" s="352" t="s">
        <v>380</v>
      </c>
      <c r="D13" s="352"/>
      <c r="E13" s="162"/>
      <c r="F13" s="162"/>
    </row>
    <row r="14" spans="1:6" s="4" customFormat="1" ht="19.5" customHeight="1" x14ac:dyDescent="0.25">
      <c r="A14" s="160"/>
      <c r="B14" s="162"/>
      <c r="C14" s="162"/>
      <c r="D14" s="162"/>
      <c r="E14" s="162"/>
      <c r="F14" s="162"/>
    </row>
    <row r="15" spans="1:6" s="4" customFormat="1" ht="19.5" customHeight="1" x14ac:dyDescent="0.25">
      <c r="A15" s="348" t="s">
        <v>23</v>
      </c>
      <c r="B15" s="348"/>
      <c r="C15" s="164" t="s">
        <v>24</v>
      </c>
      <c r="D15" s="165"/>
      <c r="E15" s="165"/>
      <c r="F15" s="165"/>
    </row>
    <row r="16" spans="1:6" s="4" customFormat="1" ht="19.5" customHeight="1" x14ac:dyDescent="0.25">
      <c r="A16" s="160"/>
      <c r="B16" s="162"/>
      <c r="C16" s="162"/>
      <c r="D16" s="162"/>
      <c r="E16" s="162"/>
      <c r="F16" s="162"/>
    </row>
    <row r="17" spans="1:6" s="4" customFormat="1" ht="19.5" customHeight="1" x14ac:dyDescent="0.25">
      <c r="A17" s="204" t="s">
        <v>25</v>
      </c>
      <c r="B17" s="350" t="s">
        <v>26</v>
      </c>
      <c r="C17" s="350"/>
      <c r="D17" s="162"/>
      <c r="E17" s="162"/>
      <c r="F17" s="162"/>
    </row>
    <row r="18" spans="1:6" s="4" customFormat="1" ht="19.5" customHeight="1" x14ac:dyDescent="0.25">
      <c r="A18" s="160"/>
      <c r="B18" s="162"/>
      <c r="C18" s="162"/>
      <c r="D18" s="162"/>
      <c r="E18" s="162"/>
      <c r="F18" s="162"/>
    </row>
    <row r="19" spans="1:6" s="4" customFormat="1" ht="19.5" customHeight="1" x14ac:dyDescent="0.25">
      <c r="A19" s="166" t="s">
        <v>27</v>
      </c>
      <c r="B19" s="201">
        <v>1</v>
      </c>
      <c r="C19" s="167"/>
      <c r="D19" s="167"/>
      <c r="E19" s="167"/>
      <c r="F19" s="167"/>
    </row>
    <row r="20" spans="1:6" s="4" customFormat="1" ht="19.5" customHeight="1" x14ac:dyDescent="0.25">
      <c r="A20" s="167"/>
      <c r="B20" s="161"/>
      <c r="C20" s="167"/>
      <c r="D20" s="167"/>
      <c r="E20" s="167"/>
      <c r="F20" s="167"/>
    </row>
    <row r="21" spans="1:6" s="190" customFormat="1" ht="12.75" customHeight="1" x14ac:dyDescent="0.25">
      <c r="A21" s="321" t="s">
        <v>28</v>
      </c>
      <c r="B21" s="321" t="s">
        <v>29</v>
      </c>
      <c r="C21" s="321" t="s">
        <v>30</v>
      </c>
      <c r="D21" s="321" t="s">
        <v>31</v>
      </c>
      <c r="E21" s="321" t="s">
        <v>32</v>
      </c>
      <c r="F21" s="322" t="s">
        <v>33</v>
      </c>
    </row>
    <row r="22" spans="1:6" ht="33.75" customHeight="1" x14ac:dyDescent="0.2">
      <c r="A22" s="321"/>
      <c r="B22" s="321"/>
      <c r="C22" s="321"/>
      <c r="D22" s="321"/>
      <c r="E22" s="321"/>
      <c r="F22" s="349"/>
    </row>
    <row r="23" spans="1:6" ht="62.25" customHeight="1" x14ac:dyDescent="0.2">
      <c r="A23" s="195" t="s">
        <v>381</v>
      </c>
      <c r="B23" s="195" t="s">
        <v>35</v>
      </c>
      <c r="C23" s="196" t="s">
        <v>382</v>
      </c>
      <c r="D23" s="203" t="s">
        <v>387</v>
      </c>
      <c r="E23" s="203">
        <v>200</v>
      </c>
      <c r="F23" s="214">
        <v>1206</v>
      </c>
    </row>
    <row r="24" spans="1:6" ht="31.5" customHeight="1" x14ac:dyDescent="0.2">
      <c r="A24" s="202" t="s">
        <v>40</v>
      </c>
      <c r="B24" s="195" t="s">
        <v>41</v>
      </c>
      <c r="C24" s="196" t="s">
        <v>383</v>
      </c>
      <c r="D24" s="203" t="s">
        <v>405</v>
      </c>
      <c r="E24" s="203">
        <v>30</v>
      </c>
      <c r="F24" s="214">
        <v>380.1</v>
      </c>
    </row>
    <row r="25" spans="1:6" ht="30.75" customHeight="1" x14ac:dyDescent="0.2">
      <c r="A25" s="202" t="s">
        <v>44</v>
      </c>
      <c r="B25" s="195" t="s">
        <v>390</v>
      </c>
      <c r="C25" s="251" t="s">
        <v>464</v>
      </c>
      <c r="D25" s="206" t="s">
        <v>463</v>
      </c>
      <c r="E25" s="206">
        <v>118</v>
      </c>
      <c r="F25" s="272">
        <v>1675.6</v>
      </c>
    </row>
    <row r="26" spans="1:6" ht="19.5" customHeight="1" x14ac:dyDescent="0.2">
      <c r="A26" s="334" t="s">
        <v>331</v>
      </c>
      <c r="B26" s="335"/>
      <c r="C26" s="335"/>
      <c r="D26" s="335"/>
      <c r="E26" s="336"/>
      <c r="F26" s="213">
        <v>3261.7</v>
      </c>
    </row>
    <row r="27" spans="1:6" ht="19.5" customHeight="1" x14ac:dyDescent="0.25">
      <c r="A27" s="209"/>
      <c r="B27" s="209"/>
      <c r="C27" s="209"/>
      <c r="D27" s="209"/>
      <c r="E27" s="209"/>
      <c r="F27" s="209"/>
    </row>
    <row r="28" spans="1:6" ht="19.5" customHeight="1" x14ac:dyDescent="0.2">
      <c r="A28" s="166" t="s">
        <v>27</v>
      </c>
      <c r="B28" s="201">
        <v>2</v>
      </c>
      <c r="C28" s="167"/>
      <c r="D28" s="167"/>
      <c r="E28" s="167"/>
      <c r="F28" s="167"/>
    </row>
    <row r="29" spans="1:6" ht="19.5" customHeight="1" x14ac:dyDescent="0.2">
      <c r="A29" s="167"/>
      <c r="B29" s="161"/>
      <c r="C29" s="167"/>
      <c r="D29" s="167"/>
      <c r="E29" s="167"/>
      <c r="F29" s="167"/>
    </row>
    <row r="30" spans="1:6" ht="12.75" customHeight="1" x14ac:dyDescent="0.2">
      <c r="A30" s="313" t="s">
        <v>28</v>
      </c>
      <c r="B30" s="321" t="s">
        <v>29</v>
      </c>
      <c r="C30" s="313" t="s">
        <v>56</v>
      </c>
      <c r="D30" s="313" t="s">
        <v>31</v>
      </c>
      <c r="E30" s="313" t="s">
        <v>32</v>
      </c>
      <c r="F30" s="314" t="s">
        <v>33</v>
      </c>
    </row>
    <row r="31" spans="1:6" ht="35.25" customHeight="1" x14ac:dyDescent="0.2">
      <c r="A31" s="313"/>
      <c r="B31" s="321"/>
      <c r="C31" s="313"/>
      <c r="D31" s="313"/>
      <c r="E31" s="313"/>
      <c r="F31" s="315"/>
    </row>
    <row r="32" spans="1:6" ht="60.75" customHeight="1" x14ac:dyDescent="0.2">
      <c r="A32" s="195" t="s">
        <v>381</v>
      </c>
      <c r="B32" s="195" t="s">
        <v>35</v>
      </c>
      <c r="C32" s="196" t="s">
        <v>391</v>
      </c>
      <c r="D32" s="203" t="s">
        <v>110</v>
      </c>
      <c r="E32" s="203">
        <v>200</v>
      </c>
      <c r="F32" s="214">
        <v>1414</v>
      </c>
    </row>
    <row r="33" spans="1:6" ht="33.75" customHeight="1" x14ac:dyDescent="0.2">
      <c r="A33" s="202" t="s">
        <v>40</v>
      </c>
      <c r="B33" s="195" t="s">
        <v>41</v>
      </c>
      <c r="C33" s="206" t="s">
        <v>386</v>
      </c>
      <c r="D33" s="206" t="s">
        <v>450</v>
      </c>
      <c r="E33" s="206">
        <v>40</v>
      </c>
      <c r="F33" s="272">
        <v>897.6</v>
      </c>
    </row>
    <row r="34" spans="1:6" ht="51" customHeight="1" x14ac:dyDescent="0.2">
      <c r="A34" s="202" t="s">
        <v>384</v>
      </c>
      <c r="B34" s="202" t="s">
        <v>47</v>
      </c>
      <c r="C34" s="203" t="s">
        <v>385</v>
      </c>
      <c r="D34" s="203" t="s">
        <v>425</v>
      </c>
      <c r="E34" s="203">
        <v>20</v>
      </c>
      <c r="F34" s="214">
        <v>406.59999999999997</v>
      </c>
    </row>
    <row r="35" spans="1:6" s="223" customFormat="1" ht="19.5" customHeight="1" x14ac:dyDescent="0.25">
      <c r="A35" s="334" t="s">
        <v>331</v>
      </c>
      <c r="B35" s="335"/>
      <c r="C35" s="335"/>
      <c r="D35" s="335"/>
      <c r="E35" s="336"/>
      <c r="F35" s="213">
        <v>2718.2</v>
      </c>
    </row>
    <row r="36" spans="1:6" s="2" customFormat="1" ht="19.5" customHeight="1" x14ac:dyDescent="0.25">
      <c r="A36" s="160"/>
      <c r="B36" s="162"/>
      <c r="C36" s="162"/>
      <c r="D36" s="162"/>
      <c r="E36" s="162"/>
      <c r="F36" s="162"/>
    </row>
    <row r="37" spans="1:6" s="2" customFormat="1" ht="19.5" customHeight="1" x14ac:dyDescent="0.25">
      <c r="A37" s="166" t="s">
        <v>27</v>
      </c>
      <c r="B37" s="201">
        <v>3</v>
      </c>
      <c r="C37" s="167"/>
      <c r="D37" s="167"/>
      <c r="E37" s="167"/>
      <c r="F37" s="167"/>
    </row>
    <row r="38" spans="1:6" s="2" customFormat="1" ht="19.5" customHeight="1" x14ac:dyDescent="0.25">
      <c r="A38" s="167"/>
      <c r="B38" s="161"/>
      <c r="C38" s="167"/>
      <c r="D38" s="167"/>
      <c r="E38" s="167"/>
      <c r="F38" s="167"/>
    </row>
    <row r="39" spans="1:6" ht="12.75" customHeight="1" x14ac:dyDescent="0.2">
      <c r="A39" s="313" t="s">
        <v>28</v>
      </c>
      <c r="B39" s="321" t="s">
        <v>29</v>
      </c>
      <c r="C39" s="313" t="s">
        <v>56</v>
      </c>
      <c r="D39" s="313" t="s">
        <v>31</v>
      </c>
      <c r="E39" s="313" t="s">
        <v>32</v>
      </c>
      <c r="F39" s="314" t="s">
        <v>33</v>
      </c>
    </row>
    <row r="40" spans="1:6" ht="32.25" customHeight="1" x14ac:dyDescent="0.2">
      <c r="A40" s="313"/>
      <c r="B40" s="321"/>
      <c r="C40" s="313"/>
      <c r="D40" s="313"/>
      <c r="E40" s="313"/>
      <c r="F40" s="315"/>
    </row>
    <row r="41" spans="1:6" ht="46.5" customHeight="1" x14ac:dyDescent="0.2">
      <c r="A41" s="195" t="s">
        <v>381</v>
      </c>
      <c r="B41" s="195" t="s">
        <v>35</v>
      </c>
      <c r="C41" s="196" t="s">
        <v>388</v>
      </c>
      <c r="D41" s="203" t="s">
        <v>109</v>
      </c>
      <c r="E41" s="203">
        <v>200</v>
      </c>
      <c r="F41" s="214">
        <v>1134</v>
      </c>
    </row>
    <row r="42" spans="1:6" ht="41.25" customHeight="1" x14ac:dyDescent="0.2">
      <c r="A42" s="202" t="s">
        <v>40</v>
      </c>
      <c r="B42" s="195" t="s">
        <v>41</v>
      </c>
      <c r="C42" s="196" t="s">
        <v>389</v>
      </c>
      <c r="D42" s="203" t="s">
        <v>419</v>
      </c>
      <c r="E42" s="203">
        <v>30</v>
      </c>
      <c r="F42" s="214">
        <v>594.9</v>
      </c>
    </row>
    <row r="43" spans="1:6" ht="32.25" customHeight="1" x14ac:dyDescent="0.2">
      <c r="A43" s="202" t="s">
        <v>44</v>
      </c>
      <c r="B43" s="195" t="s">
        <v>45</v>
      </c>
      <c r="C43" s="196" t="s">
        <v>82</v>
      </c>
      <c r="D43" s="206" t="s">
        <v>83</v>
      </c>
      <c r="E43" s="203">
        <v>143</v>
      </c>
      <c r="F43" s="214">
        <v>333.19</v>
      </c>
    </row>
    <row r="44" spans="1:6" s="223" customFormat="1" ht="19.5" customHeight="1" x14ac:dyDescent="0.25">
      <c r="A44" s="334" t="s">
        <v>331</v>
      </c>
      <c r="B44" s="335"/>
      <c r="C44" s="335"/>
      <c r="D44" s="335"/>
      <c r="E44" s="336"/>
      <c r="F44" s="213">
        <v>2062.09</v>
      </c>
    </row>
    <row r="45" spans="1:6" ht="19.5" customHeight="1" x14ac:dyDescent="0.25">
      <c r="A45" s="209"/>
      <c r="B45" s="209"/>
      <c r="C45" s="209"/>
      <c r="D45" s="209"/>
      <c r="E45" s="209"/>
      <c r="F45" s="209"/>
    </row>
    <row r="46" spans="1:6" ht="19.5" customHeight="1" x14ac:dyDescent="0.2">
      <c r="A46" s="166" t="s">
        <v>27</v>
      </c>
      <c r="B46" s="201">
        <v>4</v>
      </c>
      <c r="C46" s="167"/>
      <c r="D46" s="167"/>
      <c r="E46" s="167"/>
      <c r="F46" s="167"/>
    </row>
    <row r="47" spans="1:6" ht="19.5" customHeight="1" x14ac:dyDescent="0.2">
      <c r="A47" s="160"/>
      <c r="B47" s="162"/>
      <c r="C47" s="162"/>
      <c r="D47" s="162"/>
      <c r="E47" s="162"/>
      <c r="F47" s="162"/>
    </row>
    <row r="48" spans="1:6" ht="12.75" customHeight="1" x14ac:dyDescent="0.2">
      <c r="A48" s="313" t="s">
        <v>28</v>
      </c>
      <c r="B48" s="321" t="s">
        <v>29</v>
      </c>
      <c r="C48" s="313" t="s">
        <v>56</v>
      </c>
      <c r="D48" s="313" t="s">
        <v>31</v>
      </c>
      <c r="E48" s="313" t="s">
        <v>32</v>
      </c>
      <c r="F48" s="314" t="s">
        <v>33</v>
      </c>
    </row>
    <row r="49" spans="1:6" ht="36.75" customHeight="1" x14ac:dyDescent="0.2">
      <c r="A49" s="313"/>
      <c r="B49" s="322"/>
      <c r="C49" s="313"/>
      <c r="D49" s="313"/>
      <c r="E49" s="313"/>
      <c r="F49" s="315"/>
    </row>
    <row r="50" spans="1:6" ht="66" customHeight="1" x14ac:dyDescent="0.2">
      <c r="A50" s="195" t="s">
        <v>381</v>
      </c>
      <c r="B50" s="195" t="s">
        <v>35</v>
      </c>
      <c r="C50" s="196" t="s">
        <v>391</v>
      </c>
      <c r="D50" s="203" t="s">
        <v>110</v>
      </c>
      <c r="E50" s="203">
        <v>200</v>
      </c>
      <c r="F50" s="214">
        <v>1414</v>
      </c>
    </row>
    <row r="51" spans="1:6" ht="36" customHeight="1" x14ac:dyDescent="0.2">
      <c r="A51" s="202" t="s">
        <v>40</v>
      </c>
      <c r="B51" s="195" t="s">
        <v>41</v>
      </c>
      <c r="C51" s="251" t="s">
        <v>392</v>
      </c>
      <c r="D51" s="206" t="s">
        <v>454</v>
      </c>
      <c r="E51" s="206">
        <v>40</v>
      </c>
      <c r="F51" s="272">
        <v>696.80000000000007</v>
      </c>
    </row>
    <row r="52" spans="1:6" ht="47.25" customHeight="1" x14ac:dyDescent="0.2">
      <c r="A52" s="202" t="s">
        <v>384</v>
      </c>
      <c r="B52" s="202" t="s">
        <v>47</v>
      </c>
      <c r="C52" s="203" t="s">
        <v>393</v>
      </c>
      <c r="D52" s="203" t="s">
        <v>422</v>
      </c>
      <c r="E52" s="203">
        <v>20</v>
      </c>
      <c r="F52" s="214">
        <v>479.6</v>
      </c>
    </row>
    <row r="53" spans="1:6" s="223" customFormat="1" ht="19.5" customHeight="1" x14ac:dyDescent="0.25">
      <c r="A53" s="334" t="s">
        <v>331</v>
      </c>
      <c r="B53" s="335"/>
      <c r="C53" s="335"/>
      <c r="D53" s="335"/>
      <c r="E53" s="336"/>
      <c r="F53" s="213">
        <v>2590.4</v>
      </c>
    </row>
    <row r="54" spans="1:6" s="2" customFormat="1" ht="19.5" customHeight="1" x14ac:dyDescent="0.25">
      <c r="A54" s="160"/>
      <c r="B54" s="162"/>
      <c r="C54" s="162"/>
      <c r="D54" s="162"/>
      <c r="E54" s="162"/>
      <c r="F54" s="162"/>
    </row>
    <row r="55" spans="1:6" ht="19.5" customHeight="1" x14ac:dyDescent="0.2">
      <c r="A55" s="166" t="s">
        <v>27</v>
      </c>
      <c r="B55" s="201">
        <v>5</v>
      </c>
      <c r="C55" s="211"/>
      <c r="D55" s="167"/>
      <c r="E55" s="167"/>
      <c r="F55" s="167"/>
    </row>
    <row r="56" spans="1:6" ht="19.5" customHeight="1" x14ac:dyDescent="0.2">
      <c r="A56" s="167"/>
      <c r="B56" s="161"/>
      <c r="C56" s="167"/>
      <c r="D56" s="167"/>
      <c r="E56" s="167"/>
      <c r="F56" s="167"/>
    </row>
    <row r="57" spans="1:6" ht="12.75" customHeight="1" x14ac:dyDescent="0.2">
      <c r="A57" s="313" t="s">
        <v>28</v>
      </c>
      <c r="B57" s="321" t="s">
        <v>29</v>
      </c>
      <c r="C57" s="313" t="s">
        <v>56</v>
      </c>
      <c r="D57" s="313" t="s">
        <v>31</v>
      </c>
      <c r="E57" s="313" t="s">
        <v>32</v>
      </c>
      <c r="F57" s="314" t="s">
        <v>33</v>
      </c>
    </row>
    <row r="58" spans="1:6" ht="34.5" customHeight="1" x14ac:dyDescent="0.2">
      <c r="A58" s="313"/>
      <c r="B58" s="322"/>
      <c r="C58" s="313"/>
      <c r="D58" s="313"/>
      <c r="E58" s="313"/>
      <c r="F58" s="315"/>
    </row>
    <row r="59" spans="1:6" ht="61.5" customHeight="1" x14ac:dyDescent="0.2">
      <c r="A59" s="195" t="s">
        <v>381</v>
      </c>
      <c r="B59" s="195" t="s">
        <v>35</v>
      </c>
      <c r="C59" s="196" t="s">
        <v>382</v>
      </c>
      <c r="D59" s="203" t="s">
        <v>387</v>
      </c>
      <c r="E59" s="203">
        <v>200</v>
      </c>
      <c r="F59" s="214">
        <v>1206</v>
      </c>
    </row>
    <row r="60" spans="1:6" ht="32.25" customHeight="1" x14ac:dyDescent="0.2">
      <c r="A60" s="202" t="s">
        <v>40</v>
      </c>
      <c r="B60" s="195" t="s">
        <v>41</v>
      </c>
      <c r="C60" s="251" t="s">
        <v>428</v>
      </c>
      <c r="D60" s="206" t="s">
        <v>448</v>
      </c>
      <c r="E60" s="206">
        <v>40</v>
      </c>
      <c r="F60" s="214">
        <v>680</v>
      </c>
    </row>
    <row r="61" spans="1:6" ht="30" customHeight="1" x14ac:dyDescent="0.2">
      <c r="A61" s="202" t="s">
        <v>44</v>
      </c>
      <c r="B61" s="195" t="s">
        <v>390</v>
      </c>
      <c r="C61" s="196" t="s">
        <v>15</v>
      </c>
      <c r="D61" s="206" t="s">
        <v>111</v>
      </c>
      <c r="E61" s="203">
        <v>118</v>
      </c>
      <c r="F61" s="214">
        <v>1517.48</v>
      </c>
    </row>
    <row r="62" spans="1:6" s="223" customFormat="1" ht="20.100000000000001" customHeight="1" x14ac:dyDescent="0.25">
      <c r="A62" s="334" t="s">
        <v>331</v>
      </c>
      <c r="B62" s="335"/>
      <c r="C62" s="335"/>
      <c r="D62" s="335"/>
      <c r="E62" s="336"/>
      <c r="F62" s="213">
        <v>3403.48</v>
      </c>
    </row>
    <row r="63" spans="1:6" s="2" customFormat="1" ht="19.5" customHeight="1" x14ac:dyDescent="0.25">
      <c r="A63" s="160"/>
      <c r="B63" s="162"/>
      <c r="C63" s="162"/>
      <c r="D63" s="162"/>
      <c r="E63" s="162"/>
      <c r="F63" s="162"/>
    </row>
    <row r="64" spans="1:6" ht="19.5" customHeight="1" x14ac:dyDescent="0.2">
      <c r="A64" s="166" t="s">
        <v>27</v>
      </c>
      <c r="B64" s="201">
        <v>6</v>
      </c>
      <c r="C64" s="167"/>
      <c r="D64" s="167"/>
      <c r="E64" s="167"/>
      <c r="F64" s="167"/>
    </row>
    <row r="65" spans="1:6" ht="19.5" customHeight="1" x14ac:dyDescent="0.2">
      <c r="A65" s="167"/>
      <c r="B65" s="161"/>
      <c r="C65" s="167"/>
      <c r="D65" s="167"/>
      <c r="E65" s="167"/>
      <c r="F65" s="167"/>
    </row>
    <row r="66" spans="1:6" ht="12.75" customHeight="1" x14ac:dyDescent="0.2">
      <c r="A66" s="313" t="s">
        <v>28</v>
      </c>
      <c r="B66" s="321" t="s">
        <v>29</v>
      </c>
      <c r="C66" s="313" t="s">
        <v>56</v>
      </c>
      <c r="D66" s="313" t="s">
        <v>31</v>
      </c>
      <c r="E66" s="313" t="s">
        <v>32</v>
      </c>
      <c r="F66" s="314" t="s">
        <v>33</v>
      </c>
    </row>
    <row r="67" spans="1:6" ht="35.25" customHeight="1" x14ac:dyDescent="0.2">
      <c r="A67" s="313"/>
      <c r="B67" s="321"/>
      <c r="C67" s="313"/>
      <c r="D67" s="313"/>
      <c r="E67" s="313"/>
      <c r="F67" s="315"/>
    </row>
    <row r="68" spans="1:6" ht="63.75" customHeight="1" x14ac:dyDescent="0.2">
      <c r="A68" s="195" t="s">
        <v>381</v>
      </c>
      <c r="B68" s="195" t="s">
        <v>35</v>
      </c>
      <c r="C68" s="196" t="s">
        <v>391</v>
      </c>
      <c r="D68" s="203" t="s">
        <v>110</v>
      </c>
      <c r="E68" s="203">
        <v>200</v>
      </c>
      <c r="F68" s="214">
        <v>1414</v>
      </c>
    </row>
    <row r="69" spans="1:6" ht="45" customHeight="1" x14ac:dyDescent="0.2">
      <c r="A69" s="202" t="s">
        <v>40</v>
      </c>
      <c r="B69" s="195" t="s">
        <v>41</v>
      </c>
      <c r="C69" s="196" t="s">
        <v>394</v>
      </c>
      <c r="D69" s="196" t="s">
        <v>412</v>
      </c>
      <c r="E69" s="203">
        <v>30</v>
      </c>
      <c r="F69" s="214">
        <v>478.2</v>
      </c>
    </row>
    <row r="70" spans="1:6" ht="31.5" customHeight="1" x14ac:dyDescent="0.2">
      <c r="A70" s="202" t="s">
        <v>44</v>
      </c>
      <c r="B70" s="195" t="s">
        <v>45</v>
      </c>
      <c r="C70" s="196" t="s">
        <v>14</v>
      </c>
      <c r="D70" s="206" t="s">
        <v>89</v>
      </c>
      <c r="E70" s="203">
        <v>143</v>
      </c>
      <c r="F70" s="214">
        <v>896.6099999999999</v>
      </c>
    </row>
    <row r="71" spans="1:6" s="223" customFormat="1" ht="19.5" customHeight="1" x14ac:dyDescent="0.25">
      <c r="A71" s="334" t="s">
        <v>331</v>
      </c>
      <c r="B71" s="335"/>
      <c r="C71" s="335"/>
      <c r="D71" s="335"/>
      <c r="E71" s="336"/>
      <c r="F71" s="213">
        <v>2788.81</v>
      </c>
    </row>
    <row r="72" spans="1:6" s="2" customFormat="1" ht="19.5" customHeight="1" x14ac:dyDescent="0.25">
      <c r="A72" s="160"/>
      <c r="B72" s="162"/>
      <c r="C72" s="162"/>
      <c r="D72" s="162"/>
      <c r="E72" s="162"/>
      <c r="F72" s="162"/>
    </row>
    <row r="73" spans="1:6" ht="19.5" customHeight="1" x14ac:dyDescent="0.2">
      <c r="A73" s="166" t="s">
        <v>27</v>
      </c>
      <c r="B73" s="201">
        <v>7</v>
      </c>
      <c r="C73" s="167"/>
      <c r="D73" s="167"/>
      <c r="E73" s="167"/>
      <c r="F73" s="167"/>
    </row>
    <row r="74" spans="1:6" ht="19.5" customHeight="1" x14ac:dyDescent="0.2">
      <c r="A74" s="167"/>
      <c r="B74" s="161"/>
      <c r="C74" s="167"/>
      <c r="D74" s="167"/>
      <c r="E74" s="167"/>
      <c r="F74" s="167"/>
    </row>
    <row r="75" spans="1:6" ht="12.75" customHeight="1" x14ac:dyDescent="0.2">
      <c r="A75" s="313" t="s">
        <v>28</v>
      </c>
      <c r="B75" s="321" t="s">
        <v>29</v>
      </c>
      <c r="C75" s="320" t="s">
        <v>56</v>
      </c>
      <c r="D75" s="313" t="s">
        <v>31</v>
      </c>
      <c r="E75" s="313" t="s">
        <v>32</v>
      </c>
      <c r="F75" s="314" t="s">
        <v>33</v>
      </c>
    </row>
    <row r="76" spans="1:6" ht="34.5" customHeight="1" x14ac:dyDescent="0.2">
      <c r="A76" s="313"/>
      <c r="B76" s="322"/>
      <c r="C76" s="320"/>
      <c r="D76" s="313"/>
      <c r="E76" s="313"/>
      <c r="F76" s="315"/>
    </row>
    <row r="77" spans="1:6" ht="67.5" customHeight="1" x14ac:dyDescent="0.2">
      <c r="A77" s="195" t="s">
        <v>381</v>
      </c>
      <c r="B77" s="195" t="s">
        <v>35</v>
      </c>
      <c r="C77" s="196" t="s">
        <v>395</v>
      </c>
      <c r="D77" s="203" t="s">
        <v>387</v>
      </c>
      <c r="E77" s="203">
        <v>200</v>
      </c>
      <c r="F77" s="214">
        <v>1206</v>
      </c>
    </row>
    <row r="78" spans="1:6" ht="37.5" customHeight="1" x14ac:dyDescent="0.2">
      <c r="A78" s="202" t="s">
        <v>40</v>
      </c>
      <c r="B78" s="195" t="s">
        <v>41</v>
      </c>
      <c r="C78" s="251" t="s">
        <v>386</v>
      </c>
      <c r="D78" s="206" t="s">
        <v>450</v>
      </c>
      <c r="E78" s="206">
        <v>40</v>
      </c>
      <c r="F78" s="272">
        <v>897.6</v>
      </c>
    </row>
    <row r="79" spans="1:6" ht="33.75" customHeight="1" x14ac:dyDescent="0.2">
      <c r="A79" s="202" t="s">
        <v>384</v>
      </c>
      <c r="B79" s="202" t="s">
        <v>47</v>
      </c>
      <c r="C79" s="206" t="s">
        <v>396</v>
      </c>
      <c r="D79" s="206" t="s">
        <v>426</v>
      </c>
      <c r="E79" s="206">
        <v>20</v>
      </c>
      <c r="F79" s="272">
        <v>392.59999999999997</v>
      </c>
    </row>
    <row r="80" spans="1:6" s="223" customFormat="1" ht="20.100000000000001" customHeight="1" x14ac:dyDescent="0.25">
      <c r="A80" s="334" t="s">
        <v>331</v>
      </c>
      <c r="B80" s="335"/>
      <c r="C80" s="335"/>
      <c r="D80" s="335"/>
      <c r="E80" s="336"/>
      <c r="F80" s="213">
        <v>2496.1999999999998</v>
      </c>
    </row>
    <row r="81" spans="1:6" s="2" customFormat="1" ht="19.5" customHeight="1" x14ac:dyDescent="0.25">
      <c r="A81" s="160"/>
      <c r="B81" s="162"/>
      <c r="C81" s="162"/>
      <c r="D81" s="162"/>
      <c r="E81" s="162"/>
      <c r="F81" s="162"/>
    </row>
    <row r="82" spans="1:6" ht="19.5" customHeight="1" x14ac:dyDescent="0.2">
      <c r="A82" s="166" t="s">
        <v>27</v>
      </c>
      <c r="B82" s="201">
        <v>8</v>
      </c>
      <c r="C82" s="167"/>
      <c r="D82" s="167"/>
      <c r="E82" s="167"/>
      <c r="F82" s="167"/>
    </row>
    <row r="83" spans="1:6" ht="19.5" customHeight="1" x14ac:dyDescent="0.2">
      <c r="A83" s="167"/>
      <c r="B83" s="161"/>
      <c r="C83" s="167"/>
      <c r="D83" s="167"/>
      <c r="E83" s="167"/>
      <c r="F83" s="167"/>
    </row>
    <row r="84" spans="1:6" ht="18.75" customHeight="1" x14ac:dyDescent="0.2">
      <c r="A84" s="313" t="s">
        <v>28</v>
      </c>
      <c r="B84" s="321" t="s">
        <v>29</v>
      </c>
      <c r="C84" s="313" t="s">
        <v>56</v>
      </c>
      <c r="D84" s="313" t="s">
        <v>31</v>
      </c>
      <c r="E84" s="313" t="s">
        <v>32</v>
      </c>
      <c r="F84" s="314" t="s">
        <v>33</v>
      </c>
    </row>
    <row r="85" spans="1:6" ht="34.5" customHeight="1" x14ac:dyDescent="0.2">
      <c r="A85" s="313"/>
      <c r="B85" s="322"/>
      <c r="C85" s="313"/>
      <c r="D85" s="313"/>
      <c r="E85" s="313"/>
      <c r="F85" s="315"/>
    </row>
    <row r="86" spans="1:6" ht="46.5" customHeight="1" x14ac:dyDescent="0.2">
      <c r="A86" s="195" t="s">
        <v>381</v>
      </c>
      <c r="B86" s="195" t="s">
        <v>35</v>
      </c>
      <c r="C86" s="197" t="s">
        <v>397</v>
      </c>
      <c r="D86" s="203" t="s">
        <v>109</v>
      </c>
      <c r="E86" s="203">
        <v>200</v>
      </c>
      <c r="F86" s="214">
        <v>1134</v>
      </c>
    </row>
    <row r="87" spans="1:6" ht="33" customHeight="1" x14ac:dyDescent="0.2">
      <c r="A87" s="202" t="s">
        <v>40</v>
      </c>
      <c r="B87" s="195" t="s">
        <v>41</v>
      </c>
      <c r="C87" s="251" t="s">
        <v>392</v>
      </c>
      <c r="D87" s="206" t="s">
        <v>454</v>
      </c>
      <c r="E87" s="206">
        <v>40</v>
      </c>
      <c r="F87" s="214">
        <v>696.80000000000007</v>
      </c>
    </row>
    <row r="88" spans="1:6" ht="30" customHeight="1" x14ac:dyDescent="0.2">
      <c r="A88" s="202" t="s">
        <v>44</v>
      </c>
      <c r="B88" s="195" t="s">
        <v>45</v>
      </c>
      <c r="C88" s="196" t="s">
        <v>15</v>
      </c>
      <c r="D88" s="206" t="s">
        <v>111</v>
      </c>
      <c r="E88" s="203">
        <v>118</v>
      </c>
      <c r="F88" s="214">
        <v>1517.48</v>
      </c>
    </row>
    <row r="89" spans="1:6" s="223" customFormat="1" ht="20.100000000000001" customHeight="1" x14ac:dyDescent="0.25">
      <c r="A89" s="334" t="s">
        <v>331</v>
      </c>
      <c r="B89" s="335"/>
      <c r="C89" s="335"/>
      <c r="D89" s="335"/>
      <c r="E89" s="336"/>
      <c r="F89" s="213">
        <v>3348.28</v>
      </c>
    </row>
    <row r="90" spans="1:6" s="2" customFormat="1" ht="18.75" customHeight="1" x14ac:dyDescent="0.25">
      <c r="A90" s="160"/>
      <c r="B90" s="162"/>
      <c r="C90" s="162"/>
      <c r="D90" s="162"/>
      <c r="E90" s="162"/>
      <c r="F90" s="162"/>
    </row>
    <row r="91" spans="1:6" ht="18.75" customHeight="1" x14ac:dyDescent="0.2">
      <c r="A91" s="166" t="s">
        <v>27</v>
      </c>
      <c r="B91" s="201">
        <v>9</v>
      </c>
      <c r="C91" s="167"/>
      <c r="D91" s="167"/>
      <c r="E91" s="167"/>
      <c r="F91" s="167"/>
    </row>
    <row r="92" spans="1:6" ht="18.75" customHeight="1" x14ac:dyDescent="0.2">
      <c r="A92" s="167"/>
      <c r="B92" s="161"/>
      <c r="C92" s="167"/>
      <c r="D92" s="167"/>
      <c r="E92" s="167"/>
      <c r="F92" s="167"/>
    </row>
    <row r="93" spans="1:6" ht="12.75" customHeight="1" x14ac:dyDescent="0.2">
      <c r="A93" s="313" t="s">
        <v>28</v>
      </c>
      <c r="B93" s="321" t="s">
        <v>29</v>
      </c>
      <c r="C93" s="313" t="s">
        <v>56</v>
      </c>
      <c r="D93" s="313" t="s">
        <v>31</v>
      </c>
      <c r="E93" s="313" t="s">
        <v>32</v>
      </c>
      <c r="F93" s="314" t="s">
        <v>33</v>
      </c>
    </row>
    <row r="94" spans="1:6" ht="35.25" customHeight="1" x14ac:dyDescent="0.2">
      <c r="A94" s="313"/>
      <c r="B94" s="322"/>
      <c r="C94" s="313"/>
      <c r="D94" s="313"/>
      <c r="E94" s="313"/>
      <c r="F94" s="315"/>
    </row>
    <row r="95" spans="1:6" ht="58.5" customHeight="1" x14ac:dyDescent="0.2">
      <c r="A95" s="195" t="s">
        <v>381</v>
      </c>
      <c r="B95" s="195" t="s">
        <v>35</v>
      </c>
      <c r="C95" s="196" t="s">
        <v>391</v>
      </c>
      <c r="D95" s="203" t="s">
        <v>110</v>
      </c>
      <c r="E95" s="203">
        <v>200</v>
      </c>
      <c r="F95" s="214">
        <v>1414</v>
      </c>
    </row>
    <row r="96" spans="1:6" ht="36.75" customHeight="1" x14ac:dyDescent="0.2">
      <c r="A96" s="202" t="s">
        <v>40</v>
      </c>
      <c r="B96" s="195" t="s">
        <v>41</v>
      </c>
      <c r="C96" s="206" t="s">
        <v>398</v>
      </c>
      <c r="D96" s="206" t="s">
        <v>460</v>
      </c>
      <c r="E96" s="206">
        <v>40</v>
      </c>
      <c r="F96" s="272">
        <v>791.2</v>
      </c>
    </row>
    <row r="97" spans="1:6" ht="40.5" customHeight="1" x14ac:dyDescent="0.2">
      <c r="A97" s="202" t="s">
        <v>384</v>
      </c>
      <c r="B97" s="202" t="s">
        <v>47</v>
      </c>
      <c r="C97" s="206" t="s">
        <v>399</v>
      </c>
      <c r="D97" s="206" t="s">
        <v>423</v>
      </c>
      <c r="E97" s="206">
        <v>20</v>
      </c>
      <c r="F97" s="272">
        <v>356.59999999999997</v>
      </c>
    </row>
    <row r="98" spans="1:6" s="223" customFormat="1" ht="20.100000000000001" customHeight="1" x14ac:dyDescent="0.25">
      <c r="A98" s="334" t="s">
        <v>331</v>
      </c>
      <c r="B98" s="335"/>
      <c r="C98" s="335"/>
      <c r="D98" s="335"/>
      <c r="E98" s="336"/>
      <c r="F98" s="213">
        <v>2561.8000000000002</v>
      </c>
    </row>
    <row r="99" spans="1:6" s="2" customFormat="1" ht="19.5" customHeight="1" x14ac:dyDescent="0.25">
      <c r="A99" s="160"/>
      <c r="B99" s="162"/>
      <c r="C99" s="162"/>
      <c r="D99" s="162"/>
      <c r="E99" s="162"/>
      <c r="F99" s="162"/>
    </row>
    <row r="100" spans="1:6" ht="19.5" customHeight="1" x14ac:dyDescent="0.2">
      <c r="A100" s="166" t="s">
        <v>27</v>
      </c>
      <c r="B100" s="201">
        <v>10</v>
      </c>
      <c r="C100" s="167"/>
      <c r="D100" s="167"/>
      <c r="E100" s="167"/>
      <c r="F100" s="167"/>
    </row>
    <row r="101" spans="1:6" ht="19.5" customHeight="1" x14ac:dyDescent="0.2">
      <c r="A101" s="167"/>
      <c r="B101" s="161"/>
      <c r="C101" s="167"/>
      <c r="D101" s="167"/>
      <c r="E101" s="167"/>
      <c r="F101" s="167"/>
    </row>
    <row r="102" spans="1:6" ht="12.75" customHeight="1" x14ac:dyDescent="0.2">
      <c r="A102" s="313" t="s">
        <v>28</v>
      </c>
      <c r="B102" s="321" t="s">
        <v>29</v>
      </c>
      <c r="C102" s="313" t="s">
        <v>56</v>
      </c>
      <c r="D102" s="313" t="s">
        <v>31</v>
      </c>
      <c r="E102" s="313" t="s">
        <v>32</v>
      </c>
      <c r="F102" s="314" t="s">
        <v>33</v>
      </c>
    </row>
    <row r="103" spans="1:6" ht="32.25" customHeight="1" x14ac:dyDescent="0.2">
      <c r="A103" s="313"/>
      <c r="B103" s="322"/>
      <c r="C103" s="313"/>
      <c r="D103" s="313"/>
      <c r="E103" s="313"/>
      <c r="F103" s="315"/>
    </row>
    <row r="104" spans="1:6" ht="52.5" customHeight="1" x14ac:dyDescent="0.2">
      <c r="A104" s="195" t="s">
        <v>381</v>
      </c>
      <c r="B104" s="195" t="s">
        <v>35</v>
      </c>
      <c r="C104" s="197" t="s">
        <v>397</v>
      </c>
      <c r="D104" s="203" t="s">
        <v>109</v>
      </c>
      <c r="E104" s="203">
        <v>200</v>
      </c>
      <c r="F104" s="214">
        <v>1134</v>
      </c>
    </row>
    <row r="105" spans="1:6" ht="36" customHeight="1" x14ac:dyDescent="0.2">
      <c r="A105" s="202" t="s">
        <v>40</v>
      </c>
      <c r="B105" s="195" t="s">
        <v>41</v>
      </c>
      <c r="C105" s="251" t="s">
        <v>400</v>
      </c>
      <c r="D105" s="206" t="s">
        <v>448</v>
      </c>
      <c r="E105" s="206">
        <v>40</v>
      </c>
      <c r="F105" s="272">
        <v>680</v>
      </c>
    </row>
    <row r="106" spans="1:6" ht="34.5" customHeight="1" x14ac:dyDescent="0.2">
      <c r="A106" s="202" t="s">
        <v>44</v>
      </c>
      <c r="B106" s="195" t="s">
        <v>45</v>
      </c>
      <c r="C106" s="203" t="s">
        <v>94</v>
      </c>
      <c r="D106" s="203" t="s">
        <v>95</v>
      </c>
      <c r="E106" s="203">
        <v>167</v>
      </c>
      <c r="F106" s="214">
        <v>447.56</v>
      </c>
    </row>
    <row r="107" spans="1:6" s="223" customFormat="1" ht="20.100000000000001" customHeight="1" x14ac:dyDescent="0.25">
      <c r="A107" s="334" t="s">
        <v>331</v>
      </c>
      <c r="B107" s="335"/>
      <c r="C107" s="335"/>
      <c r="D107" s="335"/>
      <c r="E107" s="336"/>
      <c r="F107" s="213">
        <v>2261.56</v>
      </c>
    </row>
    <row r="108" spans="1:6" ht="19.5" customHeight="1" x14ac:dyDescent="0.25">
      <c r="A108" s="308" t="s">
        <v>120</v>
      </c>
      <c r="B108" s="309"/>
      <c r="C108" s="309"/>
      <c r="D108" s="309"/>
      <c r="E108" s="310"/>
      <c r="F108" s="216">
        <v>27492.52</v>
      </c>
    </row>
    <row r="109" spans="1:6" ht="19.5" customHeight="1" x14ac:dyDescent="0.25">
      <c r="A109" s="308" t="s">
        <v>98</v>
      </c>
      <c r="B109" s="309"/>
      <c r="C109" s="309"/>
      <c r="D109" s="309"/>
      <c r="E109" s="310"/>
      <c r="F109" s="216">
        <v>2749.25</v>
      </c>
    </row>
    <row r="110" spans="1:6" ht="19.5" customHeight="1" x14ac:dyDescent="0.25">
      <c r="A110" s="308" t="s">
        <v>401</v>
      </c>
      <c r="B110" s="309"/>
      <c r="C110" s="309"/>
      <c r="D110" s="309"/>
      <c r="E110" s="310"/>
      <c r="F110" s="216">
        <v>3060.12</v>
      </c>
    </row>
    <row r="111" spans="1:6" ht="19.5" customHeight="1" x14ac:dyDescent="0.25">
      <c r="A111" s="308" t="s">
        <v>100</v>
      </c>
      <c r="B111" s="309"/>
      <c r="C111" s="309"/>
      <c r="D111" s="309"/>
      <c r="E111" s="310"/>
      <c r="F111" s="253">
        <v>3.26</v>
      </c>
    </row>
    <row r="112" spans="1:6" ht="19.5" customHeight="1" x14ac:dyDescent="0.25">
      <c r="A112" s="308" t="s">
        <v>402</v>
      </c>
      <c r="B112" s="309"/>
      <c r="C112" s="309"/>
      <c r="D112" s="309"/>
      <c r="E112" s="310"/>
      <c r="F112" s="253">
        <v>3.48</v>
      </c>
    </row>
    <row r="113" spans="1:6" ht="19.5" customHeight="1" x14ac:dyDescent="0.25">
      <c r="A113" s="311"/>
      <c r="B113" s="311"/>
      <c r="C113" s="311"/>
      <c r="D113" s="311"/>
      <c r="E113" s="311"/>
      <c r="F113" s="311"/>
    </row>
    <row r="114" spans="1:6" ht="19.5" customHeight="1" x14ac:dyDescent="0.25">
      <c r="A114" s="311"/>
      <c r="B114" s="311"/>
      <c r="C114" s="311"/>
      <c r="D114" s="311"/>
      <c r="E114" s="311"/>
      <c r="F114" s="311"/>
    </row>
    <row r="115" spans="1:6" ht="19.5" customHeight="1" x14ac:dyDescent="0.25">
      <c r="A115" s="311"/>
      <c r="B115" s="311"/>
      <c r="C115" s="311"/>
      <c r="D115" s="311"/>
      <c r="E115" s="311"/>
      <c r="F115" s="311"/>
    </row>
    <row r="116" spans="1:6" ht="19.5" customHeight="1" x14ac:dyDescent="0.25">
      <c r="A116" s="311"/>
      <c r="B116" s="311"/>
      <c r="C116" s="311"/>
      <c r="D116" s="311"/>
      <c r="E116" s="311"/>
      <c r="F116" s="311"/>
    </row>
    <row r="117" spans="1:6" ht="19.5" customHeight="1" x14ac:dyDescent="0.25">
      <c r="A117" s="311"/>
      <c r="B117" s="311"/>
      <c r="C117" s="311"/>
      <c r="D117" s="311"/>
      <c r="E117" s="311"/>
      <c r="F117" s="311"/>
    </row>
  </sheetData>
  <mergeCells count="94">
    <mergeCell ref="A107:E107"/>
    <mergeCell ref="A1:F1"/>
    <mergeCell ref="A2:F2"/>
    <mergeCell ref="A3:F3"/>
    <mergeCell ref="A4:F4"/>
    <mergeCell ref="A26:E26"/>
    <mergeCell ref="A35:E35"/>
    <mergeCell ref="A44:E44"/>
    <mergeCell ref="E102:E103"/>
    <mergeCell ref="F102:F103"/>
    <mergeCell ref="A102:A103"/>
    <mergeCell ref="B102:B103"/>
    <mergeCell ref="C102:C103"/>
    <mergeCell ref="D102:D103"/>
    <mergeCell ref="A98:E98"/>
    <mergeCell ref="E93:E94"/>
    <mergeCell ref="F93:F94"/>
    <mergeCell ref="A93:A94"/>
    <mergeCell ref="B93:B94"/>
    <mergeCell ref="C93:C94"/>
    <mergeCell ref="D93:D94"/>
    <mergeCell ref="A89:E89"/>
    <mergeCell ref="E84:E85"/>
    <mergeCell ref="F84:F85"/>
    <mergeCell ref="A84:A85"/>
    <mergeCell ref="B84:B85"/>
    <mergeCell ref="C84:C85"/>
    <mergeCell ref="D84:D85"/>
    <mergeCell ref="A80:E80"/>
    <mergeCell ref="E75:E76"/>
    <mergeCell ref="F75:F76"/>
    <mergeCell ref="A75:A76"/>
    <mergeCell ref="B75:B76"/>
    <mergeCell ref="C75:C76"/>
    <mergeCell ref="D75:D76"/>
    <mergeCell ref="A71:E71"/>
    <mergeCell ref="E66:E67"/>
    <mergeCell ref="F66:F67"/>
    <mergeCell ref="A66:A67"/>
    <mergeCell ref="B66:B67"/>
    <mergeCell ref="C66:C67"/>
    <mergeCell ref="D66:D67"/>
    <mergeCell ref="A62:E62"/>
    <mergeCell ref="E57:E58"/>
    <mergeCell ref="F57:F58"/>
    <mergeCell ref="A57:A58"/>
    <mergeCell ref="B57:B58"/>
    <mergeCell ref="C57:C58"/>
    <mergeCell ref="D57:D58"/>
    <mergeCell ref="F48:F49"/>
    <mergeCell ref="A53:E53"/>
    <mergeCell ref="A48:A49"/>
    <mergeCell ref="B48:B49"/>
    <mergeCell ref="C48:C49"/>
    <mergeCell ref="D48:D49"/>
    <mergeCell ref="E48:E49"/>
    <mergeCell ref="E39:E40"/>
    <mergeCell ref="F39:F40"/>
    <mergeCell ref="A39:A40"/>
    <mergeCell ref="B39:B40"/>
    <mergeCell ref="C39:C40"/>
    <mergeCell ref="D39:D40"/>
    <mergeCell ref="A114:F114"/>
    <mergeCell ref="A115:F115"/>
    <mergeCell ref="A13:B13"/>
    <mergeCell ref="C13:D13"/>
    <mergeCell ref="A15:B15"/>
    <mergeCell ref="B17:C17"/>
    <mergeCell ref="A21:A22"/>
    <mergeCell ref="B21:B22"/>
    <mergeCell ref="C21:C22"/>
    <mergeCell ref="D21:D22"/>
    <mergeCell ref="F30:F31"/>
    <mergeCell ref="A30:A31"/>
    <mergeCell ref="B30:B31"/>
    <mergeCell ref="C30:C31"/>
    <mergeCell ref="D30:D31"/>
    <mergeCell ref="E30:E31"/>
    <mergeCell ref="A116:F116"/>
    <mergeCell ref="A117:F117"/>
    <mergeCell ref="A5:F5"/>
    <mergeCell ref="A6:F6"/>
    <mergeCell ref="A7:B7"/>
    <mergeCell ref="C7:F7"/>
    <mergeCell ref="A9:B9"/>
    <mergeCell ref="C11:D11"/>
    <mergeCell ref="A108:E108"/>
    <mergeCell ref="A109:E109"/>
    <mergeCell ref="A110:E110"/>
    <mergeCell ref="E21:E22"/>
    <mergeCell ref="F21:F22"/>
    <mergeCell ref="A111:E111"/>
    <mergeCell ref="A112:E112"/>
    <mergeCell ref="A113:F113"/>
  </mergeCells>
  <dataValidations count="5">
    <dataValidation type="list" allowBlank="1" showInputMessage="1" showErrorMessage="1" sqref="C11">
      <formula1>"Indígena,Afrocolombiano,Palenquero,Raizal,Rrom,Sin Pertenencia Étnica"</formula1>
    </dataValidation>
    <dataValidation type="list" allowBlank="1" showInputMessage="1" showErrorMessage="1" sqref="C15">
      <formula1>"Complemento JM/JT,Almuerzo"</formula1>
    </dataValidation>
    <dataValidation type="list" allowBlank="1" showInputMessage="1" showErrorMessage="1" sqref="C13:D13">
      <formula1>"Ración para Preparar en Sitio,Comida Caliente Transportada,Ración Industrializada"</formula1>
    </dataValidation>
    <dataValidation type="list" allowBlank="1" showInputMessage="1" showErrorMessage="1" sqref="C9">
      <formula1>"Si,No"</formula1>
    </dataValidation>
    <dataValidation type="list" allowBlank="1" showInputMessage="1" showErrorMessage="1" sqref="B17:C17">
      <formula1>"Preescolar,Primaria:Primero, Segundo y Tercero,Primaria:Cuarto y Quinto,Secundaria,Media y Nivel Complementario"</formula1>
    </dataValidation>
  </dataValidations>
  <pageMargins left="0.70866141732283472" right="0.70866141732283472" top="0.74803149606299213" bottom="0.74803149606299213" header="0.31496062992125984" footer="0.31496062992125984"/>
  <pageSetup paperSize="10000" scale="49" fitToHeight="0" orientation="landscape" r:id="rId1"/>
  <rowBreaks count="3" manualBreakCount="3">
    <brk id="35" max="5" man="1"/>
    <brk id="71" max="5" man="1"/>
    <brk id="99"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view="pageBreakPreview" topLeftCell="A105" zoomScaleNormal="84" zoomScaleSheetLayoutView="100" zoomScalePageLayoutView="77" workbookViewId="0">
      <selection activeCell="A117" sqref="A117:F117"/>
    </sheetView>
  </sheetViews>
  <sheetFormatPr baseColWidth="10" defaultColWidth="11.42578125" defaultRowHeight="14.25" x14ac:dyDescent="0.2"/>
  <cols>
    <col min="1" max="1" width="21" style="191" customWidth="1"/>
    <col min="2" max="2" width="36" style="191" customWidth="1"/>
    <col min="3" max="3" width="24.140625" style="191" customWidth="1"/>
    <col min="4" max="4" width="23.28515625" style="191" customWidth="1"/>
    <col min="5" max="6" width="13.28515625" style="191" customWidth="1"/>
    <col min="7" max="16384" width="11.42578125" style="1"/>
  </cols>
  <sheetData>
    <row r="1" spans="1:6" ht="15.75" customHeight="1" x14ac:dyDescent="0.25">
      <c r="A1" s="311" t="s">
        <v>0</v>
      </c>
      <c r="B1" s="311"/>
      <c r="C1" s="311"/>
      <c r="D1" s="311"/>
      <c r="E1" s="311"/>
      <c r="F1" s="311"/>
    </row>
    <row r="2" spans="1:6" ht="15.75" customHeight="1" x14ac:dyDescent="0.25">
      <c r="A2" s="311" t="s">
        <v>307</v>
      </c>
      <c r="B2" s="311"/>
      <c r="C2" s="311"/>
      <c r="D2" s="311"/>
      <c r="E2" s="311"/>
      <c r="F2" s="311"/>
    </row>
    <row r="3" spans="1:6" ht="15.75" customHeight="1" x14ac:dyDescent="0.25">
      <c r="A3" s="311" t="s">
        <v>273</v>
      </c>
      <c r="B3" s="311"/>
      <c r="C3" s="311"/>
      <c r="D3" s="311"/>
      <c r="E3" s="311"/>
      <c r="F3" s="311"/>
    </row>
    <row r="4" spans="1:6" ht="15.75" customHeight="1" x14ac:dyDescent="0.25">
      <c r="A4" s="311" t="s">
        <v>346</v>
      </c>
      <c r="B4" s="311"/>
      <c r="C4" s="311"/>
      <c r="D4" s="311"/>
      <c r="E4" s="311"/>
      <c r="F4" s="311"/>
    </row>
    <row r="5" spans="1:6" s="190" customFormat="1" ht="19.5" customHeight="1" x14ac:dyDescent="0.25">
      <c r="A5" s="354"/>
      <c r="B5" s="354"/>
      <c r="C5" s="354"/>
      <c r="D5" s="354"/>
      <c r="E5" s="354"/>
      <c r="F5" s="354"/>
    </row>
    <row r="6" spans="1:6" s="4" customFormat="1" ht="20.25" customHeight="1" x14ac:dyDescent="0.25">
      <c r="A6" s="313" t="s">
        <v>461</v>
      </c>
      <c r="B6" s="313"/>
      <c r="C6" s="313"/>
      <c r="D6" s="313"/>
      <c r="E6" s="313"/>
      <c r="F6" s="313"/>
    </row>
    <row r="7" spans="1:6" s="4" customFormat="1" ht="19.5" customHeight="1" x14ac:dyDescent="0.25">
      <c r="A7" s="351" t="s">
        <v>17</v>
      </c>
      <c r="B7" s="351"/>
      <c r="C7" s="321" t="s">
        <v>328</v>
      </c>
      <c r="D7" s="321"/>
      <c r="E7" s="321"/>
      <c r="F7" s="321"/>
    </row>
    <row r="8" spans="1:6" s="4" customFormat="1" ht="19.5" customHeight="1" x14ac:dyDescent="0.25">
      <c r="A8" s="160"/>
      <c r="B8" s="160"/>
      <c r="C8" s="161"/>
      <c r="D8" s="161"/>
      <c r="E8" s="161"/>
      <c r="F8" s="161"/>
    </row>
    <row r="9" spans="1:6" s="4" customFormat="1" ht="19.5" customHeight="1" x14ac:dyDescent="0.25">
      <c r="A9" s="351" t="s">
        <v>18</v>
      </c>
      <c r="B9" s="351"/>
      <c r="C9" s="201" t="s">
        <v>19</v>
      </c>
      <c r="D9" s="161"/>
      <c r="E9" s="161"/>
      <c r="F9" s="161"/>
    </row>
    <row r="10" spans="1:6" s="4" customFormat="1" ht="19.5" customHeight="1" x14ac:dyDescent="0.25">
      <c r="A10" s="160"/>
      <c r="B10" s="162"/>
      <c r="C10" s="162"/>
      <c r="D10" s="162"/>
      <c r="E10" s="162"/>
      <c r="F10" s="162"/>
    </row>
    <row r="11" spans="1:6" s="4" customFormat="1" ht="19.5" customHeight="1" x14ac:dyDescent="0.25">
      <c r="A11" s="205" t="s">
        <v>20</v>
      </c>
      <c r="B11" s="205"/>
      <c r="C11" s="321"/>
      <c r="D11" s="321"/>
      <c r="E11" s="163"/>
      <c r="F11" s="165"/>
    </row>
    <row r="12" spans="1:6" s="4" customFormat="1" ht="19.5" customHeight="1" x14ac:dyDescent="0.25">
      <c r="A12" s="160"/>
      <c r="B12" s="162"/>
      <c r="C12" s="162"/>
      <c r="D12" s="162"/>
      <c r="E12" s="162"/>
      <c r="F12" s="162"/>
    </row>
    <row r="13" spans="1:6" s="4" customFormat="1" ht="19.5" customHeight="1" x14ac:dyDescent="0.25">
      <c r="A13" s="351" t="s">
        <v>21</v>
      </c>
      <c r="B13" s="351"/>
      <c r="C13" s="352" t="s">
        <v>380</v>
      </c>
      <c r="D13" s="352"/>
      <c r="E13" s="162"/>
      <c r="F13" s="162"/>
    </row>
    <row r="14" spans="1:6" s="4" customFormat="1" ht="19.5" customHeight="1" x14ac:dyDescent="0.25">
      <c r="A14" s="160"/>
      <c r="B14" s="162"/>
      <c r="C14" s="162"/>
      <c r="D14" s="162"/>
      <c r="E14" s="162"/>
      <c r="F14" s="162"/>
    </row>
    <row r="15" spans="1:6" s="4" customFormat="1" ht="19.5" customHeight="1" x14ac:dyDescent="0.25">
      <c r="A15" s="348" t="s">
        <v>23</v>
      </c>
      <c r="B15" s="348"/>
      <c r="C15" s="164" t="s">
        <v>24</v>
      </c>
      <c r="D15" s="165"/>
      <c r="E15" s="165"/>
      <c r="F15" s="165"/>
    </row>
    <row r="16" spans="1:6" s="4" customFormat="1" ht="19.5" customHeight="1" x14ac:dyDescent="0.25">
      <c r="A16" s="160"/>
      <c r="B16" s="162"/>
      <c r="C16" s="162"/>
      <c r="D16" s="162"/>
      <c r="E16" s="162"/>
      <c r="F16" s="162"/>
    </row>
    <row r="17" spans="1:6" s="4" customFormat="1" ht="19.5" customHeight="1" x14ac:dyDescent="0.25">
      <c r="A17" s="204" t="s">
        <v>25</v>
      </c>
      <c r="B17" s="350" t="s">
        <v>102</v>
      </c>
      <c r="C17" s="350"/>
      <c r="D17" s="162"/>
      <c r="E17" s="162"/>
      <c r="F17" s="162"/>
    </row>
    <row r="18" spans="1:6" s="4" customFormat="1" ht="19.5" customHeight="1" x14ac:dyDescent="0.25">
      <c r="A18" s="160"/>
      <c r="B18" s="162"/>
      <c r="C18" s="162"/>
      <c r="D18" s="162"/>
      <c r="E18" s="162"/>
      <c r="F18" s="162"/>
    </row>
    <row r="19" spans="1:6" s="4" customFormat="1" ht="19.5" customHeight="1" x14ac:dyDescent="0.25">
      <c r="A19" s="166" t="s">
        <v>27</v>
      </c>
      <c r="B19" s="201">
        <v>1</v>
      </c>
      <c r="C19" s="167"/>
      <c r="D19" s="167"/>
      <c r="E19" s="167"/>
      <c r="F19" s="167"/>
    </row>
    <row r="20" spans="1:6" s="4" customFormat="1" ht="19.5" customHeight="1" x14ac:dyDescent="0.25">
      <c r="A20" s="167"/>
      <c r="B20" s="161"/>
      <c r="C20" s="167"/>
      <c r="D20" s="167"/>
      <c r="E20" s="167"/>
      <c r="F20" s="167"/>
    </row>
    <row r="21" spans="1:6" s="190" customFormat="1" ht="12.75" customHeight="1" x14ac:dyDescent="0.25">
      <c r="A21" s="321" t="s">
        <v>28</v>
      </c>
      <c r="B21" s="321" t="s">
        <v>29</v>
      </c>
      <c r="C21" s="321" t="s">
        <v>30</v>
      </c>
      <c r="D21" s="321" t="s">
        <v>31</v>
      </c>
      <c r="E21" s="321" t="s">
        <v>32</v>
      </c>
      <c r="F21" s="322" t="s">
        <v>33</v>
      </c>
    </row>
    <row r="22" spans="1:6" ht="33.75" customHeight="1" x14ac:dyDescent="0.2">
      <c r="A22" s="321"/>
      <c r="B22" s="321"/>
      <c r="C22" s="321"/>
      <c r="D22" s="321"/>
      <c r="E22" s="321"/>
      <c r="F22" s="349"/>
    </row>
    <row r="23" spans="1:6" ht="62.25" customHeight="1" x14ac:dyDescent="0.2">
      <c r="A23" s="195" t="s">
        <v>381</v>
      </c>
      <c r="B23" s="195" t="s">
        <v>35</v>
      </c>
      <c r="C23" s="196" t="s">
        <v>382</v>
      </c>
      <c r="D23" s="203" t="s">
        <v>387</v>
      </c>
      <c r="E23" s="203">
        <v>200</v>
      </c>
      <c r="F23" s="214">
        <v>1206</v>
      </c>
    </row>
    <row r="24" spans="1:6" ht="31.5" customHeight="1" x14ac:dyDescent="0.2">
      <c r="A24" s="202" t="s">
        <v>40</v>
      </c>
      <c r="B24" s="195" t="s">
        <v>41</v>
      </c>
      <c r="C24" s="196" t="s">
        <v>383</v>
      </c>
      <c r="D24" s="196" t="s">
        <v>406</v>
      </c>
      <c r="E24" s="203">
        <v>50</v>
      </c>
      <c r="F24" s="214">
        <v>633.5</v>
      </c>
    </row>
    <row r="25" spans="1:6" ht="30.75" customHeight="1" x14ac:dyDescent="0.2">
      <c r="A25" s="202" t="s">
        <v>44</v>
      </c>
      <c r="B25" s="195" t="s">
        <v>390</v>
      </c>
      <c r="C25" s="251" t="s">
        <v>464</v>
      </c>
      <c r="D25" s="206" t="s">
        <v>463</v>
      </c>
      <c r="E25" s="206">
        <v>118</v>
      </c>
      <c r="F25" s="214">
        <v>1675.6</v>
      </c>
    </row>
    <row r="26" spans="1:6" ht="19.5" customHeight="1" x14ac:dyDescent="0.2">
      <c r="A26" s="334" t="s">
        <v>331</v>
      </c>
      <c r="B26" s="335"/>
      <c r="C26" s="335"/>
      <c r="D26" s="335"/>
      <c r="E26" s="336"/>
      <c r="F26" s="213">
        <v>3515.1</v>
      </c>
    </row>
    <row r="27" spans="1:6" ht="19.5" customHeight="1" x14ac:dyDescent="0.25">
      <c r="A27" s="209"/>
      <c r="B27" s="209"/>
      <c r="C27" s="209"/>
      <c r="D27" s="209"/>
      <c r="E27" s="209"/>
      <c r="F27" s="209"/>
    </row>
    <row r="28" spans="1:6" ht="19.5" customHeight="1" x14ac:dyDescent="0.2">
      <c r="A28" s="166" t="s">
        <v>27</v>
      </c>
      <c r="B28" s="201">
        <v>2</v>
      </c>
      <c r="C28" s="167"/>
      <c r="D28" s="167"/>
      <c r="E28" s="167"/>
      <c r="F28" s="167"/>
    </row>
    <row r="29" spans="1:6" ht="19.5" customHeight="1" x14ac:dyDescent="0.2">
      <c r="A29" s="167"/>
      <c r="B29" s="161"/>
      <c r="C29" s="167"/>
      <c r="D29" s="167"/>
      <c r="E29" s="167"/>
      <c r="F29" s="167"/>
    </row>
    <row r="30" spans="1:6" ht="12.75" customHeight="1" x14ac:dyDescent="0.2">
      <c r="A30" s="313" t="s">
        <v>28</v>
      </c>
      <c r="B30" s="321" t="s">
        <v>29</v>
      </c>
      <c r="C30" s="313" t="s">
        <v>56</v>
      </c>
      <c r="D30" s="313" t="s">
        <v>31</v>
      </c>
      <c r="E30" s="313" t="s">
        <v>32</v>
      </c>
      <c r="F30" s="314" t="s">
        <v>33</v>
      </c>
    </row>
    <row r="31" spans="1:6" ht="35.25" customHeight="1" x14ac:dyDescent="0.2">
      <c r="A31" s="313"/>
      <c r="B31" s="321"/>
      <c r="C31" s="313"/>
      <c r="D31" s="313"/>
      <c r="E31" s="313"/>
      <c r="F31" s="315"/>
    </row>
    <row r="32" spans="1:6" ht="60" customHeight="1" x14ac:dyDescent="0.2">
      <c r="A32" s="195" t="s">
        <v>381</v>
      </c>
      <c r="B32" s="195" t="s">
        <v>35</v>
      </c>
      <c r="C32" s="196" t="s">
        <v>391</v>
      </c>
      <c r="D32" s="203" t="s">
        <v>110</v>
      </c>
      <c r="E32" s="203">
        <v>200</v>
      </c>
      <c r="F32" s="214">
        <v>1414</v>
      </c>
    </row>
    <row r="33" spans="1:6" ht="33.75" customHeight="1" x14ac:dyDescent="0.2">
      <c r="A33" s="202" t="s">
        <v>40</v>
      </c>
      <c r="B33" s="195" t="s">
        <v>41</v>
      </c>
      <c r="C33" s="206" t="s">
        <v>386</v>
      </c>
      <c r="D33" s="206" t="s">
        <v>418</v>
      </c>
      <c r="E33" s="206">
        <v>60</v>
      </c>
      <c r="F33" s="214">
        <v>1212</v>
      </c>
    </row>
    <row r="34" spans="1:6" ht="51" customHeight="1" x14ac:dyDescent="0.2">
      <c r="A34" s="202" t="s">
        <v>384</v>
      </c>
      <c r="B34" s="202" t="s">
        <v>47</v>
      </c>
      <c r="C34" s="206" t="s">
        <v>385</v>
      </c>
      <c r="D34" s="206" t="s">
        <v>425</v>
      </c>
      <c r="E34" s="206">
        <v>20</v>
      </c>
      <c r="F34" s="214">
        <v>406.59999999999997</v>
      </c>
    </row>
    <row r="35" spans="1:6" s="223" customFormat="1" ht="19.5" customHeight="1" x14ac:dyDescent="0.25">
      <c r="A35" s="334" t="s">
        <v>331</v>
      </c>
      <c r="B35" s="335"/>
      <c r="C35" s="335"/>
      <c r="D35" s="335"/>
      <c r="E35" s="336"/>
      <c r="F35" s="213">
        <v>3032.6</v>
      </c>
    </row>
    <row r="36" spans="1:6" s="2" customFormat="1" ht="19.5" customHeight="1" x14ac:dyDescent="0.25">
      <c r="A36" s="160"/>
      <c r="B36" s="162"/>
      <c r="C36" s="162"/>
      <c r="D36" s="162"/>
      <c r="E36" s="162"/>
      <c r="F36" s="162"/>
    </row>
    <row r="37" spans="1:6" s="2" customFormat="1" ht="19.5" customHeight="1" x14ac:dyDescent="0.25">
      <c r="A37" s="166" t="s">
        <v>27</v>
      </c>
      <c r="B37" s="201">
        <v>3</v>
      </c>
      <c r="C37" s="167"/>
      <c r="D37" s="167"/>
      <c r="E37" s="167"/>
      <c r="F37" s="167"/>
    </row>
    <row r="38" spans="1:6" s="2" customFormat="1" ht="19.5" customHeight="1" x14ac:dyDescent="0.25">
      <c r="A38" s="167"/>
      <c r="B38" s="161"/>
      <c r="C38" s="167"/>
      <c r="D38" s="167"/>
      <c r="E38" s="167"/>
      <c r="F38" s="167"/>
    </row>
    <row r="39" spans="1:6" ht="12.75" customHeight="1" x14ac:dyDescent="0.2">
      <c r="A39" s="313" t="s">
        <v>28</v>
      </c>
      <c r="B39" s="321" t="s">
        <v>29</v>
      </c>
      <c r="C39" s="313" t="s">
        <v>56</v>
      </c>
      <c r="D39" s="313" t="s">
        <v>31</v>
      </c>
      <c r="E39" s="313" t="s">
        <v>32</v>
      </c>
      <c r="F39" s="314" t="s">
        <v>33</v>
      </c>
    </row>
    <row r="40" spans="1:6" ht="32.25" customHeight="1" x14ac:dyDescent="0.2">
      <c r="A40" s="313"/>
      <c r="B40" s="321"/>
      <c r="C40" s="313"/>
      <c r="D40" s="313"/>
      <c r="E40" s="313"/>
      <c r="F40" s="315"/>
    </row>
    <row r="41" spans="1:6" ht="46.5" customHeight="1" x14ac:dyDescent="0.2">
      <c r="A41" s="195" t="s">
        <v>381</v>
      </c>
      <c r="B41" s="195" t="s">
        <v>35</v>
      </c>
      <c r="C41" s="196" t="s">
        <v>388</v>
      </c>
      <c r="D41" s="203" t="s">
        <v>109</v>
      </c>
      <c r="E41" s="203">
        <v>200</v>
      </c>
      <c r="F41" s="214">
        <v>1134</v>
      </c>
    </row>
    <row r="42" spans="1:6" ht="44.25" customHeight="1" x14ac:dyDescent="0.2">
      <c r="A42" s="202" t="s">
        <v>40</v>
      </c>
      <c r="B42" s="195" t="s">
        <v>41</v>
      </c>
      <c r="C42" s="196" t="s">
        <v>389</v>
      </c>
      <c r="D42" s="203" t="s">
        <v>420</v>
      </c>
      <c r="E42" s="203">
        <v>50</v>
      </c>
      <c r="F42" s="214">
        <v>991.49999999999989</v>
      </c>
    </row>
    <row r="43" spans="1:6" ht="32.25" customHeight="1" x14ac:dyDescent="0.2">
      <c r="A43" s="202" t="s">
        <v>44</v>
      </c>
      <c r="B43" s="195" t="s">
        <v>45</v>
      </c>
      <c r="C43" s="196" t="s">
        <v>82</v>
      </c>
      <c r="D43" s="206" t="s">
        <v>83</v>
      </c>
      <c r="E43" s="203">
        <v>143</v>
      </c>
      <c r="F43" s="214">
        <v>333.19</v>
      </c>
    </row>
    <row r="44" spans="1:6" s="223" customFormat="1" ht="19.5" customHeight="1" x14ac:dyDescent="0.25">
      <c r="A44" s="334" t="s">
        <v>331</v>
      </c>
      <c r="B44" s="335"/>
      <c r="C44" s="335"/>
      <c r="D44" s="335"/>
      <c r="E44" s="336"/>
      <c r="F44" s="213">
        <v>2458.69</v>
      </c>
    </row>
    <row r="45" spans="1:6" ht="19.5" customHeight="1" x14ac:dyDescent="0.25">
      <c r="A45" s="209"/>
      <c r="B45" s="209"/>
      <c r="C45" s="209"/>
      <c r="D45" s="209"/>
      <c r="E45" s="209"/>
      <c r="F45" s="209"/>
    </row>
    <row r="46" spans="1:6" ht="19.5" customHeight="1" x14ac:dyDescent="0.2">
      <c r="A46" s="166" t="s">
        <v>27</v>
      </c>
      <c r="B46" s="201">
        <v>4</v>
      </c>
      <c r="C46" s="167"/>
      <c r="D46" s="167"/>
      <c r="E46" s="167"/>
      <c r="F46" s="167"/>
    </row>
    <row r="47" spans="1:6" ht="19.5" customHeight="1" x14ac:dyDescent="0.2">
      <c r="A47" s="160"/>
      <c r="B47" s="162"/>
      <c r="C47" s="162"/>
      <c r="D47" s="162"/>
      <c r="E47" s="162"/>
      <c r="F47" s="162"/>
    </row>
    <row r="48" spans="1:6" ht="12.75" customHeight="1" x14ac:dyDescent="0.2">
      <c r="A48" s="313" t="s">
        <v>28</v>
      </c>
      <c r="B48" s="321" t="s">
        <v>29</v>
      </c>
      <c r="C48" s="313" t="s">
        <v>56</v>
      </c>
      <c r="D48" s="313" t="s">
        <v>31</v>
      </c>
      <c r="E48" s="313" t="s">
        <v>32</v>
      </c>
      <c r="F48" s="314" t="s">
        <v>33</v>
      </c>
    </row>
    <row r="49" spans="1:6" ht="36.75" customHeight="1" x14ac:dyDescent="0.2">
      <c r="A49" s="313"/>
      <c r="B49" s="322"/>
      <c r="C49" s="313"/>
      <c r="D49" s="313"/>
      <c r="E49" s="313"/>
      <c r="F49" s="315"/>
    </row>
    <row r="50" spans="1:6" ht="66" customHeight="1" x14ac:dyDescent="0.2">
      <c r="A50" s="195" t="s">
        <v>381</v>
      </c>
      <c r="B50" s="195" t="s">
        <v>35</v>
      </c>
      <c r="C50" s="196" t="s">
        <v>391</v>
      </c>
      <c r="D50" s="203" t="s">
        <v>110</v>
      </c>
      <c r="E50" s="203">
        <v>200</v>
      </c>
      <c r="F50" s="214">
        <v>1414</v>
      </c>
    </row>
    <row r="51" spans="1:6" ht="36" customHeight="1" x14ac:dyDescent="0.2">
      <c r="A51" s="202" t="s">
        <v>40</v>
      </c>
      <c r="B51" s="195" t="s">
        <v>41</v>
      </c>
      <c r="C51" s="251" t="s">
        <v>392</v>
      </c>
      <c r="D51" s="206" t="s">
        <v>411</v>
      </c>
      <c r="E51" s="206">
        <v>60</v>
      </c>
      <c r="F51" s="214">
        <v>1043.4000000000001</v>
      </c>
    </row>
    <row r="52" spans="1:6" ht="47.25" customHeight="1" x14ac:dyDescent="0.2">
      <c r="A52" s="202" t="s">
        <v>384</v>
      </c>
      <c r="B52" s="202" t="s">
        <v>47</v>
      </c>
      <c r="C52" s="206" t="s">
        <v>393</v>
      </c>
      <c r="D52" s="206" t="s">
        <v>422</v>
      </c>
      <c r="E52" s="206">
        <v>20</v>
      </c>
      <c r="F52" s="214">
        <v>479.6</v>
      </c>
    </row>
    <row r="53" spans="1:6" s="223" customFormat="1" ht="19.5" customHeight="1" x14ac:dyDescent="0.25">
      <c r="A53" s="334" t="s">
        <v>331</v>
      </c>
      <c r="B53" s="335"/>
      <c r="C53" s="335"/>
      <c r="D53" s="335"/>
      <c r="E53" s="336"/>
      <c r="F53" s="213">
        <v>2937</v>
      </c>
    </row>
    <row r="54" spans="1:6" s="2" customFormat="1" ht="19.5" customHeight="1" x14ac:dyDescent="0.25">
      <c r="A54" s="160"/>
      <c r="B54" s="162"/>
      <c r="C54" s="162"/>
      <c r="D54" s="162"/>
      <c r="E54" s="162"/>
      <c r="F54" s="162"/>
    </row>
    <row r="55" spans="1:6" ht="19.5" customHeight="1" x14ac:dyDescent="0.2">
      <c r="A55" s="166" t="s">
        <v>27</v>
      </c>
      <c r="B55" s="201">
        <v>5</v>
      </c>
      <c r="C55" s="211"/>
      <c r="D55" s="167"/>
      <c r="E55" s="167"/>
      <c r="F55" s="167"/>
    </row>
    <row r="56" spans="1:6" ht="19.5" customHeight="1" x14ac:dyDescent="0.2">
      <c r="A56" s="167"/>
      <c r="B56" s="161"/>
      <c r="C56" s="167"/>
      <c r="D56" s="167"/>
      <c r="E56" s="167"/>
      <c r="F56" s="167"/>
    </row>
    <row r="57" spans="1:6" ht="12.75" customHeight="1" x14ac:dyDescent="0.2">
      <c r="A57" s="313" t="s">
        <v>28</v>
      </c>
      <c r="B57" s="321" t="s">
        <v>29</v>
      </c>
      <c r="C57" s="313" t="s">
        <v>56</v>
      </c>
      <c r="D57" s="313" t="s">
        <v>31</v>
      </c>
      <c r="E57" s="313" t="s">
        <v>32</v>
      </c>
      <c r="F57" s="314" t="s">
        <v>33</v>
      </c>
    </row>
    <row r="58" spans="1:6" ht="34.5" customHeight="1" x14ac:dyDescent="0.2">
      <c r="A58" s="313"/>
      <c r="B58" s="322"/>
      <c r="C58" s="313"/>
      <c r="D58" s="313"/>
      <c r="E58" s="313"/>
      <c r="F58" s="315"/>
    </row>
    <row r="59" spans="1:6" ht="60.75" customHeight="1" x14ac:dyDescent="0.2">
      <c r="A59" s="195" t="s">
        <v>381</v>
      </c>
      <c r="B59" s="195" t="s">
        <v>35</v>
      </c>
      <c r="C59" s="196" t="s">
        <v>382</v>
      </c>
      <c r="D59" s="203" t="s">
        <v>387</v>
      </c>
      <c r="E59" s="203">
        <v>200</v>
      </c>
      <c r="F59" s="214">
        <v>1206</v>
      </c>
    </row>
    <row r="60" spans="1:6" ht="32.25" customHeight="1" x14ac:dyDescent="0.2">
      <c r="A60" s="202" t="s">
        <v>40</v>
      </c>
      <c r="B60" s="195" t="s">
        <v>41</v>
      </c>
      <c r="C60" s="251" t="s">
        <v>428</v>
      </c>
      <c r="D60" s="206" t="s">
        <v>409</v>
      </c>
      <c r="E60" s="206">
        <v>60</v>
      </c>
      <c r="F60" s="214">
        <v>1020</v>
      </c>
    </row>
    <row r="61" spans="1:6" ht="30" customHeight="1" x14ac:dyDescent="0.2">
      <c r="A61" s="202" t="s">
        <v>44</v>
      </c>
      <c r="B61" s="195" t="s">
        <v>390</v>
      </c>
      <c r="C61" s="196" t="s">
        <v>15</v>
      </c>
      <c r="D61" s="206" t="s">
        <v>111</v>
      </c>
      <c r="E61" s="203">
        <v>118</v>
      </c>
      <c r="F61" s="214">
        <v>1517.48</v>
      </c>
    </row>
    <row r="62" spans="1:6" s="223" customFormat="1" ht="20.100000000000001" customHeight="1" x14ac:dyDescent="0.25">
      <c r="A62" s="334" t="s">
        <v>331</v>
      </c>
      <c r="B62" s="335"/>
      <c r="C62" s="335"/>
      <c r="D62" s="335"/>
      <c r="E62" s="336"/>
      <c r="F62" s="213">
        <v>3743.48</v>
      </c>
    </row>
    <row r="63" spans="1:6" s="2" customFormat="1" ht="19.5" customHeight="1" x14ac:dyDescent="0.25">
      <c r="A63" s="160"/>
      <c r="B63" s="162"/>
      <c r="C63" s="162"/>
      <c r="D63" s="162"/>
      <c r="E63" s="162"/>
      <c r="F63" s="162"/>
    </row>
    <row r="64" spans="1:6" ht="19.5" customHeight="1" x14ac:dyDescent="0.2">
      <c r="A64" s="166" t="s">
        <v>27</v>
      </c>
      <c r="B64" s="201">
        <v>6</v>
      </c>
      <c r="C64" s="167"/>
      <c r="D64" s="167"/>
      <c r="E64" s="167"/>
      <c r="F64" s="167"/>
    </row>
    <row r="65" spans="1:6" ht="19.5" customHeight="1" x14ac:dyDescent="0.2">
      <c r="A65" s="167"/>
      <c r="B65" s="161"/>
      <c r="C65" s="167"/>
      <c r="D65" s="167"/>
      <c r="E65" s="167"/>
      <c r="F65" s="167"/>
    </row>
    <row r="66" spans="1:6" ht="12.75" customHeight="1" x14ac:dyDescent="0.2">
      <c r="A66" s="313" t="s">
        <v>28</v>
      </c>
      <c r="B66" s="321" t="s">
        <v>29</v>
      </c>
      <c r="C66" s="313" t="s">
        <v>56</v>
      </c>
      <c r="D66" s="313" t="s">
        <v>31</v>
      </c>
      <c r="E66" s="313" t="s">
        <v>32</v>
      </c>
      <c r="F66" s="314" t="s">
        <v>33</v>
      </c>
    </row>
    <row r="67" spans="1:6" ht="35.25" customHeight="1" x14ac:dyDescent="0.2">
      <c r="A67" s="313"/>
      <c r="B67" s="321"/>
      <c r="C67" s="313"/>
      <c r="D67" s="313"/>
      <c r="E67" s="313"/>
      <c r="F67" s="315"/>
    </row>
    <row r="68" spans="1:6" ht="63.75" customHeight="1" x14ac:dyDescent="0.2">
      <c r="A68" s="195" t="s">
        <v>381</v>
      </c>
      <c r="B68" s="195" t="s">
        <v>35</v>
      </c>
      <c r="C68" s="196" t="s">
        <v>391</v>
      </c>
      <c r="D68" s="203" t="s">
        <v>110</v>
      </c>
      <c r="E68" s="203">
        <v>200</v>
      </c>
      <c r="F68" s="214">
        <v>1414</v>
      </c>
    </row>
    <row r="69" spans="1:6" ht="45" customHeight="1" x14ac:dyDescent="0.2">
      <c r="A69" s="202" t="s">
        <v>40</v>
      </c>
      <c r="B69" s="195" t="s">
        <v>41</v>
      </c>
      <c r="C69" s="196" t="s">
        <v>394</v>
      </c>
      <c r="D69" s="196" t="s">
        <v>413</v>
      </c>
      <c r="E69" s="203">
        <v>50</v>
      </c>
      <c r="F69" s="214">
        <v>781.5</v>
      </c>
    </row>
    <row r="70" spans="1:6" ht="31.5" customHeight="1" x14ac:dyDescent="0.2">
      <c r="A70" s="202" t="s">
        <v>44</v>
      </c>
      <c r="B70" s="195" t="s">
        <v>45</v>
      </c>
      <c r="C70" s="196" t="s">
        <v>14</v>
      </c>
      <c r="D70" s="206" t="s">
        <v>89</v>
      </c>
      <c r="E70" s="203">
        <v>143</v>
      </c>
      <c r="F70" s="214">
        <v>896.6099999999999</v>
      </c>
    </row>
    <row r="71" spans="1:6" s="223" customFormat="1" ht="19.5" customHeight="1" x14ac:dyDescent="0.25">
      <c r="A71" s="334" t="s">
        <v>331</v>
      </c>
      <c r="B71" s="335"/>
      <c r="C71" s="335"/>
      <c r="D71" s="335"/>
      <c r="E71" s="336"/>
      <c r="F71" s="213">
        <v>3092.11</v>
      </c>
    </row>
    <row r="72" spans="1:6" s="2" customFormat="1" ht="19.5" customHeight="1" x14ac:dyDescent="0.25">
      <c r="A72" s="160"/>
      <c r="B72" s="162"/>
      <c r="C72" s="162"/>
      <c r="D72" s="162"/>
      <c r="E72" s="162"/>
      <c r="F72" s="162"/>
    </row>
    <row r="73" spans="1:6" ht="19.5" customHeight="1" x14ac:dyDescent="0.2">
      <c r="A73" s="166" t="s">
        <v>27</v>
      </c>
      <c r="B73" s="201">
        <v>7</v>
      </c>
      <c r="C73" s="167"/>
      <c r="D73" s="167"/>
      <c r="E73" s="167"/>
      <c r="F73" s="167"/>
    </row>
    <row r="74" spans="1:6" ht="19.5" customHeight="1" x14ac:dyDescent="0.2">
      <c r="A74" s="167"/>
      <c r="B74" s="161"/>
      <c r="C74" s="167"/>
      <c r="D74" s="167"/>
      <c r="E74" s="167"/>
      <c r="F74" s="167"/>
    </row>
    <row r="75" spans="1:6" ht="12.75" customHeight="1" x14ac:dyDescent="0.2">
      <c r="A75" s="313" t="s">
        <v>28</v>
      </c>
      <c r="B75" s="321" t="s">
        <v>29</v>
      </c>
      <c r="C75" s="320" t="s">
        <v>56</v>
      </c>
      <c r="D75" s="313" t="s">
        <v>31</v>
      </c>
      <c r="E75" s="313" t="s">
        <v>32</v>
      </c>
      <c r="F75" s="314" t="s">
        <v>33</v>
      </c>
    </row>
    <row r="76" spans="1:6" ht="34.5" customHeight="1" x14ac:dyDescent="0.2">
      <c r="A76" s="313"/>
      <c r="B76" s="322"/>
      <c r="C76" s="320"/>
      <c r="D76" s="313"/>
      <c r="E76" s="313"/>
      <c r="F76" s="315"/>
    </row>
    <row r="77" spans="1:6" ht="67.5" customHeight="1" x14ac:dyDescent="0.2">
      <c r="A77" s="195" t="s">
        <v>381</v>
      </c>
      <c r="B77" s="195" t="s">
        <v>35</v>
      </c>
      <c r="C77" s="196" t="s">
        <v>395</v>
      </c>
      <c r="D77" s="203" t="s">
        <v>387</v>
      </c>
      <c r="E77" s="203">
        <v>200</v>
      </c>
      <c r="F77" s="214">
        <v>1206</v>
      </c>
    </row>
    <row r="78" spans="1:6" ht="37.5" customHeight="1" x14ac:dyDescent="0.2">
      <c r="A78" s="202" t="s">
        <v>40</v>
      </c>
      <c r="B78" s="195" t="s">
        <v>41</v>
      </c>
      <c r="C78" s="251" t="s">
        <v>386</v>
      </c>
      <c r="D78" s="206" t="s">
        <v>418</v>
      </c>
      <c r="E78" s="206">
        <v>60</v>
      </c>
      <c r="F78" s="214">
        <v>1212</v>
      </c>
    </row>
    <row r="79" spans="1:6" ht="33.75" customHeight="1" x14ac:dyDescent="0.2">
      <c r="A79" s="202" t="s">
        <v>384</v>
      </c>
      <c r="B79" s="202" t="s">
        <v>47</v>
      </c>
      <c r="C79" s="206" t="s">
        <v>396</v>
      </c>
      <c r="D79" s="206" t="s">
        <v>426</v>
      </c>
      <c r="E79" s="206">
        <v>20</v>
      </c>
      <c r="F79" s="214">
        <v>392.59999999999997</v>
      </c>
    </row>
    <row r="80" spans="1:6" s="223" customFormat="1" ht="20.100000000000001" customHeight="1" x14ac:dyDescent="0.25">
      <c r="A80" s="334" t="s">
        <v>331</v>
      </c>
      <c r="B80" s="335"/>
      <c r="C80" s="335"/>
      <c r="D80" s="335"/>
      <c r="E80" s="336"/>
      <c r="F80" s="213">
        <v>2810.6</v>
      </c>
    </row>
    <row r="81" spans="1:6" s="2" customFormat="1" ht="19.5" customHeight="1" x14ac:dyDescent="0.25">
      <c r="A81" s="160"/>
      <c r="B81" s="162"/>
      <c r="C81" s="162"/>
      <c r="D81" s="162"/>
      <c r="E81" s="162"/>
      <c r="F81" s="162"/>
    </row>
    <row r="82" spans="1:6" ht="19.5" customHeight="1" x14ac:dyDescent="0.2">
      <c r="A82" s="166" t="s">
        <v>27</v>
      </c>
      <c r="B82" s="201">
        <v>8</v>
      </c>
      <c r="C82" s="167"/>
      <c r="D82" s="167"/>
      <c r="E82" s="167"/>
      <c r="F82" s="167"/>
    </row>
    <row r="83" spans="1:6" ht="19.5" customHeight="1" x14ac:dyDescent="0.2">
      <c r="A83" s="167"/>
      <c r="B83" s="161"/>
      <c r="C83" s="167"/>
      <c r="D83" s="167"/>
      <c r="E83" s="167"/>
      <c r="F83" s="167"/>
    </row>
    <row r="84" spans="1:6" ht="18.75" customHeight="1" x14ac:dyDescent="0.2">
      <c r="A84" s="313" t="s">
        <v>28</v>
      </c>
      <c r="B84" s="321" t="s">
        <v>29</v>
      </c>
      <c r="C84" s="313" t="s">
        <v>56</v>
      </c>
      <c r="D84" s="313" t="s">
        <v>31</v>
      </c>
      <c r="E84" s="313" t="s">
        <v>32</v>
      </c>
      <c r="F84" s="314" t="s">
        <v>33</v>
      </c>
    </row>
    <row r="85" spans="1:6" ht="34.5" customHeight="1" x14ac:dyDescent="0.2">
      <c r="A85" s="313"/>
      <c r="B85" s="322"/>
      <c r="C85" s="313"/>
      <c r="D85" s="313"/>
      <c r="E85" s="313"/>
      <c r="F85" s="315"/>
    </row>
    <row r="86" spans="1:6" ht="46.5" customHeight="1" x14ac:dyDescent="0.2">
      <c r="A86" s="195" t="s">
        <v>381</v>
      </c>
      <c r="B86" s="195" t="s">
        <v>35</v>
      </c>
      <c r="C86" s="197" t="s">
        <v>397</v>
      </c>
      <c r="D86" s="203" t="s">
        <v>109</v>
      </c>
      <c r="E86" s="203">
        <v>200</v>
      </c>
      <c r="F86" s="214">
        <v>1134</v>
      </c>
    </row>
    <row r="87" spans="1:6" ht="33" customHeight="1" x14ac:dyDescent="0.2">
      <c r="A87" s="202" t="s">
        <v>40</v>
      </c>
      <c r="B87" s="195" t="s">
        <v>41</v>
      </c>
      <c r="C87" s="251" t="s">
        <v>392</v>
      </c>
      <c r="D87" s="206" t="s">
        <v>411</v>
      </c>
      <c r="E87" s="206">
        <v>60</v>
      </c>
      <c r="F87" s="272">
        <v>1043.4000000000001</v>
      </c>
    </row>
    <row r="88" spans="1:6" ht="30" customHeight="1" x14ac:dyDescent="0.2">
      <c r="A88" s="202" t="s">
        <v>44</v>
      </c>
      <c r="B88" s="195" t="s">
        <v>45</v>
      </c>
      <c r="C88" s="206" t="s">
        <v>15</v>
      </c>
      <c r="D88" s="206" t="s">
        <v>111</v>
      </c>
      <c r="E88" s="206">
        <v>118</v>
      </c>
      <c r="F88" s="272">
        <v>1517.48</v>
      </c>
    </row>
    <row r="89" spans="1:6" s="223" customFormat="1" ht="20.100000000000001" customHeight="1" x14ac:dyDescent="0.25">
      <c r="A89" s="334" t="s">
        <v>331</v>
      </c>
      <c r="B89" s="335"/>
      <c r="C89" s="335"/>
      <c r="D89" s="335"/>
      <c r="E89" s="336"/>
      <c r="F89" s="213">
        <v>3694.88</v>
      </c>
    </row>
    <row r="90" spans="1:6" s="2" customFormat="1" ht="18.75" customHeight="1" x14ac:dyDescent="0.25">
      <c r="A90" s="160"/>
      <c r="B90" s="162"/>
      <c r="C90" s="162"/>
      <c r="D90" s="162"/>
      <c r="E90" s="162"/>
      <c r="F90" s="162"/>
    </row>
    <row r="91" spans="1:6" ht="18.75" customHeight="1" x14ac:dyDescent="0.2">
      <c r="A91" s="166" t="s">
        <v>27</v>
      </c>
      <c r="B91" s="201">
        <v>9</v>
      </c>
      <c r="C91" s="167"/>
      <c r="D91" s="167"/>
      <c r="E91" s="167"/>
      <c r="F91" s="167"/>
    </row>
    <row r="92" spans="1:6" ht="18.75" customHeight="1" x14ac:dyDescent="0.2">
      <c r="A92" s="167"/>
      <c r="B92" s="161"/>
      <c r="C92" s="167"/>
      <c r="D92" s="167"/>
      <c r="E92" s="167"/>
      <c r="F92" s="167"/>
    </row>
    <row r="93" spans="1:6" ht="12.75" customHeight="1" x14ac:dyDescent="0.2">
      <c r="A93" s="313" t="s">
        <v>28</v>
      </c>
      <c r="B93" s="321" t="s">
        <v>29</v>
      </c>
      <c r="C93" s="313" t="s">
        <v>56</v>
      </c>
      <c r="D93" s="313" t="s">
        <v>31</v>
      </c>
      <c r="E93" s="313" t="s">
        <v>32</v>
      </c>
      <c r="F93" s="314" t="s">
        <v>33</v>
      </c>
    </row>
    <row r="94" spans="1:6" ht="35.25" customHeight="1" x14ac:dyDescent="0.2">
      <c r="A94" s="313"/>
      <c r="B94" s="322"/>
      <c r="C94" s="313"/>
      <c r="D94" s="313"/>
      <c r="E94" s="313"/>
      <c r="F94" s="315"/>
    </row>
    <row r="95" spans="1:6" ht="65.25" customHeight="1" x14ac:dyDescent="0.2">
      <c r="A95" s="195" t="s">
        <v>381</v>
      </c>
      <c r="B95" s="195" t="s">
        <v>35</v>
      </c>
      <c r="C95" s="196" t="s">
        <v>391</v>
      </c>
      <c r="D95" s="203" t="s">
        <v>110</v>
      </c>
      <c r="E95" s="203">
        <v>200</v>
      </c>
      <c r="F95" s="214">
        <v>1414</v>
      </c>
    </row>
    <row r="96" spans="1:6" ht="36.75" customHeight="1" x14ac:dyDescent="0.2">
      <c r="A96" s="273" t="s">
        <v>40</v>
      </c>
      <c r="B96" s="274" t="s">
        <v>41</v>
      </c>
      <c r="C96" s="206" t="s">
        <v>398</v>
      </c>
      <c r="D96" s="206" t="s">
        <v>416</v>
      </c>
      <c r="E96" s="206">
        <v>60</v>
      </c>
      <c r="F96" s="214">
        <v>1068</v>
      </c>
    </row>
    <row r="97" spans="1:6" ht="40.5" customHeight="1" x14ac:dyDescent="0.2">
      <c r="A97" s="273" t="s">
        <v>384</v>
      </c>
      <c r="B97" s="273" t="s">
        <v>47</v>
      </c>
      <c r="C97" s="206" t="s">
        <v>399</v>
      </c>
      <c r="D97" s="206" t="s">
        <v>423</v>
      </c>
      <c r="E97" s="206">
        <v>20</v>
      </c>
      <c r="F97" s="214">
        <v>356.59999999999997</v>
      </c>
    </row>
    <row r="98" spans="1:6" s="223" customFormat="1" ht="20.100000000000001" customHeight="1" x14ac:dyDescent="0.25">
      <c r="A98" s="367" t="s">
        <v>331</v>
      </c>
      <c r="B98" s="368"/>
      <c r="C98" s="368"/>
      <c r="D98" s="368"/>
      <c r="E98" s="369"/>
      <c r="F98" s="213">
        <v>2838.6</v>
      </c>
    </row>
    <row r="99" spans="1:6" s="2" customFormat="1" ht="19.5" customHeight="1" x14ac:dyDescent="0.25">
      <c r="A99" s="160"/>
      <c r="B99" s="162"/>
      <c r="C99" s="162"/>
      <c r="D99" s="162"/>
      <c r="E99" s="162"/>
      <c r="F99" s="162"/>
    </row>
    <row r="100" spans="1:6" ht="19.5" customHeight="1" x14ac:dyDescent="0.2">
      <c r="A100" s="166" t="s">
        <v>27</v>
      </c>
      <c r="B100" s="201">
        <v>10</v>
      </c>
      <c r="C100" s="167"/>
      <c r="D100" s="167"/>
      <c r="E100" s="167"/>
      <c r="F100" s="167"/>
    </row>
    <row r="101" spans="1:6" ht="19.5" customHeight="1" x14ac:dyDescent="0.2">
      <c r="A101" s="167"/>
      <c r="B101" s="161"/>
      <c r="C101" s="167"/>
      <c r="D101" s="167"/>
      <c r="E101" s="167"/>
      <c r="F101" s="167"/>
    </row>
    <row r="102" spans="1:6" ht="12.75" customHeight="1" x14ac:dyDescent="0.2">
      <c r="A102" s="313" t="s">
        <v>28</v>
      </c>
      <c r="B102" s="321" t="s">
        <v>29</v>
      </c>
      <c r="C102" s="313" t="s">
        <v>56</v>
      </c>
      <c r="D102" s="313" t="s">
        <v>31</v>
      </c>
      <c r="E102" s="313" t="s">
        <v>32</v>
      </c>
      <c r="F102" s="314" t="s">
        <v>33</v>
      </c>
    </row>
    <row r="103" spans="1:6" ht="32.25" customHeight="1" x14ac:dyDescent="0.2">
      <c r="A103" s="313"/>
      <c r="B103" s="322"/>
      <c r="C103" s="313"/>
      <c r="D103" s="313"/>
      <c r="E103" s="313"/>
      <c r="F103" s="315"/>
    </row>
    <row r="104" spans="1:6" ht="45" customHeight="1" x14ac:dyDescent="0.2">
      <c r="A104" s="195" t="s">
        <v>381</v>
      </c>
      <c r="B104" s="195" t="s">
        <v>35</v>
      </c>
      <c r="C104" s="196" t="s">
        <v>397</v>
      </c>
      <c r="D104" s="203" t="s">
        <v>109</v>
      </c>
      <c r="E104" s="203">
        <v>200</v>
      </c>
      <c r="F104" s="214">
        <v>1134</v>
      </c>
    </row>
    <row r="105" spans="1:6" ht="39.75" customHeight="1" x14ac:dyDescent="0.2">
      <c r="A105" s="202" t="s">
        <v>40</v>
      </c>
      <c r="B105" s="195" t="s">
        <v>41</v>
      </c>
      <c r="C105" s="251" t="s">
        <v>400</v>
      </c>
      <c r="D105" s="206" t="s">
        <v>409</v>
      </c>
      <c r="E105" s="206">
        <v>60</v>
      </c>
      <c r="F105" s="214">
        <v>1020</v>
      </c>
    </row>
    <row r="106" spans="1:6" ht="34.5" customHeight="1" x14ac:dyDescent="0.2">
      <c r="A106" s="202" t="s">
        <v>44</v>
      </c>
      <c r="B106" s="195" t="s">
        <v>45</v>
      </c>
      <c r="C106" s="203" t="s">
        <v>94</v>
      </c>
      <c r="D106" s="203" t="s">
        <v>95</v>
      </c>
      <c r="E106" s="203">
        <v>167</v>
      </c>
      <c r="F106" s="214">
        <v>447.56</v>
      </c>
    </row>
    <row r="107" spans="1:6" s="223" customFormat="1" ht="20.100000000000001" customHeight="1" x14ac:dyDescent="0.25">
      <c r="A107" s="334" t="s">
        <v>331</v>
      </c>
      <c r="B107" s="335"/>
      <c r="C107" s="335"/>
      <c r="D107" s="335"/>
      <c r="E107" s="336"/>
      <c r="F107" s="213">
        <v>2601.56</v>
      </c>
    </row>
    <row r="108" spans="1:6" ht="19.5" customHeight="1" x14ac:dyDescent="0.25">
      <c r="A108" s="308" t="s">
        <v>120</v>
      </c>
      <c r="B108" s="309"/>
      <c r="C108" s="309"/>
      <c r="D108" s="309"/>
      <c r="E108" s="310"/>
      <c r="F108" s="216">
        <v>30724.62</v>
      </c>
    </row>
    <row r="109" spans="1:6" ht="19.5" customHeight="1" x14ac:dyDescent="0.25">
      <c r="A109" s="308" t="s">
        <v>430</v>
      </c>
      <c r="B109" s="309"/>
      <c r="C109" s="309"/>
      <c r="D109" s="309"/>
      <c r="E109" s="310"/>
      <c r="F109" s="216">
        <v>3072.46</v>
      </c>
    </row>
    <row r="110" spans="1:6" ht="19.5" customHeight="1" x14ac:dyDescent="0.25">
      <c r="A110" s="308" t="s">
        <v>401</v>
      </c>
      <c r="B110" s="309"/>
      <c r="C110" s="309"/>
      <c r="D110" s="309"/>
      <c r="E110" s="310"/>
      <c r="F110" s="216">
        <v>3060.12</v>
      </c>
    </row>
    <row r="111" spans="1:6" ht="19.5" customHeight="1" x14ac:dyDescent="0.25">
      <c r="A111" s="308" t="s">
        <v>431</v>
      </c>
      <c r="B111" s="309"/>
      <c r="C111" s="309"/>
      <c r="D111" s="309"/>
      <c r="E111" s="310"/>
      <c r="F111" s="253">
        <v>3.46</v>
      </c>
    </row>
    <row r="112" spans="1:6" ht="19.5" customHeight="1" x14ac:dyDescent="0.25">
      <c r="A112" s="308" t="s">
        <v>402</v>
      </c>
      <c r="B112" s="309"/>
      <c r="C112" s="309"/>
      <c r="D112" s="309"/>
      <c r="E112" s="310"/>
      <c r="F112" s="253">
        <v>3.48</v>
      </c>
    </row>
    <row r="113" spans="1:6" ht="19.5" customHeight="1" x14ac:dyDescent="0.25">
      <c r="A113" s="311"/>
      <c r="B113" s="311"/>
      <c r="C113" s="311"/>
      <c r="D113" s="311"/>
      <c r="E113" s="311"/>
      <c r="F113" s="311"/>
    </row>
    <row r="114" spans="1:6" ht="19.5" customHeight="1" x14ac:dyDescent="0.25">
      <c r="A114" s="311"/>
      <c r="B114" s="311"/>
      <c r="C114" s="311"/>
      <c r="D114" s="311"/>
      <c r="E114" s="311"/>
      <c r="F114" s="311"/>
    </row>
    <row r="115" spans="1:6" ht="19.5" customHeight="1" x14ac:dyDescent="0.25">
      <c r="A115" s="311"/>
      <c r="B115" s="311"/>
      <c r="C115" s="311"/>
      <c r="D115" s="311"/>
      <c r="E115" s="311"/>
      <c r="F115" s="311"/>
    </row>
    <row r="116" spans="1:6" ht="19.5" customHeight="1" x14ac:dyDescent="0.25">
      <c r="A116" s="311"/>
      <c r="B116" s="311"/>
      <c r="C116" s="311"/>
      <c r="D116" s="311"/>
      <c r="E116" s="311"/>
      <c r="F116" s="311"/>
    </row>
    <row r="117" spans="1:6" ht="19.5" customHeight="1" x14ac:dyDescent="0.25">
      <c r="A117" s="311"/>
      <c r="B117" s="311"/>
      <c r="C117" s="311"/>
      <c r="D117" s="311"/>
      <c r="E117" s="311"/>
      <c r="F117" s="311"/>
    </row>
  </sheetData>
  <mergeCells count="94">
    <mergeCell ref="A113:F113"/>
    <mergeCell ref="A114:F114"/>
    <mergeCell ref="A115:F115"/>
    <mergeCell ref="A116:F116"/>
    <mergeCell ref="A117:F117"/>
    <mergeCell ref="A112:E112"/>
    <mergeCell ref="F93:F94"/>
    <mergeCell ref="A98:E98"/>
    <mergeCell ref="A102:A103"/>
    <mergeCell ref="B102:B103"/>
    <mergeCell ref="C102:C103"/>
    <mergeCell ref="D102:D103"/>
    <mergeCell ref="E102:E103"/>
    <mergeCell ref="F102:F103"/>
    <mergeCell ref="A107:E107"/>
    <mergeCell ref="A108:E108"/>
    <mergeCell ref="A109:E109"/>
    <mergeCell ref="A110:E110"/>
    <mergeCell ref="A111:E111"/>
    <mergeCell ref="A89:E89"/>
    <mergeCell ref="A93:A94"/>
    <mergeCell ref="B93:B94"/>
    <mergeCell ref="C93:C94"/>
    <mergeCell ref="D93:D94"/>
    <mergeCell ref="E93:E94"/>
    <mergeCell ref="F75:F76"/>
    <mergeCell ref="A80:E80"/>
    <mergeCell ref="A84:A85"/>
    <mergeCell ref="B84:B85"/>
    <mergeCell ref="C84:C85"/>
    <mergeCell ref="D84:D85"/>
    <mergeCell ref="E84:E85"/>
    <mergeCell ref="F84:F85"/>
    <mergeCell ref="A71:E71"/>
    <mergeCell ref="A75:A76"/>
    <mergeCell ref="B75:B76"/>
    <mergeCell ref="C75:C76"/>
    <mergeCell ref="D75:D76"/>
    <mergeCell ref="E75:E76"/>
    <mergeCell ref="F57:F58"/>
    <mergeCell ref="A62:E62"/>
    <mergeCell ref="A66:A67"/>
    <mergeCell ref="B66:B67"/>
    <mergeCell ref="C66:C67"/>
    <mergeCell ref="D66:D67"/>
    <mergeCell ref="E66:E67"/>
    <mergeCell ref="F66:F67"/>
    <mergeCell ref="A53:E53"/>
    <mergeCell ref="A57:A58"/>
    <mergeCell ref="B57:B58"/>
    <mergeCell ref="C57:C58"/>
    <mergeCell ref="D57:D58"/>
    <mergeCell ref="E57:E58"/>
    <mergeCell ref="F39:F40"/>
    <mergeCell ref="A44:E44"/>
    <mergeCell ref="A48:A49"/>
    <mergeCell ref="B48:B49"/>
    <mergeCell ref="C48:C49"/>
    <mergeCell ref="D48:D49"/>
    <mergeCell ref="E48:E49"/>
    <mergeCell ref="F48:F49"/>
    <mergeCell ref="A35:E35"/>
    <mergeCell ref="A39:A40"/>
    <mergeCell ref="B39:B40"/>
    <mergeCell ref="C39:C40"/>
    <mergeCell ref="D39:D40"/>
    <mergeCell ref="E39:E40"/>
    <mergeCell ref="E21:E22"/>
    <mergeCell ref="F21:F22"/>
    <mergeCell ref="A26:E26"/>
    <mergeCell ref="A30:A31"/>
    <mergeCell ref="B30:B31"/>
    <mergeCell ref="C30:C31"/>
    <mergeCell ref="D30:D31"/>
    <mergeCell ref="E30:E31"/>
    <mergeCell ref="F30:F31"/>
    <mergeCell ref="D21:D22"/>
    <mergeCell ref="A15:B15"/>
    <mergeCell ref="B17:C17"/>
    <mergeCell ref="A21:A22"/>
    <mergeCell ref="B21:B22"/>
    <mergeCell ref="C21:C22"/>
    <mergeCell ref="A7:B7"/>
    <mergeCell ref="C7:F7"/>
    <mergeCell ref="A9:B9"/>
    <mergeCell ref="C11:D11"/>
    <mergeCell ref="A13:B13"/>
    <mergeCell ref="C13:D13"/>
    <mergeCell ref="A6:F6"/>
    <mergeCell ref="A1:F1"/>
    <mergeCell ref="A2:F2"/>
    <mergeCell ref="A3:F3"/>
    <mergeCell ref="A4:F4"/>
    <mergeCell ref="A5:F5"/>
  </mergeCells>
  <dataValidations count="5">
    <dataValidation type="list" allowBlank="1" showInputMessage="1" showErrorMessage="1" sqref="B17:C17">
      <formula1>"Preescolar,Primaria:Primero, Segundo y Tercero,Primaria:Cuarto y Quinto,Secundaria,Media y Nivel Complementario"</formula1>
    </dataValidation>
    <dataValidation type="list" allowBlank="1" showInputMessage="1" showErrorMessage="1" sqref="C9">
      <formula1>"Si,No"</formula1>
    </dataValidation>
    <dataValidation type="list" allowBlank="1" showInputMessage="1" showErrorMessage="1" sqref="C13:D13">
      <formula1>"Ración para Preparar en Sitio,Comida Caliente Transportada,Ración Industrializada"</formula1>
    </dataValidation>
    <dataValidation type="list" allowBlank="1" showInputMessage="1" showErrorMessage="1" sqref="C15">
      <formula1>"Complemento JM/JT,Almuerzo"</formula1>
    </dataValidation>
    <dataValidation type="list" allowBlank="1" showInputMessage="1" showErrorMessage="1" sqref="C11">
      <formula1>"Indígena,Afrocolombiano,Palenquero,Raizal,Rrom,Sin Pertenencia Étnica"</formula1>
    </dataValidation>
  </dataValidations>
  <pageMargins left="0.70866141732283472" right="0.70866141732283472" top="0.74803149606299213" bottom="0.74803149606299213" header="0.31496062992125984" footer="0.31496062992125984"/>
  <pageSetup paperSize="10000" scale="49" fitToHeight="0" orientation="landscape" r:id="rId1"/>
  <rowBreaks count="3" manualBreakCount="3">
    <brk id="35" max="5" man="1"/>
    <brk id="71" max="5" man="1"/>
    <brk id="99" max="5"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view="pageBreakPreview" topLeftCell="A105" zoomScaleNormal="84" zoomScaleSheetLayoutView="100" zoomScalePageLayoutView="77" workbookViewId="0">
      <selection activeCell="A117" sqref="A117:F117"/>
    </sheetView>
  </sheetViews>
  <sheetFormatPr baseColWidth="10" defaultColWidth="11.42578125" defaultRowHeight="14.25" x14ac:dyDescent="0.2"/>
  <cols>
    <col min="1" max="1" width="21" style="191" customWidth="1"/>
    <col min="2" max="2" width="36" style="191" customWidth="1"/>
    <col min="3" max="3" width="24.140625" style="191" customWidth="1"/>
    <col min="4" max="4" width="23.28515625" style="191" customWidth="1"/>
    <col min="5" max="6" width="13.28515625" style="191" customWidth="1"/>
    <col min="7" max="16384" width="11.42578125" style="1"/>
  </cols>
  <sheetData>
    <row r="1" spans="1:6" ht="15.75" customHeight="1" x14ac:dyDescent="0.25">
      <c r="A1" s="311" t="s">
        <v>0</v>
      </c>
      <c r="B1" s="311"/>
      <c r="C1" s="311"/>
      <c r="D1" s="311"/>
      <c r="E1" s="311"/>
      <c r="F1" s="311"/>
    </row>
    <row r="2" spans="1:6" ht="15.75" customHeight="1" x14ac:dyDescent="0.25">
      <c r="A2" s="311" t="s">
        <v>307</v>
      </c>
      <c r="B2" s="311"/>
      <c r="C2" s="311"/>
      <c r="D2" s="311"/>
      <c r="E2" s="311"/>
      <c r="F2" s="311"/>
    </row>
    <row r="3" spans="1:6" ht="15.75" customHeight="1" x14ac:dyDescent="0.25">
      <c r="A3" s="311" t="s">
        <v>273</v>
      </c>
      <c r="B3" s="311"/>
      <c r="C3" s="311"/>
      <c r="D3" s="311"/>
      <c r="E3" s="311"/>
      <c r="F3" s="311"/>
    </row>
    <row r="4" spans="1:6" ht="15.75" customHeight="1" x14ac:dyDescent="0.25">
      <c r="A4" s="311" t="s">
        <v>346</v>
      </c>
      <c r="B4" s="311"/>
      <c r="C4" s="311"/>
      <c r="D4" s="311"/>
      <c r="E4" s="311"/>
      <c r="F4" s="311"/>
    </row>
    <row r="5" spans="1:6" s="190" customFormat="1" ht="19.5" customHeight="1" x14ac:dyDescent="0.25">
      <c r="A5" s="354"/>
      <c r="B5" s="354"/>
      <c r="C5" s="354"/>
      <c r="D5" s="354"/>
      <c r="E5" s="354"/>
      <c r="F5" s="354"/>
    </row>
    <row r="6" spans="1:6" s="4" customFormat="1" ht="20.25" customHeight="1" x14ac:dyDescent="0.25">
      <c r="A6" s="313" t="s">
        <v>461</v>
      </c>
      <c r="B6" s="313"/>
      <c r="C6" s="313"/>
      <c r="D6" s="313"/>
      <c r="E6" s="313"/>
      <c r="F6" s="313"/>
    </row>
    <row r="7" spans="1:6" s="4" customFormat="1" ht="19.5" customHeight="1" x14ac:dyDescent="0.25">
      <c r="A7" s="351" t="s">
        <v>17</v>
      </c>
      <c r="B7" s="351"/>
      <c r="C7" s="321" t="s">
        <v>328</v>
      </c>
      <c r="D7" s="321"/>
      <c r="E7" s="321"/>
      <c r="F7" s="321"/>
    </row>
    <row r="8" spans="1:6" s="4" customFormat="1" ht="19.5" customHeight="1" x14ac:dyDescent="0.25">
      <c r="A8" s="160"/>
      <c r="B8" s="160"/>
      <c r="C8" s="161"/>
      <c r="D8" s="161"/>
      <c r="E8" s="161"/>
      <c r="F8" s="161"/>
    </row>
    <row r="9" spans="1:6" s="4" customFormat="1" ht="19.5" customHeight="1" x14ac:dyDescent="0.25">
      <c r="A9" s="351" t="s">
        <v>18</v>
      </c>
      <c r="B9" s="351"/>
      <c r="C9" s="201" t="s">
        <v>19</v>
      </c>
      <c r="D9" s="161"/>
      <c r="E9" s="161"/>
      <c r="F9" s="161"/>
    </row>
    <row r="10" spans="1:6" s="4" customFormat="1" ht="19.5" customHeight="1" x14ac:dyDescent="0.25">
      <c r="A10" s="160"/>
      <c r="B10" s="162"/>
      <c r="C10" s="162"/>
      <c r="D10" s="162"/>
      <c r="E10" s="162"/>
      <c r="F10" s="162"/>
    </row>
    <row r="11" spans="1:6" s="4" customFormat="1" ht="19.5" customHeight="1" x14ac:dyDescent="0.25">
      <c r="A11" s="205" t="s">
        <v>20</v>
      </c>
      <c r="B11" s="205"/>
      <c r="C11" s="321"/>
      <c r="D11" s="321"/>
      <c r="E11" s="163"/>
      <c r="F11" s="165"/>
    </row>
    <row r="12" spans="1:6" s="4" customFormat="1" ht="19.5" customHeight="1" x14ac:dyDescent="0.25">
      <c r="A12" s="160"/>
      <c r="B12" s="162"/>
      <c r="C12" s="162"/>
      <c r="D12" s="162"/>
      <c r="E12" s="162"/>
      <c r="F12" s="162"/>
    </row>
    <row r="13" spans="1:6" s="4" customFormat="1" ht="19.5" customHeight="1" x14ac:dyDescent="0.25">
      <c r="A13" s="351" t="s">
        <v>21</v>
      </c>
      <c r="B13" s="351"/>
      <c r="C13" s="352" t="s">
        <v>380</v>
      </c>
      <c r="D13" s="352"/>
      <c r="E13" s="162"/>
      <c r="F13" s="162"/>
    </row>
    <row r="14" spans="1:6" s="4" customFormat="1" ht="19.5" customHeight="1" x14ac:dyDescent="0.25">
      <c r="A14" s="160"/>
      <c r="B14" s="162"/>
      <c r="C14" s="162"/>
      <c r="D14" s="162"/>
      <c r="E14" s="162"/>
      <c r="F14" s="162"/>
    </row>
    <row r="15" spans="1:6" s="4" customFormat="1" ht="19.5" customHeight="1" x14ac:dyDescent="0.25">
      <c r="A15" s="348" t="s">
        <v>23</v>
      </c>
      <c r="B15" s="348"/>
      <c r="C15" s="164" t="s">
        <v>24</v>
      </c>
      <c r="D15" s="165"/>
      <c r="E15" s="165"/>
      <c r="F15" s="165"/>
    </row>
    <row r="16" spans="1:6" s="4" customFormat="1" ht="19.5" customHeight="1" x14ac:dyDescent="0.25">
      <c r="A16" s="160"/>
      <c r="B16" s="162"/>
      <c r="C16" s="162"/>
      <c r="D16" s="162"/>
      <c r="E16" s="162"/>
      <c r="F16" s="162"/>
    </row>
    <row r="17" spans="1:6" s="4" customFormat="1" ht="19.5" customHeight="1" x14ac:dyDescent="0.25">
      <c r="A17" s="204" t="s">
        <v>25</v>
      </c>
      <c r="B17" s="350" t="s">
        <v>26</v>
      </c>
      <c r="C17" s="350"/>
      <c r="D17" s="162"/>
      <c r="E17" s="162"/>
      <c r="F17" s="162"/>
    </row>
    <row r="18" spans="1:6" s="4" customFormat="1" ht="19.5" customHeight="1" x14ac:dyDescent="0.25">
      <c r="A18" s="160"/>
      <c r="B18" s="162"/>
      <c r="C18" s="162"/>
      <c r="D18" s="162"/>
      <c r="E18" s="162"/>
      <c r="F18" s="162"/>
    </row>
    <row r="19" spans="1:6" s="4" customFormat="1" ht="19.5" customHeight="1" x14ac:dyDescent="0.25">
      <c r="A19" s="166" t="s">
        <v>27</v>
      </c>
      <c r="B19" s="201">
        <v>1</v>
      </c>
      <c r="C19" s="167"/>
      <c r="D19" s="167"/>
      <c r="E19" s="167"/>
      <c r="F19" s="167"/>
    </row>
    <row r="20" spans="1:6" s="4" customFormat="1" ht="19.5" customHeight="1" x14ac:dyDescent="0.25">
      <c r="A20" s="167"/>
      <c r="B20" s="161"/>
      <c r="C20" s="167"/>
      <c r="D20" s="167"/>
      <c r="E20" s="167"/>
      <c r="F20" s="167"/>
    </row>
    <row r="21" spans="1:6" s="190" customFormat="1" ht="12.75" customHeight="1" x14ac:dyDescent="0.25">
      <c r="A21" s="321" t="s">
        <v>28</v>
      </c>
      <c r="B21" s="321" t="s">
        <v>29</v>
      </c>
      <c r="C21" s="321" t="s">
        <v>30</v>
      </c>
      <c r="D21" s="321" t="s">
        <v>31</v>
      </c>
      <c r="E21" s="321" t="s">
        <v>32</v>
      </c>
      <c r="F21" s="322" t="s">
        <v>33</v>
      </c>
    </row>
    <row r="22" spans="1:6" ht="33.75" customHeight="1" x14ac:dyDescent="0.2">
      <c r="A22" s="321"/>
      <c r="B22" s="321"/>
      <c r="C22" s="321"/>
      <c r="D22" s="321"/>
      <c r="E22" s="321"/>
      <c r="F22" s="349"/>
    </row>
    <row r="23" spans="1:6" ht="62.25" customHeight="1" x14ac:dyDescent="0.2">
      <c r="A23" s="195" t="s">
        <v>381</v>
      </c>
      <c r="B23" s="195" t="s">
        <v>35</v>
      </c>
      <c r="C23" s="196" t="s">
        <v>382</v>
      </c>
      <c r="D23" s="203" t="s">
        <v>387</v>
      </c>
      <c r="E23" s="203">
        <v>200</v>
      </c>
      <c r="F23" s="214">
        <v>1206</v>
      </c>
    </row>
    <row r="24" spans="1:6" ht="31.5" customHeight="1" x14ac:dyDescent="0.2">
      <c r="A24" s="202" t="s">
        <v>40</v>
      </c>
      <c r="B24" s="195" t="s">
        <v>41</v>
      </c>
      <c r="C24" s="196" t="s">
        <v>383</v>
      </c>
      <c r="D24" s="196" t="s">
        <v>407</v>
      </c>
      <c r="E24" s="203">
        <v>60</v>
      </c>
      <c r="F24" s="214">
        <v>756.59999999999991</v>
      </c>
    </row>
    <row r="25" spans="1:6" ht="30.75" customHeight="1" x14ac:dyDescent="0.2">
      <c r="A25" s="273" t="s">
        <v>44</v>
      </c>
      <c r="B25" s="274" t="s">
        <v>390</v>
      </c>
      <c r="C25" s="251" t="s">
        <v>464</v>
      </c>
      <c r="D25" s="206" t="s">
        <v>463</v>
      </c>
      <c r="E25" s="206">
        <v>142</v>
      </c>
      <c r="F25" s="272">
        <v>2016.3999999999999</v>
      </c>
    </row>
    <row r="26" spans="1:6" ht="19.5" customHeight="1" x14ac:dyDescent="0.2">
      <c r="A26" s="367" t="s">
        <v>331</v>
      </c>
      <c r="B26" s="368"/>
      <c r="C26" s="368"/>
      <c r="D26" s="368"/>
      <c r="E26" s="369"/>
      <c r="F26" s="216">
        <v>3979</v>
      </c>
    </row>
    <row r="27" spans="1:6" ht="19.5" customHeight="1" x14ac:dyDescent="0.25">
      <c r="A27" s="295"/>
      <c r="B27" s="295"/>
      <c r="C27" s="295"/>
      <c r="D27" s="295"/>
      <c r="E27" s="295"/>
      <c r="F27" s="295"/>
    </row>
    <row r="28" spans="1:6" ht="19.5" customHeight="1" x14ac:dyDescent="0.2">
      <c r="A28" s="296" t="s">
        <v>27</v>
      </c>
      <c r="B28" s="297">
        <v>2</v>
      </c>
      <c r="C28" s="298"/>
      <c r="D28" s="298"/>
      <c r="E28" s="298"/>
      <c r="F28" s="298"/>
    </row>
    <row r="29" spans="1:6" ht="19.5" customHeight="1" x14ac:dyDescent="0.2">
      <c r="A29" s="298"/>
      <c r="B29" s="299"/>
      <c r="C29" s="298"/>
      <c r="D29" s="298"/>
      <c r="E29" s="298"/>
      <c r="F29" s="298"/>
    </row>
    <row r="30" spans="1:6" ht="12.75" customHeight="1" x14ac:dyDescent="0.2">
      <c r="A30" s="370" t="s">
        <v>28</v>
      </c>
      <c r="B30" s="371" t="s">
        <v>29</v>
      </c>
      <c r="C30" s="370" t="s">
        <v>56</v>
      </c>
      <c r="D30" s="370" t="s">
        <v>31</v>
      </c>
      <c r="E30" s="370" t="s">
        <v>32</v>
      </c>
      <c r="F30" s="372" t="s">
        <v>33</v>
      </c>
    </row>
    <row r="31" spans="1:6" ht="35.25" customHeight="1" x14ac:dyDescent="0.2">
      <c r="A31" s="370"/>
      <c r="B31" s="371"/>
      <c r="C31" s="370"/>
      <c r="D31" s="370"/>
      <c r="E31" s="370"/>
      <c r="F31" s="373"/>
    </row>
    <row r="32" spans="1:6" ht="63.75" customHeight="1" x14ac:dyDescent="0.2">
      <c r="A32" s="274" t="s">
        <v>381</v>
      </c>
      <c r="B32" s="274" t="s">
        <v>35</v>
      </c>
      <c r="C32" s="251" t="s">
        <v>391</v>
      </c>
      <c r="D32" s="206" t="s">
        <v>110</v>
      </c>
      <c r="E32" s="206">
        <v>200</v>
      </c>
      <c r="F32" s="272">
        <v>1414</v>
      </c>
    </row>
    <row r="33" spans="1:6" ht="33.75" customHeight="1" x14ac:dyDescent="0.2">
      <c r="A33" s="273" t="s">
        <v>40</v>
      </c>
      <c r="B33" s="274" t="s">
        <v>41</v>
      </c>
      <c r="C33" s="206" t="s">
        <v>386</v>
      </c>
      <c r="D33" s="206" t="s">
        <v>465</v>
      </c>
      <c r="E33" s="206">
        <v>70</v>
      </c>
      <c r="F33" s="272">
        <v>1337.7</v>
      </c>
    </row>
    <row r="34" spans="1:6" ht="49.5" customHeight="1" x14ac:dyDescent="0.2">
      <c r="A34" s="273" t="s">
        <v>384</v>
      </c>
      <c r="B34" s="273" t="s">
        <v>47</v>
      </c>
      <c r="C34" s="206" t="s">
        <v>385</v>
      </c>
      <c r="D34" s="206" t="s">
        <v>425</v>
      </c>
      <c r="E34" s="206">
        <v>20</v>
      </c>
      <c r="F34" s="272">
        <v>406.59999999999997</v>
      </c>
    </row>
    <row r="35" spans="1:6" s="223" customFormat="1" ht="19.5" customHeight="1" x14ac:dyDescent="0.25">
      <c r="A35" s="367" t="s">
        <v>331</v>
      </c>
      <c r="B35" s="368"/>
      <c r="C35" s="368"/>
      <c r="D35" s="368"/>
      <c r="E35" s="369"/>
      <c r="F35" s="216">
        <v>3158.3</v>
      </c>
    </row>
    <row r="36" spans="1:6" s="2" customFormat="1" ht="19.5" customHeight="1" x14ac:dyDescent="0.25">
      <c r="A36" s="300"/>
      <c r="B36" s="301"/>
      <c r="C36" s="301"/>
      <c r="D36" s="301"/>
      <c r="E36" s="301"/>
      <c r="F36" s="301"/>
    </row>
    <row r="37" spans="1:6" s="2" customFormat="1" ht="19.5" customHeight="1" x14ac:dyDescent="0.25">
      <c r="A37" s="296" t="s">
        <v>27</v>
      </c>
      <c r="B37" s="297">
        <v>3</v>
      </c>
      <c r="C37" s="298"/>
      <c r="D37" s="298"/>
      <c r="E37" s="298"/>
      <c r="F37" s="298"/>
    </row>
    <row r="38" spans="1:6" s="2" customFormat="1" ht="19.5" customHeight="1" x14ac:dyDescent="0.25">
      <c r="A38" s="298"/>
      <c r="B38" s="299"/>
      <c r="C38" s="298"/>
      <c r="D38" s="298"/>
      <c r="E38" s="298"/>
      <c r="F38" s="298"/>
    </row>
    <row r="39" spans="1:6" ht="12.75" customHeight="1" x14ac:dyDescent="0.2">
      <c r="A39" s="370" t="s">
        <v>28</v>
      </c>
      <c r="B39" s="371" t="s">
        <v>29</v>
      </c>
      <c r="C39" s="370" t="s">
        <v>56</v>
      </c>
      <c r="D39" s="370" t="s">
        <v>31</v>
      </c>
      <c r="E39" s="370" t="s">
        <v>32</v>
      </c>
      <c r="F39" s="372" t="s">
        <v>33</v>
      </c>
    </row>
    <row r="40" spans="1:6" ht="32.25" customHeight="1" x14ac:dyDescent="0.2">
      <c r="A40" s="370"/>
      <c r="B40" s="371"/>
      <c r="C40" s="370"/>
      <c r="D40" s="370"/>
      <c r="E40" s="370"/>
      <c r="F40" s="373"/>
    </row>
    <row r="41" spans="1:6" ht="46.5" customHeight="1" x14ac:dyDescent="0.2">
      <c r="A41" s="274" t="s">
        <v>381</v>
      </c>
      <c r="B41" s="274" t="s">
        <v>35</v>
      </c>
      <c r="C41" s="251" t="s">
        <v>388</v>
      </c>
      <c r="D41" s="206" t="s">
        <v>109</v>
      </c>
      <c r="E41" s="206">
        <v>200</v>
      </c>
      <c r="F41" s="272">
        <v>1134</v>
      </c>
    </row>
    <row r="42" spans="1:6" ht="54" customHeight="1" x14ac:dyDescent="0.2">
      <c r="A42" s="273" t="s">
        <v>40</v>
      </c>
      <c r="B42" s="274" t="s">
        <v>41</v>
      </c>
      <c r="C42" s="251" t="s">
        <v>389</v>
      </c>
      <c r="D42" s="206" t="s">
        <v>421</v>
      </c>
      <c r="E42" s="206">
        <v>60</v>
      </c>
      <c r="F42" s="272">
        <v>1189.8</v>
      </c>
    </row>
    <row r="43" spans="1:6" ht="32.25" customHeight="1" x14ac:dyDescent="0.2">
      <c r="A43" s="273" t="s">
        <v>44</v>
      </c>
      <c r="B43" s="274" t="s">
        <v>45</v>
      </c>
      <c r="C43" s="251" t="s">
        <v>82</v>
      </c>
      <c r="D43" s="206" t="s">
        <v>83</v>
      </c>
      <c r="E43" s="206">
        <v>172</v>
      </c>
      <c r="F43" s="272">
        <v>400.76</v>
      </c>
    </row>
    <row r="44" spans="1:6" s="223" customFormat="1" ht="19.5" customHeight="1" x14ac:dyDescent="0.25">
      <c r="A44" s="367" t="s">
        <v>331</v>
      </c>
      <c r="B44" s="368"/>
      <c r="C44" s="368"/>
      <c r="D44" s="368"/>
      <c r="E44" s="369"/>
      <c r="F44" s="216">
        <v>2724.56</v>
      </c>
    </row>
    <row r="45" spans="1:6" ht="19.5" customHeight="1" x14ac:dyDescent="0.25">
      <c r="A45" s="295"/>
      <c r="B45" s="295"/>
      <c r="C45" s="295"/>
      <c r="D45" s="295"/>
      <c r="E45" s="295"/>
      <c r="F45" s="295"/>
    </row>
    <row r="46" spans="1:6" ht="19.5" customHeight="1" x14ac:dyDescent="0.2">
      <c r="A46" s="296" t="s">
        <v>27</v>
      </c>
      <c r="B46" s="297">
        <v>4</v>
      </c>
      <c r="C46" s="298"/>
      <c r="D46" s="298"/>
      <c r="E46" s="298"/>
      <c r="F46" s="298"/>
    </row>
    <row r="47" spans="1:6" ht="19.5" customHeight="1" x14ac:dyDescent="0.2">
      <c r="A47" s="300"/>
      <c r="B47" s="301"/>
      <c r="C47" s="301"/>
      <c r="D47" s="301"/>
      <c r="E47" s="301"/>
      <c r="F47" s="301"/>
    </row>
    <row r="48" spans="1:6" ht="12.75" customHeight="1" x14ac:dyDescent="0.2">
      <c r="A48" s="370" t="s">
        <v>28</v>
      </c>
      <c r="B48" s="371" t="s">
        <v>29</v>
      </c>
      <c r="C48" s="370" t="s">
        <v>56</v>
      </c>
      <c r="D48" s="370" t="s">
        <v>31</v>
      </c>
      <c r="E48" s="370" t="s">
        <v>32</v>
      </c>
      <c r="F48" s="372" t="s">
        <v>33</v>
      </c>
    </row>
    <row r="49" spans="1:6" ht="36.75" customHeight="1" x14ac:dyDescent="0.2">
      <c r="A49" s="370"/>
      <c r="B49" s="374"/>
      <c r="C49" s="370"/>
      <c r="D49" s="370"/>
      <c r="E49" s="370"/>
      <c r="F49" s="373"/>
    </row>
    <row r="50" spans="1:6" ht="66" customHeight="1" x14ac:dyDescent="0.2">
      <c r="A50" s="274" t="s">
        <v>381</v>
      </c>
      <c r="B50" s="274" t="s">
        <v>35</v>
      </c>
      <c r="C50" s="251" t="s">
        <v>391</v>
      </c>
      <c r="D50" s="206" t="s">
        <v>110</v>
      </c>
      <c r="E50" s="206">
        <v>200</v>
      </c>
      <c r="F50" s="272">
        <v>1414</v>
      </c>
    </row>
    <row r="51" spans="1:6" ht="36" customHeight="1" x14ac:dyDescent="0.2">
      <c r="A51" s="273" t="s">
        <v>40</v>
      </c>
      <c r="B51" s="274" t="s">
        <v>41</v>
      </c>
      <c r="C51" s="251" t="s">
        <v>392</v>
      </c>
      <c r="D51" s="206" t="s">
        <v>466</v>
      </c>
      <c r="E51" s="206">
        <v>70</v>
      </c>
      <c r="F51" s="272">
        <v>1225</v>
      </c>
    </row>
    <row r="52" spans="1:6" ht="47.25" customHeight="1" x14ac:dyDescent="0.2">
      <c r="A52" s="273" t="s">
        <v>384</v>
      </c>
      <c r="B52" s="273" t="s">
        <v>47</v>
      </c>
      <c r="C52" s="206" t="s">
        <v>393</v>
      </c>
      <c r="D52" s="206" t="s">
        <v>422</v>
      </c>
      <c r="E52" s="206">
        <v>20</v>
      </c>
      <c r="F52" s="272">
        <v>479.6</v>
      </c>
    </row>
    <row r="53" spans="1:6" s="223" customFormat="1" ht="19.5" customHeight="1" x14ac:dyDescent="0.25">
      <c r="A53" s="367" t="s">
        <v>331</v>
      </c>
      <c r="B53" s="368"/>
      <c r="C53" s="368"/>
      <c r="D53" s="368"/>
      <c r="E53" s="369"/>
      <c r="F53" s="216">
        <v>3118.6</v>
      </c>
    </row>
    <row r="54" spans="1:6" s="2" customFormat="1" ht="19.5" customHeight="1" x14ac:dyDescent="0.25">
      <c r="A54" s="300"/>
      <c r="B54" s="301"/>
      <c r="C54" s="301"/>
      <c r="D54" s="301"/>
      <c r="E54" s="301"/>
      <c r="F54" s="301"/>
    </row>
    <row r="55" spans="1:6" ht="19.5" customHeight="1" x14ac:dyDescent="0.2">
      <c r="A55" s="296" t="s">
        <v>27</v>
      </c>
      <c r="B55" s="297">
        <v>5</v>
      </c>
      <c r="C55" s="302"/>
      <c r="D55" s="298"/>
      <c r="E55" s="298"/>
      <c r="F55" s="298"/>
    </row>
    <row r="56" spans="1:6" ht="19.5" customHeight="1" x14ac:dyDescent="0.2">
      <c r="A56" s="298"/>
      <c r="B56" s="299"/>
      <c r="C56" s="298"/>
      <c r="D56" s="298"/>
      <c r="E56" s="298"/>
      <c r="F56" s="298"/>
    </row>
    <row r="57" spans="1:6" ht="12.75" customHeight="1" x14ac:dyDescent="0.2">
      <c r="A57" s="370" t="s">
        <v>28</v>
      </c>
      <c r="B57" s="371" t="s">
        <v>29</v>
      </c>
      <c r="C57" s="370" t="s">
        <v>56</v>
      </c>
      <c r="D57" s="370" t="s">
        <v>31</v>
      </c>
      <c r="E57" s="370" t="s">
        <v>32</v>
      </c>
      <c r="F57" s="372" t="s">
        <v>33</v>
      </c>
    </row>
    <row r="58" spans="1:6" ht="34.5" customHeight="1" x14ac:dyDescent="0.2">
      <c r="A58" s="370"/>
      <c r="B58" s="374"/>
      <c r="C58" s="370"/>
      <c r="D58" s="370"/>
      <c r="E58" s="370"/>
      <c r="F58" s="373"/>
    </row>
    <row r="59" spans="1:6" ht="63.75" customHeight="1" x14ac:dyDescent="0.2">
      <c r="A59" s="274" t="s">
        <v>381</v>
      </c>
      <c r="B59" s="274" t="s">
        <v>35</v>
      </c>
      <c r="C59" s="251" t="s">
        <v>382</v>
      </c>
      <c r="D59" s="206" t="s">
        <v>387</v>
      </c>
      <c r="E59" s="206">
        <v>200</v>
      </c>
      <c r="F59" s="272">
        <v>1206</v>
      </c>
    </row>
    <row r="60" spans="1:6" ht="32.25" customHeight="1" x14ac:dyDescent="0.2">
      <c r="A60" s="273" t="s">
        <v>40</v>
      </c>
      <c r="B60" s="274" t="s">
        <v>41</v>
      </c>
      <c r="C60" s="251" t="s">
        <v>428</v>
      </c>
      <c r="D60" s="206" t="s">
        <v>467</v>
      </c>
      <c r="E60" s="206">
        <v>70</v>
      </c>
      <c r="F60" s="272">
        <v>1190</v>
      </c>
    </row>
    <row r="61" spans="1:6" ht="30" customHeight="1" x14ac:dyDescent="0.2">
      <c r="A61" s="273" t="s">
        <v>44</v>
      </c>
      <c r="B61" s="274" t="s">
        <v>390</v>
      </c>
      <c r="C61" s="251" t="s">
        <v>15</v>
      </c>
      <c r="D61" s="206" t="s">
        <v>111</v>
      </c>
      <c r="E61" s="206">
        <v>142</v>
      </c>
      <c r="F61" s="272">
        <v>1826.12</v>
      </c>
    </row>
    <row r="62" spans="1:6" s="223" customFormat="1" ht="20.100000000000001" customHeight="1" x14ac:dyDescent="0.25">
      <c r="A62" s="367" t="s">
        <v>331</v>
      </c>
      <c r="B62" s="368"/>
      <c r="C62" s="368"/>
      <c r="D62" s="368"/>
      <c r="E62" s="369"/>
      <c r="F62" s="216">
        <v>4222.12</v>
      </c>
    </row>
    <row r="63" spans="1:6" s="2" customFormat="1" ht="19.5" customHeight="1" x14ac:dyDescent="0.25">
      <c r="A63" s="300"/>
      <c r="B63" s="301"/>
      <c r="C63" s="301"/>
      <c r="D63" s="301"/>
      <c r="E63" s="301"/>
      <c r="F63" s="301"/>
    </row>
    <row r="64" spans="1:6" ht="19.5" customHeight="1" x14ac:dyDescent="0.2">
      <c r="A64" s="296" t="s">
        <v>27</v>
      </c>
      <c r="B64" s="297">
        <v>6</v>
      </c>
      <c r="C64" s="298"/>
      <c r="D64" s="298"/>
      <c r="E64" s="298"/>
      <c r="F64" s="298"/>
    </row>
    <row r="65" spans="1:6" ht="19.5" customHeight="1" x14ac:dyDescent="0.2">
      <c r="A65" s="298"/>
      <c r="B65" s="299"/>
      <c r="C65" s="298"/>
      <c r="D65" s="298"/>
      <c r="E65" s="298"/>
      <c r="F65" s="298"/>
    </row>
    <row r="66" spans="1:6" ht="12.75" customHeight="1" x14ac:dyDescent="0.2">
      <c r="A66" s="370" t="s">
        <v>28</v>
      </c>
      <c r="B66" s="371" t="s">
        <v>29</v>
      </c>
      <c r="C66" s="370" t="s">
        <v>56</v>
      </c>
      <c r="D66" s="370" t="s">
        <v>31</v>
      </c>
      <c r="E66" s="370" t="s">
        <v>32</v>
      </c>
      <c r="F66" s="372" t="s">
        <v>33</v>
      </c>
    </row>
    <row r="67" spans="1:6" ht="35.25" customHeight="1" x14ac:dyDescent="0.2">
      <c r="A67" s="370"/>
      <c r="B67" s="371"/>
      <c r="C67" s="370"/>
      <c r="D67" s="370"/>
      <c r="E67" s="370"/>
      <c r="F67" s="373"/>
    </row>
    <row r="68" spans="1:6" ht="63.75" customHeight="1" x14ac:dyDescent="0.2">
      <c r="A68" s="274" t="s">
        <v>381</v>
      </c>
      <c r="B68" s="274" t="s">
        <v>35</v>
      </c>
      <c r="C68" s="251" t="s">
        <v>391</v>
      </c>
      <c r="D68" s="206" t="s">
        <v>110</v>
      </c>
      <c r="E68" s="206">
        <v>200</v>
      </c>
      <c r="F68" s="272">
        <v>1414</v>
      </c>
    </row>
    <row r="69" spans="1:6" ht="45" customHeight="1" x14ac:dyDescent="0.2">
      <c r="A69" s="273" t="s">
        <v>40</v>
      </c>
      <c r="B69" s="274" t="s">
        <v>41</v>
      </c>
      <c r="C69" s="251" t="s">
        <v>394</v>
      </c>
      <c r="D69" s="251" t="s">
        <v>414</v>
      </c>
      <c r="E69" s="206">
        <v>60</v>
      </c>
      <c r="F69" s="272">
        <v>926.4</v>
      </c>
    </row>
    <row r="70" spans="1:6" ht="31.5" customHeight="1" x14ac:dyDescent="0.2">
      <c r="A70" s="273" t="s">
        <v>44</v>
      </c>
      <c r="B70" s="274" t="s">
        <v>45</v>
      </c>
      <c r="C70" s="251" t="s">
        <v>14</v>
      </c>
      <c r="D70" s="206" t="s">
        <v>89</v>
      </c>
      <c r="E70" s="206">
        <v>172</v>
      </c>
      <c r="F70" s="272">
        <v>1078.4399999999998</v>
      </c>
    </row>
    <row r="71" spans="1:6" s="223" customFormat="1" ht="19.5" customHeight="1" x14ac:dyDescent="0.25">
      <c r="A71" s="367" t="s">
        <v>331</v>
      </c>
      <c r="B71" s="368"/>
      <c r="C71" s="368"/>
      <c r="D71" s="368"/>
      <c r="E71" s="369"/>
      <c r="F71" s="216">
        <v>3418.84</v>
      </c>
    </row>
    <row r="72" spans="1:6" s="2" customFormat="1" ht="19.5" customHeight="1" x14ac:dyDescent="0.25">
      <c r="A72" s="300"/>
      <c r="B72" s="301"/>
      <c r="C72" s="301"/>
      <c r="D72" s="301"/>
      <c r="E72" s="301"/>
      <c r="F72" s="301"/>
    </row>
    <row r="73" spans="1:6" ht="19.5" customHeight="1" x14ac:dyDescent="0.2">
      <c r="A73" s="296" t="s">
        <v>27</v>
      </c>
      <c r="B73" s="297">
        <v>7</v>
      </c>
      <c r="C73" s="298"/>
      <c r="D73" s="298"/>
      <c r="E73" s="298"/>
      <c r="F73" s="298"/>
    </row>
    <row r="74" spans="1:6" ht="19.5" customHeight="1" x14ac:dyDescent="0.2">
      <c r="A74" s="298"/>
      <c r="B74" s="299"/>
      <c r="C74" s="298"/>
      <c r="D74" s="298"/>
      <c r="E74" s="298"/>
      <c r="F74" s="298"/>
    </row>
    <row r="75" spans="1:6" ht="12.75" customHeight="1" x14ac:dyDescent="0.2">
      <c r="A75" s="370" t="s">
        <v>28</v>
      </c>
      <c r="B75" s="371" t="s">
        <v>29</v>
      </c>
      <c r="C75" s="375" t="s">
        <v>56</v>
      </c>
      <c r="D75" s="370" t="s">
        <v>31</v>
      </c>
      <c r="E75" s="370" t="s">
        <v>32</v>
      </c>
      <c r="F75" s="372" t="s">
        <v>33</v>
      </c>
    </row>
    <row r="76" spans="1:6" ht="34.5" customHeight="1" x14ac:dyDescent="0.2">
      <c r="A76" s="370"/>
      <c r="B76" s="374"/>
      <c r="C76" s="375"/>
      <c r="D76" s="370"/>
      <c r="E76" s="370"/>
      <c r="F76" s="373"/>
    </row>
    <row r="77" spans="1:6" ht="67.5" customHeight="1" x14ac:dyDescent="0.2">
      <c r="A77" s="274" t="s">
        <v>381</v>
      </c>
      <c r="B77" s="274" t="s">
        <v>35</v>
      </c>
      <c r="C77" s="251" t="s">
        <v>395</v>
      </c>
      <c r="D77" s="206" t="s">
        <v>387</v>
      </c>
      <c r="E77" s="206">
        <v>200</v>
      </c>
      <c r="F77" s="272">
        <v>1206</v>
      </c>
    </row>
    <row r="78" spans="1:6" ht="37.5" customHeight="1" x14ac:dyDescent="0.2">
      <c r="A78" s="273" t="s">
        <v>40</v>
      </c>
      <c r="B78" s="274" t="s">
        <v>41</v>
      </c>
      <c r="C78" s="251" t="s">
        <v>386</v>
      </c>
      <c r="D78" s="206" t="s">
        <v>465</v>
      </c>
      <c r="E78" s="206">
        <v>70</v>
      </c>
      <c r="F78" s="272">
        <v>1337.7</v>
      </c>
    </row>
    <row r="79" spans="1:6" ht="33.75" customHeight="1" x14ac:dyDescent="0.2">
      <c r="A79" s="273" t="s">
        <v>384</v>
      </c>
      <c r="B79" s="273" t="s">
        <v>47</v>
      </c>
      <c r="C79" s="206" t="s">
        <v>396</v>
      </c>
      <c r="D79" s="206" t="s">
        <v>426</v>
      </c>
      <c r="E79" s="206">
        <v>20</v>
      </c>
      <c r="F79" s="272">
        <v>392.59999999999997</v>
      </c>
    </row>
    <row r="80" spans="1:6" s="223" customFormat="1" ht="20.100000000000001" customHeight="1" x14ac:dyDescent="0.25">
      <c r="A80" s="367" t="s">
        <v>331</v>
      </c>
      <c r="B80" s="368"/>
      <c r="C80" s="368"/>
      <c r="D80" s="368"/>
      <c r="E80" s="369"/>
      <c r="F80" s="216">
        <v>2936.3</v>
      </c>
    </row>
    <row r="81" spans="1:6" s="2" customFormat="1" ht="19.5" customHeight="1" x14ac:dyDescent="0.25">
      <c r="A81" s="300"/>
      <c r="B81" s="301"/>
      <c r="C81" s="301"/>
      <c r="D81" s="301"/>
      <c r="E81" s="301"/>
      <c r="F81" s="301"/>
    </row>
    <row r="82" spans="1:6" ht="19.5" customHeight="1" x14ac:dyDescent="0.2">
      <c r="A82" s="296" t="s">
        <v>27</v>
      </c>
      <c r="B82" s="297">
        <v>8</v>
      </c>
      <c r="C82" s="298"/>
      <c r="D82" s="298"/>
      <c r="E82" s="298"/>
      <c r="F82" s="298"/>
    </row>
    <row r="83" spans="1:6" ht="19.5" customHeight="1" x14ac:dyDescent="0.2">
      <c r="A83" s="298"/>
      <c r="B83" s="299"/>
      <c r="C83" s="298"/>
      <c r="D83" s="298"/>
      <c r="E83" s="298"/>
      <c r="F83" s="298"/>
    </row>
    <row r="84" spans="1:6" ht="18.75" customHeight="1" x14ac:dyDescent="0.2">
      <c r="A84" s="370" t="s">
        <v>28</v>
      </c>
      <c r="B84" s="371" t="s">
        <v>29</v>
      </c>
      <c r="C84" s="370" t="s">
        <v>56</v>
      </c>
      <c r="D84" s="370" t="s">
        <v>31</v>
      </c>
      <c r="E84" s="370" t="s">
        <v>32</v>
      </c>
      <c r="F84" s="372" t="s">
        <v>33</v>
      </c>
    </row>
    <row r="85" spans="1:6" ht="34.5" customHeight="1" x14ac:dyDescent="0.2">
      <c r="A85" s="370"/>
      <c r="B85" s="374"/>
      <c r="C85" s="370"/>
      <c r="D85" s="370"/>
      <c r="E85" s="370"/>
      <c r="F85" s="373"/>
    </row>
    <row r="86" spans="1:6" ht="46.5" customHeight="1" x14ac:dyDescent="0.2">
      <c r="A86" s="274" t="s">
        <v>381</v>
      </c>
      <c r="B86" s="274" t="s">
        <v>35</v>
      </c>
      <c r="C86" s="303" t="s">
        <v>397</v>
      </c>
      <c r="D86" s="206" t="s">
        <v>109</v>
      </c>
      <c r="E86" s="206">
        <v>200</v>
      </c>
      <c r="F86" s="272">
        <v>1134</v>
      </c>
    </row>
    <row r="87" spans="1:6" ht="33" customHeight="1" x14ac:dyDescent="0.2">
      <c r="A87" s="273" t="s">
        <v>40</v>
      </c>
      <c r="B87" s="274" t="s">
        <v>41</v>
      </c>
      <c r="C87" s="251" t="s">
        <v>392</v>
      </c>
      <c r="D87" s="206" t="s">
        <v>466</v>
      </c>
      <c r="E87" s="206">
        <v>70</v>
      </c>
      <c r="F87" s="272">
        <v>1225</v>
      </c>
    </row>
    <row r="88" spans="1:6" ht="30" customHeight="1" x14ac:dyDescent="0.2">
      <c r="A88" s="273" t="s">
        <v>44</v>
      </c>
      <c r="B88" s="274" t="s">
        <v>45</v>
      </c>
      <c r="C88" s="206" t="s">
        <v>15</v>
      </c>
      <c r="D88" s="206" t="s">
        <v>111</v>
      </c>
      <c r="E88" s="206">
        <v>142</v>
      </c>
      <c r="F88" s="272">
        <v>1826.12</v>
      </c>
    </row>
    <row r="89" spans="1:6" s="223" customFormat="1" ht="20.100000000000001" customHeight="1" x14ac:dyDescent="0.25">
      <c r="A89" s="367" t="s">
        <v>331</v>
      </c>
      <c r="B89" s="368"/>
      <c r="C89" s="368"/>
      <c r="D89" s="368"/>
      <c r="E89" s="369"/>
      <c r="F89" s="216">
        <v>4185.12</v>
      </c>
    </row>
    <row r="90" spans="1:6" s="2" customFormat="1" ht="18.75" customHeight="1" x14ac:dyDescent="0.25">
      <c r="A90" s="300"/>
      <c r="B90" s="301"/>
      <c r="C90" s="301"/>
      <c r="D90" s="301"/>
      <c r="E90" s="301"/>
      <c r="F90" s="301"/>
    </row>
    <row r="91" spans="1:6" ht="18.75" customHeight="1" x14ac:dyDescent="0.2">
      <c r="A91" s="296" t="s">
        <v>27</v>
      </c>
      <c r="B91" s="297">
        <v>9</v>
      </c>
      <c r="C91" s="298"/>
      <c r="D91" s="298"/>
      <c r="E91" s="298"/>
      <c r="F91" s="298"/>
    </row>
    <row r="92" spans="1:6" ht="18.75" customHeight="1" x14ac:dyDescent="0.2">
      <c r="A92" s="298"/>
      <c r="B92" s="299"/>
      <c r="C92" s="298"/>
      <c r="D92" s="298"/>
      <c r="E92" s="298"/>
      <c r="F92" s="298"/>
    </row>
    <row r="93" spans="1:6" ht="12.75" customHeight="1" x14ac:dyDescent="0.2">
      <c r="A93" s="370" t="s">
        <v>28</v>
      </c>
      <c r="B93" s="371" t="s">
        <v>29</v>
      </c>
      <c r="C93" s="370" t="s">
        <v>56</v>
      </c>
      <c r="D93" s="370" t="s">
        <v>31</v>
      </c>
      <c r="E93" s="370" t="s">
        <v>32</v>
      </c>
      <c r="F93" s="372" t="s">
        <v>33</v>
      </c>
    </row>
    <row r="94" spans="1:6" ht="35.25" customHeight="1" x14ac:dyDescent="0.2">
      <c r="A94" s="370"/>
      <c r="B94" s="374"/>
      <c r="C94" s="370"/>
      <c r="D94" s="370"/>
      <c r="E94" s="370"/>
      <c r="F94" s="373"/>
    </row>
    <row r="95" spans="1:6" ht="66" customHeight="1" x14ac:dyDescent="0.2">
      <c r="A95" s="274" t="s">
        <v>381</v>
      </c>
      <c r="B95" s="274" t="s">
        <v>35</v>
      </c>
      <c r="C95" s="251" t="s">
        <v>391</v>
      </c>
      <c r="D95" s="206" t="s">
        <v>110</v>
      </c>
      <c r="E95" s="206">
        <v>200</v>
      </c>
      <c r="F95" s="272">
        <v>1414</v>
      </c>
    </row>
    <row r="96" spans="1:6" ht="36.75" customHeight="1" x14ac:dyDescent="0.2">
      <c r="A96" s="273" t="s">
        <v>40</v>
      </c>
      <c r="B96" s="274" t="s">
        <v>41</v>
      </c>
      <c r="C96" s="206" t="s">
        <v>398</v>
      </c>
      <c r="D96" s="206" t="s">
        <v>468</v>
      </c>
      <c r="E96" s="206">
        <v>70</v>
      </c>
      <c r="F96" s="272">
        <v>1213.0999999999999</v>
      </c>
    </row>
    <row r="97" spans="1:6" ht="40.5" customHeight="1" x14ac:dyDescent="0.2">
      <c r="A97" s="273" t="s">
        <v>384</v>
      </c>
      <c r="B97" s="273" t="s">
        <v>47</v>
      </c>
      <c r="C97" s="206" t="s">
        <v>399</v>
      </c>
      <c r="D97" s="206" t="s">
        <v>423</v>
      </c>
      <c r="E97" s="206">
        <v>20</v>
      </c>
      <c r="F97" s="272">
        <v>356.59999999999997</v>
      </c>
    </row>
    <row r="98" spans="1:6" s="223" customFormat="1" ht="20.100000000000001" customHeight="1" x14ac:dyDescent="0.25">
      <c r="A98" s="367" t="s">
        <v>331</v>
      </c>
      <c r="B98" s="368"/>
      <c r="C98" s="368"/>
      <c r="D98" s="368"/>
      <c r="E98" s="369"/>
      <c r="F98" s="216">
        <v>2983.7</v>
      </c>
    </row>
    <row r="99" spans="1:6" s="2" customFormat="1" ht="19.5" customHeight="1" x14ac:dyDescent="0.25">
      <c r="A99" s="300"/>
      <c r="B99" s="301"/>
      <c r="C99" s="301"/>
      <c r="D99" s="301"/>
      <c r="E99" s="301"/>
      <c r="F99" s="301"/>
    </row>
    <row r="100" spans="1:6" ht="19.5" customHeight="1" x14ac:dyDescent="0.2">
      <c r="A100" s="296" t="s">
        <v>27</v>
      </c>
      <c r="B100" s="297">
        <v>10</v>
      </c>
      <c r="C100" s="298"/>
      <c r="D100" s="298"/>
      <c r="E100" s="298"/>
      <c r="F100" s="298"/>
    </row>
    <row r="101" spans="1:6" ht="19.5" customHeight="1" x14ac:dyDescent="0.2">
      <c r="A101" s="298"/>
      <c r="B101" s="299"/>
      <c r="C101" s="298"/>
      <c r="D101" s="298"/>
      <c r="E101" s="298"/>
      <c r="F101" s="298"/>
    </row>
    <row r="102" spans="1:6" ht="12.75" customHeight="1" x14ac:dyDescent="0.2">
      <c r="A102" s="370" t="s">
        <v>28</v>
      </c>
      <c r="B102" s="371" t="s">
        <v>29</v>
      </c>
      <c r="C102" s="370" t="s">
        <v>56</v>
      </c>
      <c r="D102" s="370" t="s">
        <v>31</v>
      </c>
      <c r="E102" s="370" t="s">
        <v>32</v>
      </c>
      <c r="F102" s="372" t="s">
        <v>33</v>
      </c>
    </row>
    <row r="103" spans="1:6" ht="32.25" customHeight="1" x14ac:dyDescent="0.2">
      <c r="A103" s="370"/>
      <c r="B103" s="374"/>
      <c r="C103" s="370"/>
      <c r="D103" s="370"/>
      <c r="E103" s="370"/>
      <c r="F103" s="373"/>
    </row>
    <row r="104" spans="1:6" ht="45" customHeight="1" x14ac:dyDescent="0.2">
      <c r="A104" s="274" t="s">
        <v>381</v>
      </c>
      <c r="B104" s="274" t="s">
        <v>35</v>
      </c>
      <c r="C104" s="251" t="s">
        <v>397</v>
      </c>
      <c r="D104" s="206" t="s">
        <v>109</v>
      </c>
      <c r="E104" s="206">
        <v>200</v>
      </c>
      <c r="F104" s="272">
        <v>1134</v>
      </c>
    </row>
    <row r="105" spans="1:6" ht="35.25" customHeight="1" x14ac:dyDescent="0.2">
      <c r="A105" s="273" t="s">
        <v>40</v>
      </c>
      <c r="B105" s="274" t="s">
        <v>41</v>
      </c>
      <c r="C105" s="251" t="s">
        <v>400</v>
      </c>
      <c r="D105" s="206" t="s">
        <v>467</v>
      </c>
      <c r="E105" s="206">
        <v>70</v>
      </c>
      <c r="F105" s="272">
        <v>1190</v>
      </c>
    </row>
    <row r="106" spans="1:6" ht="34.5" customHeight="1" x14ac:dyDescent="0.2">
      <c r="A106" s="273" t="s">
        <v>44</v>
      </c>
      <c r="B106" s="274" t="s">
        <v>45</v>
      </c>
      <c r="C106" s="206" t="s">
        <v>94</v>
      </c>
      <c r="D106" s="206" t="s">
        <v>95</v>
      </c>
      <c r="E106" s="206">
        <v>200</v>
      </c>
      <c r="F106" s="272">
        <v>536</v>
      </c>
    </row>
    <row r="107" spans="1:6" s="223" customFormat="1" ht="20.100000000000001" customHeight="1" x14ac:dyDescent="0.25">
      <c r="A107" s="367" t="s">
        <v>331</v>
      </c>
      <c r="B107" s="368"/>
      <c r="C107" s="368"/>
      <c r="D107" s="368"/>
      <c r="E107" s="369"/>
      <c r="F107" s="216">
        <v>2860</v>
      </c>
    </row>
    <row r="108" spans="1:6" ht="19.5" customHeight="1" x14ac:dyDescent="0.25">
      <c r="A108" s="308" t="s">
        <v>120</v>
      </c>
      <c r="B108" s="309"/>
      <c r="C108" s="309"/>
      <c r="D108" s="309"/>
      <c r="E108" s="310"/>
      <c r="F108" s="216">
        <v>33586.54</v>
      </c>
    </row>
    <row r="109" spans="1:6" ht="19.5" customHeight="1" x14ac:dyDescent="0.25">
      <c r="A109" s="308" t="s">
        <v>432</v>
      </c>
      <c r="B109" s="309"/>
      <c r="C109" s="309"/>
      <c r="D109" s="309"/>
      <c r="E109" s="310"/>
      <c r="F109" s="216">
        <v>3358.65</v>
      </c>
    </row>
    <row r="110" spans="1:6" ht="19.5" customHeight="1" x14ac:dyDescent="0.25">
      <c r="A110" s="308" t="s">
        <v>401</v>
      </c>
      <c r="B110" s="309"/>
      <c r="C110" s="309"/>
      <c r="D110" s="309"/>
      <c r="E110" s="310"/>
      <c r="F110" s="216">
        <v>3060.12</v>
      </c>
    </row>
    <row r="111" spans="1:6" ht="19.5" customHeight="1" x14ac:dyDescent="0.25">
      <c r="A111" s="308" t="s">
        <v>433</v>
      </c>
      <c r="B111" s="309"/>
      <c r="C111" s="309"/>
      <c r="D111" s="309"/>
      <c r="E111" s="310"/>
      <c r="F111" s="253">
        <v>3.72</v>
      </c>
    </row>
    <row r="112" spans="1:6" ht="19.5" customHeight="1" x14ac:dyDescent="0.25">
      <c r="A112" s="308" t="s">
        <v>402</v>
      </c>
      <c r="B112" s="309"/>
      <c r="C112" s="309"/>
      <c r="D112" s="309"/>
      <c r="E112" s="310"/>
      <c r="F112" s="253">
        <v>3.48</v>
      </c>
    </row>
    <row r="113" spans="1:6" ht="19.5" customHeight="1" x14ac:dyDescent="0.25">
      <c r="A113" s="311"/>
      <c r="B113" s="311"/>
      <c r="C113" s="311"/>
      <c r="D113" s="311"/>
      <c r="E113" s="311"/>
      <c r="F113" s="311"/>
    </row>
    <row r="114" spans="1:6" ht="19.5" customHeight="1" x14ac:dyDescent="0.25">
      <c r="A114" s="311"/>
      <c r="B114" s="311"/>
      <c r="C114" s="311"/>
      <c r="D114" s="311"/>
      <c r="E114" s="311"/>
      <c r="F114" s="311"/>
    </row>
    <row r="115" spans="1:6" ht="19.5" customHeight="1" x14ac:dyDescent="0.25">
      <c r="A115" s="311"/>
      <c r="B115" s="311"/>
      <c r="C115" s="311"/>
      <c r="D115" s="311"/>
      <c r="E115" s="311"/>
      <c r="F115" s="311"/>
    </row>
    <row r="116" spans="1:6" ht="19.5" customHeight="1" x14ac:dyDescent="0.25">
      <c r="A116" s="311"/>
      <c r="B116" s="311"/>
      <c r="C116" s="311"/>
      <c r="D116" s="311"/>
      <c r="E116" s="311"/>
      <c r="F116" s="311"/>
    </row>
    <row r="117" spans="1:6" ht="19.5" customHeight="1" x14ac:dyDescent="0.25">
      <c r="A117" s="311"/>
      <c r="B117" s="311"/>
      <c r="C117" s="311"/>
      <c r="D117" s="311"/>
      <c r="E117" s="311"/>
      <c r="F117" s="311"/>
    </row>
  </sheetData>
  <mergeCells count="94">
    <mergeCell ref="A113:F113"/>
    <mergeCell ref="A114:F114"/>
    <mergeCell ref="A115:F115"/>
    <mergeCell ref="A116:F116"/>
    <mergeCell ref="A117:F117"/>
    <mergeCell ref="A112:E112"/>
    <mergeCell ref="F93:F94"/>
    <mergeCell ref="A98:E98"/>
    <mergeCell ref="A102:A103"/>
    <mergeCell ref="B102:B103"/>
    <mergeCell ref="C102:C103"/>
    <mergeCell ref="D102:D103"/>
    <mergeCell ref="E102:E103"/>
    <mergeCell ref="F102:F103"/>
    <mergeCell ref="A107:E107"/>
    <mergeCell ref="A108:E108"/>
    <mergeCell ref="A109:E109"/>
    <mergeCell ref="A110:E110"/>
    <mergeCell ref="A111:E111"/>
    <mergeCell ref="A89:E89"/>
    <mergeCell ref="A93:A94"/>
    <mergeCell ref="B93:B94"/>
    <mergeCell ref="C93:C94"/>
    <mergeCell ref="D93:D94"/>
    <mergeCell ref="E93:E94"/>
    <mergeCell ref="F75:F76"/>
    <mergeCell ref="A80:E80"/>
    <mergeCell ref="A84:A85"/>
    <mergeCell ref="B84:B85"/>
    <mergeCell ref="C84:C85"/>
    <mergeCell ref="D84:D85"/>
    <mergeCell ref="E84:E85"/>
    <mergeCell ref="F84:F85"/>
    <mergeCell ref="A71:E71"/>
    <mergeCell ref="A75:A76"/>
    <mergeCell ref="B75:B76"/>
    <mergeCell ref="C75:C76"/>
    <mergeCell ref="D75:D76"/>
    <mergeCell ref="E75:E76"/>
    <mergeCell ref="F57:F58"/>
    <mergeCell ref="A62:E62"/>
    <mergeCell ref="A66:A67"/>
    <mergeCell ref="B66:B67"/>
    <mergeCell ref="C66:C67"/>
    <mergeCell ref="D66:D67"/>
    <mergeCell ref="E66:E67"/>
    <mergeCell ref="F66:F67"/>
    <mergeCell ref="A53:E53"/>
    <mergeCell ref="A57:A58"/>
    <mergeCell ref="B57:B58"/>
    <mergeCell ref="C57:C58"/>
    <mergeCell ref="D57:D58"/>
    <mergeCell ref="E57:E58"/>
    <mergeCell ref="F39:F40"/>
    <mergeCell ref="A44:E44"/>
    <mergeCell ref="A48:A49"/>
    <mergeCell ref="B48:B49"/>
    <mergeCell ref="C48:C49"/>
    <mergeCell ref="D48:D49"/>
    <mergeCell ref="E48:E49"/>
    <mergeCell ref="F48:F49"/>
    <mergeCell ref="A35:E35"/>
    <mergeCell ref="A39:A40"/>
    <mergeCell ref="B39:B40"/>
    <mergeCell ref="C39:C40"/>
    <mergeCell ref="D39:D40"/>
    <mergeCell ref="E39:E40"/>
    <mergeCell ref="E21:E22"/>
    <mergeCell ref="F21:F22"/>
    <mergeCell ref="A26:E26"/>
    <mergeCell ref="A30:A31"/>
    <mergeCell ref="B30:B31"/>
    <mergeCell ref="C30:C31"/>
    <mergeCell ref="D30:D31"/>
    <mergeCell ref="E30:E31"/>
    <mergeCell ref="F30:F31"/>
    <mergeCell ref="D21:D22"/>
    <mergeCell ref="A15:B15"/>
    <mergeCell ref="B17:C17"/>
    <mergeCell ref="A21:A22"/>
    <mergeCell ref="B21:B22"/>
    <mergeCell ref="C21:C22"/>
    <mergeCell ref="A7:B7"/>
    <mergeCell ref="C7:F7"/>
    <mergeCell ref="A9:B9"/>
    <mergeCell ref="C11:D11"/>
    <mergeCell ref="A13:B13"/>
    <mergeCell ref="C13:D13"/>
    <mergeCell ref="A6:F6"/>
    <mergeCell ref="A1:F1"/>
    <mergeCell ref="A2:F2"/>
    <mergeCell ref="A3:F3"/>
    <mergeCell ref="A4:F4"/>
    <mergeCell ref="A5:F5"/>
  </mergeCells>
  <dataValidations count="5">
    <dataValidation type="list" allowBlank="1" showInputMessage="1" showErrorMessage="1" sqref="B17:C17">
      <formula1>"Preescolar,Primaria:Primero, Segundo y Tercero,Primaria:Cuarto y Quinto,Secundaria,Media y Nivel Complementario"</formula1>
    </dataValidation>
    <dataValidation type="list" allowBlank="1" showInputMessage="1" showErrorMessage="1" sqref="C9">
      <formula1>"Si,No"</formula1>
    </dataValidation>
    <dataValidation type="list" allowBlank="1" showInputMessage="1" showErrorMessage="1" sqref="C13:D13">
      <formula1>"Ración para Preparar en Sitio,Comida Caliente Transportada,Ración Industrializada"</formula1>
    </dataValidation>
    <dataValidation type="list" allowBlank="1" showInputMessage="1" showErrorMessage="1" sqref="C15">
      <formula1>"Complemento JM/JT,Almuerzo"</formula1>
    </dataValidation>
    <dataValidation type="list" allowBlank="1" showInputMessage="1" showErrorMessage="1" sqref="C11">
      <formula1>"Indígena,Afrocolombiano,Palenquero,Raizal,Rrom,Sin Pertenencia Étnica"</formula1>
    </dataValidation>
  </dataValidations>
  <pageMargins left="0.70866141732283472" right="0.70866141732283472" top="0.74803149606299213" bottom="0.74803149606299213" header="0.31496062992125984" footer="0.31496062992125984"/>
  <pageSetup paperSize="10000" scale="49" fitToHeight="0" orientation="landscape" r:id="rId1"/>
  <rowBreaks count="3" manualBreakCount="3">
    <brk id="35" max="5" man="1"/>
    <brk id="71" max="5" man="1"/>
    <brk id="99"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topLeftCell="A7" zoomScaleNormal="100" workbookViewId="0">
      <selection activeCell="A27" sqref="A27:J27"/>
    </sheetView>
  </sheetViews>
  <sheetFormatPr baseColWidth="10" defaultColWidth="11.42578125" defaultRowHeight="15" x14ac:dyDescent="0.25"/>
  <cols>
    <col min="1" max="1" width="17.5703125" style="19" bestFit="1" customWidth="1"/>
    <col min="2" max="2" width="13.28515625" style="19" customWidth="1"/>
    <col min="3" max="3" width="35.42578125" style="19" customWidth="1"/>
    <col min="4" max="4" width="14.140625" style="19" bestFit="1" customWidth="1"/>
    <col min="5" max="5" width="36.140625" style="19" customWidth="1"/>
    <col min="6" max="6" width="9" style="19" customWidth="1"/>
    <col min="7" max="8" width="12.28515625" style="41" customWidth="1"/>
    <col min="9" max="9" width="8.42578125" style="41" customWidth="1"/>
    <col min="10" max="10" width="12" style="183" bestFit="1" customWidth="1"/>
  </cols>
  <sheetData>
    <row r="1" spans="1:12" x14ac:dyDescent="0.25">
      <c r="A1" s="376" t="s">
        <v>0</v>
      </c>
      <c r="B1" s="376"/>
      <c r="C1" s="376"/>
      <c r="D1" s="376"/>
      <c r="E1" s="376"/>
      <c r="F1" s="376"/>
      <c r="G1" s="376"/>
      <c r="H1" s="376"/>
      <c r="I1" s="376"/>
      <c r="J1" s="376"/>
    </row>
    <row r="2" spans="1:12" x14ac:dyDescent="0.25">
      <c r="A2" s="376" t="s">
        <v>307</v>
      </c>
      <c r="B2" s="376"/>
      <c r="C2" s="376"/>
      <c r="D2" s="376"/>
      <c r="E2" s="376"/>
      <c r="F2" s="376"/>
      <c r="G2" s="376"/>
      <c r="H2" s="376"/>
      <c r="I2" s="376"/>
      <c r="J2" s="376"/>
    </row>
    <row r="3" spans="1:12" x14ac:dyDescent="0.25">
      <c r="A3" s="376" t="s">
        <v>273</v>
      </c>
      <c r="B3" s="376"/>
      <c r="C3" s="376"/>
      <c r="D3" s="376"/>
      <c r="E3" s="376"/>
      <c r="F3" s="376"/>
      <c r="G3" s="376"/>
      <c r="H3" s="376"/>
      <c r="I3" s="376"/>
      <c r="J3" s="376"/>
    </row>
    <row r="4" spans="1:12" x14ac:dyDescent="0.25">
      <c r="A4" s="376" t="s">
        <v>347</v>
      </c>
      <c r="B4" s="376"/>
      <c r="C4" s="376"/>
      <c r="D4" s="376"/>
      <c r="E4" s="376"/>
      <c r="F4" s="376"/>
      <c r="G4" s="376"/>
      <c r="H4" s="376"/>
      <c r="I4" s="376"/>
      <c r="J4" s="376"/>
    </row>
    <row r="5" spans="1:12" ht="15.75" x14ac:dyDescent="0.25">
      <c r="A5" s="376"/>
      <c r="B5" s="376"/>
      <c r="C5" s="376"/>
      <c r="D5" s="376"/>
      <c r="E5" s="376"/>
      <c r="F5" s="376"/>
      <c r="G5" s="376"/>
      <c r="H5" s="376"/>
      <c r="I5" s="376"/>
      <c r="J5" s="376"/>
      <c r="K5" s="7"/>
      <c r="L5" s="7"/>
    </row>
    <row r="6" spans="1:12" ht="15.75" x14ac:dyDescent="0.25">
      <c r="A6" s="376" t="s">
        <v>290</v>
      </c>
      <c r="B6" s="376"/>
      <c r="C6" s="376"/>
      <c r="D6" s="376"/>
      <c r="E6" s="376"/>
      <c r="F6" s="376"/>
      <c r="G6" s="376"/>
      <c r="H6" s="376"/>
      <c r="I6" s="376"/>
      <c r="J6" s="376"/>
      <c r="K6" s="7"/>
      <c r="L6" s="7"/>
    </row>
    <row r="8" spans="1:12" x14ac:dyDescent="0.25">
      <c r="A8" s="29" t="s">
        <v>124</v>
      </c>
      <c r="B8" s="29" t="s">
        <v>125</v>
      </c>
      <c r="C8" s="29" t="s">
        <v>126</v>
      </c>
      <c r="D8" s="29" t="s">
        <v>127</v>
      </c>
      <c r="E8" s="29" t="s">
        <v>128</v>
      </c>
      <c r="F8" s="29" t="s">
        <v>129</v>
      </c>
      <c r="G8" s="29" t="s">
        <v>130</v>
      </c>
      <c r="H8" s="29" t="s">
        <v>316</v>
      </c>
      <c r="I8" s="29" t="s">
        <v>131</v>
      </c>
      <c r="J8" s="181" t="s">
        <v>283</v>
      </c>
    </row>
    <row r="9" spans="1:12" x14ac:dyDescent="0.25">
      <c r="A9" s="26" t="s">
        <v>308</v>
      </c>
      <c r="B9" s="35">
        <v>170670000071</v>
      </c>
      <c r="C9" s="26" t="s">
        <v>309</v>
      </c>
      <c r="D9" s="35">
        <v>170670000071</v>
      </c>
      <c r="E9" s="26" t="s">
        <v>281</v>
      </c>
      <c r="F9" s="26" t="s">
        <v>280</v>
      </c>
      <c r="G9" s="36" t="s">
        <v>136</v>
      </c>
      <c r="H9" s="36" t="s">
        <v>317</v>
      </c>
      <c r="I9" s="36">
        <v>101</v>
      </c>
      <c r="J9" s="182">
        <v>2.02</v>
      </c>
    </row>
    <row r="10" spans="1:12" x14ac:dyDescent="0.25">
      <c r="A10" s="26" t="s">
        <v>308</v>
      </c>
      <c r="B10" s="35">
        <v>170670000071</v>
      </c>
      <c r="C10" s="26" t="s">
        <v>309</v>
      </c>
      <c r="D10" s="35">
        <v>170670000071</v>
      </c>
      <c r="E10" s="26" t="s">
        <v>281</v>
      </c>
      <c r="F10" s="26" t="s">
        <v>280</v>
      </c>
      <c r="G10" s="36" t="s">
        <v>136</v>
      </c>
      <c r="H10" s="36" t="s">
        <v>318</v>
      </c>
      <c r="I10" s="36">
        <v>509</v>
      </c>
      <c r="J10" s="182">
        <v>10.18</v>
      </c>
    </row>
    <row r="11" spans="1:12" x14ac:dyDescent="0.25">
      <c r="A11" s="26" t="s">
        <v>308</v>
      </c>
      <c r="B11" s="35">
        <v>170670000071</v>
      </c>
      <c r="C11" s="26" t="s">
        <v>309</v>
      </c>
      <c r="D11" s="35">
        <v>170670000608</v>
      </c>
      <c r="E11" s="26" t="s">
        <v>311</v>
      </c>
      <c r="F11" s="26" t="s">
        <v>280</v>
      </c>
      <c r="G11" s="36" t="s">
        <v>136</v>
      </c>
      <c r="H11" s="36" t="s">
        <v>317</v>
      </c>
      <c r="I11" s="36">
        <v>220</v>
      </c>
      <c r="J11" s="182">
        <v>4.4000000000000004</v>
      </c>
    </row>
    <row r="12" spans="1:12" x14ac:dyDescent="0.25">
      <c r="A12" s="26" t="s">
        <v>308</v>
      </c>
      <c r="B12" s="35">
        <v>170670000071</v>
      </c>
      <c r="C12" s="26" t="s">
        <v>309</v>
      </c>
      <c r="D12" s="35">
        <v>170670000608</v>
      </c>
      <c r="E12" s="26" t="s">
        <v>311</v>
      </c>
      <c r="F12" s="26" t="s">
        <v>280</v>
      </c>
      <c r="G12" s="36" t="s">
        <v>136</v>
      </c>
      <c r="H12" s="36" t="s">
        <v>318</v>
      </c>
      <c r="I12" s="36">
        <v>108</v>
      </c>
      <c r="J12" s="182">
        <v>2.16</v>
      </c>
    </row>
    <row r="13" spans="1:12" x14ac:dyDescent="0.25">
      <c r="A13" s="26" t="s">
        <v>308</v>
      </c>
      <c r="B13" s="35">
        <v>170670000071</v>
      </c>
      <c r="C13" s="26" t="s">
        <v>309</v>
      </c>
      <c r="D13" s="35">
        <v>170670000136</v>
      </c>
      <c r="E13" s="26" t="s">
        <v>310</v>
      </c>
      <c r="F13" s="26" t="s">
        <v>280</v>
      </c>
      <c r="G13" s="36" t="s">
        <v>136</v>
      </c>
      <c r="H13" s="36" t="s">
        <v>317</v>
      </c>
      <c r="I13" s="36">
        <v>317</v>
      </c>
      <c r="J13" s="182">
        <v>6.34</v>
      </c>
    </row>
    <row r="14" spans="1:12" x14ac:dyDescent="0.25">
      <c r="A14" s="26" t="s">
        <v>308</v>
      </c>
      <c r="B14" s="35">
        <v>170670000071</v>
      </c>
      <c r="C14" s="26" t="s">
        <v>309</v>
      </c>
      <c r="D14" s="35">
        <v>170670000136</v>
      </c>
      <c r="E14" s="26" t="s">
        <v>310</v>
      </c>
      <c r="F14" s="26" t="s">
        <v>280</v>
      </c>
      <c r="G14" s="36" t="s">
        <v>136</v>
      </c>
      <c r="H14" s="36" t="s">
        <v>318</v>
      </c>
      <c r="I14" s="36">
        <v>85</v>
      </c>
      <c r="J14" s="182">
        <v>1.7</v>
      </c>
    </row>
    <row r="15" spans="1:12" x14ac:dyDescent="0.25">
      <c r="A15" s="26" t="s">
        <v>308</v>
      </c>
      <c r="B15" s="35">
        <v>170670000128</v>
      </c>
      <c r="C15" s="26" t="s">
        <v>312</v>
      </c>
      <c r="D15" s="35">
        <v>170670000128</v>
      </c>
      <c r="E15" s="26" t="s">
        <v>281</v>
      </c>
      <c r="F15" s="26" t="s">
        <v>280</v>
      </c>
      <c r="G15" s="36" t="s">
        <v>136</v>
      </c>
      <c r="H15" s="36" t="s">
        <v>318</v>
      </c>
      <c r="I15" s="36">
        <v>450</v>
      </c>
      <c r="J15" s="182">
        <v>9</v>
      </c>
    </row>
    <row r="16" spans="1:12" x14ac:dyDescent="0.25">
      <c r="A16" s="26" t="s">
        <v>308</v>
      </c>
      <c r="B16" s="35">
        <v>170670000128</v>
      </c>
      <c r="C16" s="26" t="s">
        <v>312</v>
      </c>
      <c r="D16" s="35">
        <v>170670000012</v>
      </c>
      <c r="E16" s="26" t="s">
        <v>313</v>
      </c>
      <c r="F16" s="26" t="s">
        <v>280</v>
      </c>
      <c r="G16" s="36" t="s">
        <v>136</v>
      </c>
      <c r="H16" s="36" t="s">
        <v>317</v>
      </c>
      <c r="I16" s="36">
        <v>134</v>
      </c>
      <c r="J16" s="182">
        <v>2.68</v>
      </c>
    </row>
    <row r="17" spans="1:12" x14ac:dyDescent="0.25">
      <c r="A17" s="26" t="s">
        <v>308</v>
      </c>
      <c r="B17" s="35">
        <v>170670000128</v>
      </c>
      <c r="C17" s="26" t="s">
        <v>312</v>
      </c>
      <c r="D17" s="35">
        <v>170670000012</v>
      </c>
      <c r="E17" s="26" t="s">
        <v>313</v>
      </c>
      <c r="F17" s="26" t="s">
        <v>280</v>
      </c>
      <c r="G17" s="36" t="s">
        <v>136</v>
      </c>
      <c r="H17" s="36" t="s">
        <v>318</v>
      </c>
      <c r="I17" s="36">
        <v>151</v>
      </c>
      <c r="J17" s="182">
        <v>3.02</v>
      </c>
    </row>
    <row r="18" spans="1:12" x14ac:dyDescent="0.25">
      <c r="A18" s="26" t="s">
        <v>308</v>
      </c>
      <c r="B18" s="35">
        <v>170670000128</v>
      </c>
      <c r="C18" s="26" t="s">
        <v>312</v>
      </c>
      <c r="D18" s="35">
        <v>170670000098</v>
      </c>
      <c r="E18" s="26" t="s">
        <v>314</v>
      </c>
      <c r="F18" s="26" t="s">
        <v>280</v>
      </c>
      <c r="G18" s="36" t="s">
        <v>429</v>
      </c>
      <c r="H18" s="36" t="s">
        <v>317</v>
      </c>
      <c r="I18" s="36">
        <v>162</v>
      </c>
      <c r="J18" s="182">
        <v>3.24</v>
      </c>
    </row>
    <row r="19" spans="1:12" x14ac:dyDescent="0.25">
      <c r="A19" s="26" t="s">
        <v>308</v>
      </c>
      <c r="B19" s="35">
        <v>170670000128</v>
      </c>
      <c r="C19" s="26" t="s">
        <v>312</v>
      </c>
      <c r="D19" s="35">
        <v>170670000098</v>
      </c>
      <c r="E19" s="26" t="s">
        <v>314</v>
      </c>
      <c r="F19" s="26" t="s">
        <v>280</v>
      </c>
      <c r="G19" s="36" t="s">
        <v>429</v>
      </c>
      <c r="H19" s="36" t="s">
        <v>318</v>
      </c>
      <c r="I19" s="36">
        <v>94</v>
      </c>
      <c r="J19" s="182">
        <v>1.88</v>
      </c>
    </row>
    <row r="20" spans="1:12" x14ac:dyDescent="0.25">
      <c r="A20" s="26" t="s">
        <v>308</v>
      </c>
      <c r="B20" s="35">
        <v>170670000128</v>
      </c>
      <c r="C20" s="26" t="s">
        <v>312</v>
      </c>
      <c r="D20" s="35">
        <v>270670000530</v>
      </c>
      <c r="E20" s="26" t="s">
        <v>315</v>
      </c>
      <c r="F20" s="26" t="s">
        <v>280</v>
      </c>
      <c r="G20" s="36" t="s">
        <v>136</v>
      </c>
      <c r="H20" s="36" t="s">
        <v>317</v>
      </c>
      <c r="I20" s="36">
        <v>105</v>
      </c>
      <c r="J20" s="182">
        <v>2.1</v>
      </c>
    </row>
    <row r="21" spans="1:12" x14ac:dyDescent="0.25">
      <c r="A21" s="26" t="s">
        <v>308</v>
      </c>
      <c r="B21" s="35">
        <v>170670000128</v>
      </c>
      <c r="C21" s="26" t="s">
        <v>312</v>
      </c>
      <c r="D21" s="35">
        <v>270670000530</v>
      </c>
      <c r="E21" s="26" t="s">
        <v>315</v>
      </c>
      <c r="F21" s="26" t="s">
        <v>280</v>
      </c>
      <c r="G21" s="36" t="s">
        <v>136</v>
      </c>
      <c r="H21" s="36" t="s">
        <v>318</v>
      </c>
      <c r="I21" s="36">
        <v>69</v>
      </c>
      <c r="J21" s="182">
        <v>1.38</v>
      </c>
    </row>
    <row r="22" spans="1:12" s="6" customFormat="1" x14ac:dyDescent="0.25">
      <c r="A22" s="40" t="s">
        <v>138</v>
      </c>
      <c r="B22" s="40"/>
      <c r="C22" s="40"/>
      <c r="D22" s="40"/>
      <c r="E22" s="40"/>
      <c r="F22" s="40"/>
      <c r="G22" s="29"/>
      <c r="H22" s="29"/>
      <c r="I22" s="29">
        <f>SUM(I9:I21)</f>
        <v>2505</v>
      </c>
      <c r="J22" s="181">
        <f>SUM(J9:J16)</f>
        <v>38.479999999999997</v>
      </c>
    </row>
    <row r="24" spans="1:12" x14ac:dyDescent="0.25">
      <c r="K24" s="144">
        <f>+J22-J18-J19</f>
        <v>33.359999999999992</v>
      </c>
      <c r="L24" t="s">
        <v>436</v>
      </c>
    </row>
    <row r="25" spans="1:12" s="12" customFormat="1" x14ac:dyDescent="0.25">
      <c r="A25" s="19"/>
      <c r="B25" s="19"/>
      <c r="C25" s="19"/>
      <c r="D25" s="19"/>
      <c r="E25" s="19"/>
      <c r="F25" s="19"/>
      <c r="G25" s="41"/>
      <c r="H25" s="41"/>
      <c r="I25" s="41"/>
      <c r="J25" s="183"/>
      <c r="K25" s="144">
        <f>+J18+J19</f>
        <v>5.12</v>
      </c>
      <c r="L25" s="12" t="s">
        <v>429</v>
      </c>
    </row>
    <row r="26" spans="1:12" x14ac:dyDescent="0.25">
      <c r="A26" s="376"/>
      <c r="B26" s="376"/>
      <c r="C26" s="376"/>
      <c r="D26" s="376"/>
      <c r="E26" s="376"/>
      <c r="F26" s="376"/>
      <c r="G26" s="376"/>
      <c r="H26" s="376"/>
      <c r="I26" s="376"/>
      <c r="J26" s="376"/>
    </row>
    <row r="27" spans="1:12" x14ac:dyDescent="0.25">
      <c r="A27" s="376"/>
      <c r="B27" s="376"/>
      <c r="C27" s="376"/>
      <c r="D27" s="376"/>
      <c r="E27" s="376"/>
      <c r="F27" s="376"/>
      <c r="G27" s="376"/>
      <c r="H27" s="376"/>
      <c r="I27" s="376"/>
      <c r="J27" s="376"/>
    </row>
  </sheetData>
  <autoFilter ref="A8:J22"/>
  <mergeCells count="8">
    <mergeCell ref="A26:J26"/>
    <mergeCell ref="A27:J27"/>
    <mergeCell ref="A1:J1"/>
    <mergeCell ref="A2:J2"/>
    <mergeCell ref="A3:J3"/>
    <mergeCell ref="A4:J4"/>
    <mergeCell ref="A5:J5"/>
    <mergeCell ref="A6:J6"/>
  </mergeCells>
  <printOptions horizontalCentered="1"/>
  <pageMargins left="0.51181102362204722" right="0.51181102362204722" top="0.78740157480314965" bottom="0.78740157480314965" header="0.31496062992125984" footer="0.39370078740157483"/>
  <pageSetup paperSize="258" scale="70" fitToHeight="30" pageOrder="overThenDown" orientation="landscape" r:id="rId1"/>
  <headerFooter>
    <oddFooter>&amp;CPágina &amp;P  de  &amp;N</oddFooter>
  </headerFooter>
  <rowBreaks count="1" manualBreakCount="1">
    <brk id="23" max="12"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31"/>
  <sheetViews>
    <sheetView view="pageBreakPreview" topLeftCell="A14" zoomScale="90" zoomScaleNormal="80" zoomScaleSheetLayoutView="90" workbookViewId="0">
      <selection activeCell="A31" sqref="A31:L31"/>
    </sheetView>
  </sheetViews>
  <sheetFormatPr baseColWidth="10" defaultColWidth="11.42578125" defaultRowHeight="15" x14ac:dyDescent="0.25"/>
  <cols>
    <col min="1" max="1" width="23.28515625" customWidth="1"/>
    <col min="2" max="3" width="19" customWidth="1"/>
    <col min="4" max="4" width="25" customWidth="1"/>
    <col min="5" max="10" width="19" customWidth="1"/>
    <col min="11" max="11" width="20" style="13" bestFit="1" customWidth="1"/>
    <col min="12" max="12" width="25.5703125" style="5" customWidth="1"/>
  </cols>
  <sheetData>
    <row r="1" spans="1:13" x14ac:dyDescent="0.25">
      <c r="A1" s="376" t="s">
        <v>0</v>
      </c>
      <c r="B1" s="376"/>
      <c r="C1" s="376"/>
      <c r="D1" s="376"/>
      <c r="E1" s="376"/>
      <c r="F1" s="376"/>
      <c r="G1" s="376"/>
      <c r="H1" s="376"/>
      <c r="I1" s="376"/>
      <c r="J1" s="376"/>
      <c r="K1" s="376"/>
      <c r="L1" s="376"/>
      <c r="M1" s="48"/>
    </row>
    <row r="2" spans="1:13" x14ac:dyDescent="0.25">
      <c r="A2" s="376" t="s">
        <v>307</v>
      </c>
      <c r="B2" s="376"/>
      <c r="C2" s="376"/>
      <c r="D2" s="376"/>
      <c r="E2" s="376"/>
      <c r="F2" s="376"/>
      <c r="G2" s="376"/>
      <c r="H2" s="376"/>
      <c r="I2" s="376"/>
      <c r="J2" s="376"/>
      <c r="K2" s="376"/>
      <c r="L2" s="376"/>
      <c r="M2" s="48"/>
    </row>
    <row r="3" spans="1:13" x14ac:dyDescent="0.25">
      <c r="A3" s="376" t="s">
        <v>273</v>
      </c>
      <c r="B3" s="376"/>
      <c r="C3" s="376"/>
      <c r="D3" s="376"/>
      <c r="E3" s="376"/>
      <c r="F3" s="376"/>
      <c r="G3" s="376"/>
      <c r="H3" s="376"/>
      <c r="I3" s="376"/>
      <c r="J3" s="376"/>
      <c r="K3" s="376"/>
      <c r="L3" s="376"/>
      <c r="M3" s="48"/>
    </row>
    <row r="4" spans="1:13" x14ac:dyDescent="0.25">
      <c r="A4" s="376" t="s">
        <v>347</v>
      </c>
      <c r="B4" s="376"/>
      <c r="C4" s="376"/>
      <c r="D4" s="376"/>
      <c r="E4" s="376"/>
      <c r="F4" s="376"/>
      <c r="G4" s="376"/>
      <c r="H4" s="376"/>
      <c r="I4" s="376"/>
      <c r="J4" s="376"/>
      <c r="K4" s="376"/>
      <c r="L4" s="376"/>
      <c r="M4" s="48"/>
    </row>
    <row r="5" spans="1:13" x14ac:dyDescent="0.25">
      <c r="A5" s="376"/>
      <c r="B5" s="376"/>
      <c r="C5" s="376"/>
      <c r="D5" s="376"/>
      <c r="E5" s="376"/>
      <c r="F5" s="376"/>
      <c r="G5" s="376"/>
      <c r="H5" s="376"/>
      <c r="I5" s="376"/>
      <c r="J5" s="376"/>
      <c r="K5" s="376"/>
      <c r="L5" s="376"/>
    </row>
    <row r="6" spans="1:13" x14ac:dyDescent="0.25">
      <c r="A6" s="376" t="s">
        <v>149</v>
      </c>
      <c r="B6" s="376"/>
      <c r="C6" s="376"/>
      <c r="D6" s="376"/>
      <c r="E6" s="376"/>
      <c r="F6" s="376"/>
      <c r="G6" s="376"/>
      <c r="H6" s="376"/>
      <c r="I6" s="376"/>
      <c r="J6" s="376"/>
      <c r="K6" s="376"/>
      <c r="L6" s="376"/>
    </row>
    <row r="7" spans="1:13" x14ac:dyDescent="0.25">
      <c r="A7" s="49"/>
      <c r="B7" s="49"/>
      <c r="C7" s="49"/>
      <c r="D7" s="49"/>
      <c r="E7" s="49"/>
      <c r="F7" s="49"/>
      <c r="G7" s="49"/>
      <c r="H7" s="49"/>
      <c r="I7" s="49"/>
      <c r="J7" s="49"/>
      <c r="K7" s="59"/>
      <c r="L7" s="45"/>
    </row>
    <row r="8" spans="1:13" x14ac:dyDescent="0.25">
      <c r="A8" s="22" t="s">
        <v>139</v>
      </c>
      <c r="B8" s="22" t="s">
        <v>150</v>
      </c>
      <c r="C8" s="22" t="s">
        <v>151</v>
      </c>
      <c r="D8" s="22" t="s">
        <v>152</v>
      </c>
      <c r="E8" s="21" t="s">
        <v>140</v>
      </c>
      <c r="F8" s="21" t="s">
        <v>141</v>
      </c>
      <c r="G8" s="21" t="s">
        <v>142</v>
      </c>
      <c r="H8" s="21" t="s">
        <v>8</v>
      </c>
      <c r="I8" s="22" t="s">
        <v>113</v>
      </c>
      <c r="J8" s="22" t="s">
        <v>153</v>
      </c>
      <c r="K8" s="22" t="s">
        <v>119</v>
      </c>
      <c r="L8" s="22" t="s">
        <v>154</v>
      </c>
    </row>
    <row r="9" spans="1:13" x14ac:dyDescent="0.25">
      <c r="A9" s="60" t="s">
        <v>155</v>
      </c>
      <c r="B9" s="61">
        <v>1</v>
      </c>
      <c r="C9" s="61" t="s">
        <v>156</v>
      </c>
      <c r="D9" s="58" t="s">
        <v>157</v>
      </c>
      <c r="E9" s="148">
        <v>6050</v>
      </c>
      <c r="F9" s="148">
        <v>5300</v>
      </c>
      <c r="G9" s="148">
        <v>5500</v>
      </c>
      <c r="H9" s="148">
        <v>5616.67</v>
      </c>
      <c r="I9" s="184">
        <v>6</v>
      </c>
      <c r="J9" s="254">
        <v>33700.019999999997</v>
      </c>
      <c r="K9" s="379">
        <v>3.45</v>
      </c>
      <c r="L9" s="256">
        <v>33700.019999999997</v>
      </c>
    </row>
    <row r="10" spans="1:13" x14ac:dyDescent="0.25">
      <c r="A10" s="60" t="s">
        <v>158</v>
      </c>
      <c r="B10" s="61">
        <v>1</v>
      </c>
      <c r="C10" s="61" t="s">
        <v>156</v>
      </c>
      <c r="D10" s="58" t="s">
        <v>157</v>
      </c>
      <c r="E10" s="148">
        <v>6700</v>
      </c>
      <c r="F10" s="148">
        <v>5000</v>
      </c>
      <c r="G10" s="148">
        <v>5500</v>
      </c>
      <c r="H10" s="148">
        <v>5733.33</v>
      </c>
      <c r="I10" s="184">
        <f>I9</f>
        <v>6</v>
      </c>
      <c r="J10" s="254">
        <v>34399.980000000003</v>
      </c>
      <c r="K10" s="380"/>
      <c r="L10" s="256">
        <v>34399.980000000003</v>
      </c>
    </row>
    <row r="11" spans="1:13" x14ac:dyDescent="0.25">
      <c r="A11" s="60" t="s">
        <v>159</v>
      </c>
      <c r="B11" s="61">
        <v>1</v>
      </c>
      <c r="C11" s="61" t="s">
        <v>156</v>
      </c>
      <c r="D11" s="58" t="s">
        <v>157</v>
      </c>
      <c r="E11" s="148">
        <v>4400</v>
      </c>
      <c r="F11" s="148">
        <v>5600</v>
      </c>
      <c r="G11" s="148">
        <v>3000</v>
      </c>
      <c r="H11" s="148">
        <v>4333.33</v>
      </c>
      <c r="I11" s="184">
        <f>I9</f>
        <v>6</v>
      </c>
      <c r="J11" s="254">
        <v>25999.98</v>
      </c>
      <c r="K11" s="380"/>
      <c r="L11" s="256">
        <v>25999.98</v>
      </c>
    </row>
    <row r="12" spans="1:13" ht="24" x14ac:dyDescent="0.25">
      <c r="A12" s="60" t="s">
        <v>160</v>
      </c>
      <c r="B12" s="61">
        <v>1</v>
      </c>
      <c r="C12" s="61" t="s">
        <v>156</v>
      </c>
      <c r="D12" s="58" t="s">
        <v>157</v>
      </c>
      <c r="E12" s="148">
        <v>7200</v>
      </c>
      <c r="F12" s="148">
        <v>7600</v>
      </c>
      <c r="G12" s="148">
        <v>6500</v>
      </c>
      <c r="H12" s="148">
        <v>7100</v>
      </c>
      <c r="I12" s="184">
        <f>I9</f>
        <v>6</v>
      </c>
      <c r="J12" s="254">
        <v>42600</v>
      </c>
      <c r="K12" s="380"/>
      <c r="L12" s="256">
        <v>42600</v>
      </c>
    </row>
    <row r="13" spans="1:13" ht="24" x14ac:dyDescent="0.25">
      <c r="A13" s="60" t="s">
        <v>161</v>
      </c>
      <c r="B13" s="61">
        <v>2</v>
      </c>
      <c r="C13" s="61" t="s">
        <v>162</v>
      </c>
      <c r="D13" s="58" t="s">
        <v>157</v>
      </c>
      <c r="E13" s="148">
        <v>1450</v>
      </c>
      <c r="F13" s="148">
        <v>1850</v>
      </c>
      <c r="G13" s="148">
        <v>1000</v>
      </c>
      <c r="H13" s="148">
        <v>1433.33</v>
      </c>
      <c r="I13" s="184" t="s">
        <v>437</v>
      </c>
      <c r="J13" s="254">
        <v>17199.96</v>
      </c>
      <c r="K13" s="380"/>
      <c r="L13" s="256">
        <v>59339.86</v>
      </c>
    </row>
    <row r="14" spans="1:13" ht="24" x14ac:dyDescent="0.25">
      <c r="A14" s="62" t="s">
        <v>163</v>
      </c>
      <c r="B14" s="61">
        <v>1</v>
      </c>
      <c r="C14" s="61" t="s">
        <v>162</v>
      </c>
      <c r="D14" s="58" t="s">
        <v>164</v>
      </c>
      <c r="E14" s="148">
        <v>9600</v>
      </c>
      <c r="F14" s="148">
        <v>9000</v>
      </c>
      <c r="G14" s="148">
        <v>10000</v>
      </c>
      <c r="H14" s="148">
        <v>9533.33</v>
      </c>
      <c r="I14" s="185">
        <f>'N° LITROS'!K24</f>
        <v>33.359999999999992</v>
      </c>
      <c r="J14" s="254">
        <v>318031.89</v>
      </c>
      <c r="K14" s="380"/>
      <c r="L14" s="256">
        <v>1097210.02</v>
      </c>
    </row>
    <row r="15" spans="1:13" ht="24" x14ac:dyDescent="0.25">
      <c r="A15" s="62" t="s">
        <v>165</v>
      </c>
      <c r="B15" s="61">
        <v>1</v>
      </c>
      <c r="C15" s="61" t="s">
        <v>162</v>
      </c>
      <c r="D15" s="58" t="s">
        <v>164</v>
      </c>
      <c r="E15" s="148">
        <v>4660</v>
      </c>
      <c r="F15" s="148">
        <v>4100</v>
      </c>
      <c r="G15" s="148">
        <v>4400</v>
      </c>
      <c r="H15" s="148">
        <v>4386.67</v>
      </c>
      <c r="I15" s="185">
        <f>I14</f>
        <v>33.359999999999992</v>
      </c>
      <c r="J15" s="254">
        <v>146339.31</v>
      </c>
      <c r="K15" s="380"/>
      <c r="L15" s="256">
        <v>504870.62</v>
      </c>
    </row>
    <row r="16" spans="1:13" ht="24" x14ac:dyDescent="0.25">
      <c r="A16" s="62" t="s">
        <v>166</v>
      </c>
      <c r="B16" s="61">
        <v>1</v>
      </c>
      <c r="C16" s="61" t="s">
        <v>162</v>
      </c>
      <c r="D16" s="58" t="s">
        <v>167</v>
      </c>
      <c r="E16" s="148">
        <v>13500</v>
      </c>
      <c r="F16" s="148">
        <v>12200</v>
      </c>
      <c r="G16" s="148">
        <v>13320</v>
      </c>
      <c r="H16" s="148">
        <v>13006.67</v>
      </c>
      <c r="I16" s="185">
        <f>I14</f>
        <v>33.359999999999992</v>
      </c>
      <c r="J16" s="254">
        <v>433902.51</v>
      </c>
      <c r="K16" s="380"/>
      <c r="L16" s="256">
        <v>1496963.66</v>
      </c>
    </row>
    <row r="17" spans="1:12" ht="36" x14ac:dyDescent="0.25">
      <c r="A17" s="62" t="s">
        <v>168</v>
      </c>
      <c r="B17" s="61">
        <v>1</v>
      </c>
      <c r="C17" s="61" t="s">
        <v>162</v>
      </c>
      <c r="D17" s="58" t="s">
        <v>169</v>
      </c>
      <c r="E17" s="148">
        <v>2800</v>
      </c>
      <c r="F17" s="148">
        <v>2400</v>
      </c>
      <c r="G17" s="148">
        <v>2900</v>
      </c>
      <c r="H17" s="148">
        <v>2700</v>
      </c>
      <c r="I17" s="184">
        <f>N°MANIPULADORES!S23-N°MANIPULADORES!S18-N°MANIPULADORES!S19</f>
        <v>30</v>
      </c>
      <c r="J17" s="254">
        <v>81000</v>
      </c>
      <c r="K17" s="380"/>
      <c r="L17" s="256">
        <v>279450</v>
      </c>
    </row>
    <row r="18" spans="1:12" ht="24" x14ac:dyDescent="0.25">
      <c r="A18" s="62" t="s">
        <v>170</v>
      </c>
      <c r="B18" s="61">
        <v>40</v>
      </c>
      <c r="C18" s="61" t="s">
        <v>162</v>
      </c>
      <c r="D18" s="22"/>
      <c r="E18" s="148">
        <v>380</v>
      </c>
      <c r="F18" s="148">
        <v>350</v>
      </c>
      <c r="G18" s="148">
        <v>335</v>
      </c>
      <c r="H18" s="148">
        <v>355</v>
      </c>
      <c r="I18" s="184" t="s">
        <v>438</v>
      </c>
      <c r="J18" s="254">
        <v>85200</v>
      </c>
      <c r="K18" s="380"/>
      <c r="L18" s="256">
        <v>293940</v>
      </c>
    </row>
    <row r="19" spans="1:12" ht="30" customHeight="1" x14ac:dyDescent="0.25">
      <c r="A19" s="62" t="s">
        <v>171</v>
      </c>
      <c r="B19" s="61">
        <v>2</v>
      </c>
      <c r="C19" s="61" t="s">
        <v>156</v>
      </c>
      <c r="D19" s="22"/>
      <c r="E19" s="148">
        <v>39900</v>
      </c>
      <c r="F19" s="148">
        <v>42000</v>
      </c>
      <c r="G19" s="148">
        <v>35000</v>
      </c>
      <c r="H19" s="148">
        <v>38966.67</v>
      </c>
      <c r="I19" s="184" t="s">
        <v>437</v>
      </c>
      <c r="J19" s="254">
        <v>467600.04</v>
      </c>
      <c r="K19" s="380"/>
      <c r="L19" s="256">
        <v>467600.04</v>
      </c>
    </row>
    <row r="20" spans="1:12" ht="24" x14ac:dyDescent="0.25">
      <c r="A20" s="62" t="s">
        <v>172</v>
      </c>
      <c r="B20" s="61">
        <v>1</v>
      </c>
      <c r="C20" s="61" t="s">
        <v>162</v>
      </c>
      <c r="D20" s="61" t="s">
        <v>173</v>
      </c>
      <c r="E20" s="148">
        <v>1850</v>
      </c>
      <c r="F20" s="148">
        <v>1450</v>
      </c>
      <c r="G20" s="148">
        <v>1600</v>
      </c>
      <c r="H20" s="148">
        <v>1633.33</v>
      </c>
      <c r="I20" s="184">
        <f>I17</f>
        <v>30</v>
      </c>
      <c r="J20" s="254">
        <v>48999.9</v>
      </c>
      <c r="K20" s="380"/>
      <c r="L20" s="256">
        <v>169049.66</v>
      </c>
    </row>
    <row r="21" spans="1:12" ht="24" x14ac:dyDescent="0.25">
      <c r="A21" s="63" t="s">
        <v>174</v>
      </c>
      <c r="B21" s="64">
        <v>100</v>
      </c>
      <c r="C21" s="64" t="s">
        <v>162</v>
      </c>
      <c r="D21" s="65" t="s">
        <v>175</v>
      </c>
      <c r="E21" s="149">
        <v>3600</v>
      </c>
      <c r="F21" s="149">
        <v>2800</v>
      </c>
      <c r="G21" s="149">
        <v>3300</v>
      </c>
      <c r="H21" s="148">
        <v>3233.33</v>
      </c>
      <c r="I21" s="186">
        <f>I17</f>
        <v>30</v>
      </c>
      <c r="J21" s="255">
        <v>96999.9</v>
      </c>
      <c r="K21" s="381"/>
      <c r="L21" s="256">
        <v>334649.65999999997</v>
      </c>
    </row>
    <row r="22" spans="1:12" x14ac:dyDescent="0.25">
      <c r="A22" s="382" t="s">
        <v>120</v>
      </c>
      <c r="B22" s="382"/>
      <c r="C22" s="382"/>
      <c r="D22" s="382"/>
      <c r="E22" s="382"/>
      <c r="F22" s="382"/>
      <c r="G22" s="382"/>
      <c r="H22" s="382"/>
      <c r="I22" s="382"/>
      <c r="J22" s="382"/>
      <c r="K22" s="382"/>
      <c r="L22" s="257">
        <f>SUM(L9:L21)</f>
        <v>4839773.5</v>
      </c>
    </row>
    <row r="23" spans="1:12" x14ac:dyDescent="0.25">
      <c r="A23" s="49"/>
      <c r="B23" s="49"/>
      <c r="C23" s="49"/>
      <c r="D23" s="49"/>
      <c r="E23" s="49"/>
      <c r="F23" s="49"/>
      <c r="G23" s="49"/>
      <c r="H23" s="49"/>
      <c r="I23" s="49"/>
      <c r="J23" s="49"/>
      <c r="K23" s="59"/>
      <c r="L23" s="45"/>
    </row>
    <row r="24" spans="1:12" x14ac:dyDescent="0.25">
      <c r="A24" s="49"/>
      <c r="B24" s="49"/>
      <c r="C24" s="49"/>
      <c r="D24" s="49"/>
      <c r="E24" s="49"/>
      <c r="F24" s="49"/>
      <c r="G24" s="49"/>
      <c r="H24" s="49"/>
      <c r="I24" s="49"/>
      <c r="J24" s="49"/>
      <c r="K24" s="59"/>
      <c r="L24" s="45"/>
    </row>
    <row r="25" spans="1:12" x14ac:dyDescent="0.25">
      <c r="A25" s="22" t="s">
        <v>176</v>
      </c>
      <c r="B25" s="22" t="s">
        <v>177</v>
      </c>
      <c r="C25" s="383" t="s">
        <v>178</v>
      </c>
      <c r="D25" s="383"/>
      <c r="E25" s="22" t="s">
        <v>179</v>
      </c>
      <c r="F25" s="49"/>
      <c r="G25" s="49"/>
      <c r="H25" s="49"/>
      <c r="I25" s="49"/>
      <c r="J25" s="49"/>
      <c r="K25" s="59"/>
      <c r="L25" s="45"/>
    </row>
    <row r="26" spans="1:12" x14ac:dyDescent="0.25">
      <c r="A26" s="66">
        <f>L22</f>
        <v>4839773.5</v>
      </c>
      <c r="B26" s="68">
        <f>'PRESUPUESTO 2023'!D11</f>
        <v>2249</v>
      </c>
      <c r="C26" s="377">
        <f>'COMBUSTIBLE-SEDES'!K20</f>
        <v>69</v>
      </c>
      <c r="D26" s="378"/>
      <c r="E26" s="66">
        <v>31.187925712555018</v>
      </c>
      <c r="F26" s="49"/>
      <c r="G26" s="243"/>
      <c r="H26" s="49"/>
      <c r="I26" s="49"/>
      <c r="J26" s="49"/>
      <c r="K26" s="59"/>
      <c r="L26" s="45"/>
    </row>
    <row r="28" spans="1:12" x14ac:dyDescent="0.25">
      <c r="G28" s="243"/>
    </row>
    <row r="30" spans="1:12" x14ac:dyDescent="0.25">
      <c r="A30" s="376"/>
      <c r="B30" s="376"/>
      <c r="C30" s="376"/>
      <c r="D30" s="376"/>
      <c r="E30" s="376"/>
      <c r="F30" s="376"/>
      <c r="G30" s="376"/>
      <c r="H30" s="376"/>
      <c r="I30" s="376"/>
      <c r="J30" s="376"/>
      <c r="K30" s="376"/>
      <c r="L30" s="376"/>
    </row>
    <row r="31" spans="1:12" x14ac:dyDescent="0.25">
      <c r="A31" s="376"/>
      <c r="B31" s="376"/>
      <c r="C31" s="376"/>
      <c r="D31" s="376"/>
      <c r="E31" s="376"/>
      <c r="F31" s="376"/>
      <c r="G31" s="376"/>
      <c r="H31" s="376"/>
      <c r="I31" s="376"/>
      <c r="J31" s="376"/>
      <c r="K31" s="376"/>
      <c r="L31" s="376"/>
    </row>
  </sheetData>
  <mergeCells count="12">
    <mergeCell ref="A5:L5"/>
    <mergeCell ref="A6:L6"/>
    <mergeCell ref="A1:L1"/>
    <mergeCell ref="A2:L2"/>
    <mergeCell ref="A3:L3"/>
    <mergeCell ref="A4:L4"/>
    <mergeCell ref="A30:L30"/>
    <mergeCell ref="A31:L31"/>
    <mergeCell ref="C26:D26"/>
    <mergeCell ref="K9:K21"/>
    <mergeCell ref="A22:K22"/>
    <mergeCell ref="C25:D25"/>
  </mergeCells>
  <pageMargins left="0.70866141732283472" right="0.70866141732283472" top="0.74803149606299213" bottom="0.74803149606299213" header="0.31496062992125984" footer="0.31496062992125984"/>
  <pageSetup paperSize="258" scale="49" fitToHeight="3" orientation="landscape"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28"/>
  <sheetViews>
    <sheetView view="pageBreakPreview" topLeftCell="A11" zoomScale="90" zoomScaleNormal="80" zoomScaleSheetLayoutView="90" workbookViewId="0">
      <selection activeCell="A28" sqref="A28:L28"/>
    </sheetView>
  </sheetViews>
  <sheetFormatPr baseColWidth="10" defaultColWidth="11.42578125" defaultRowHeight="15" x14ac:dyDescent="0.25"/>
  <cols>
    <col min="1" max="1" width="23.28515625" customWidth="1"/>
    <col min="2" max="3" width="19" customWidth="1"/>
    <col min="4" max="4" width="25" customWidth="1"/>
    <col min="5" max="10" width="19" customWidth="1"/>
    <col min="11" max="11" width="20" style="13" bestFit="1" customWidth="1"/>
    <col min="12" max="12" width="25.5703125" style="5" customWidth="1"/>
  </cols>
  <sheetData>
    <row r="1" spans="1:13" x14ac:dyDescent="0.25">
      <c r="A1" s="376" t="s">
        <v>0</v>
      </c>
      <c r="B1" s="376"/>
      <c r="C1" s="376"/>
      <c r="D1" s="376"/>
      <c r="E1" s="376"/>
      <c r="F1" s="376"/>
      <c r="G1" s="376"/>
      <c r="H1" s="376"/>
      <c r="I1" s="376"/>
      <c r="J1" s="376"/>
      <c r="K1" s="376"/>
      <c r="L1" s="376"/>
      <c r="M1" s="48"/>
    </row>
    <row r="2" spans="1:13" x14ac:dyDescent="0.25">
      <c r="A2" s="376" t="s">
        <v>307</v>
      </c>
      <c r="B2" s="376"/>
      <c r="C2" s="376"/>
      <c r="D2" s="376"/>
      <c r="E2" s="376"/>
      <c r="F2" s="376"/>
      <c r="G2" s="376"/>
      <c r="H2" s="376"/>
      <c r="I2" s="376"/>
      <c r="J2" s="376"/>
      <c r="K2" s="376"/>
      <c r="L2" s="376"/>
      <c r="M2" s="48"/>
    </row>
    <row r="3" spans="1:13" x14ac:dyDescent="0.25">
      <c r="A3" s="376" t="s">
        <v>273</v>
      </c>
      <c r="B3" s="376"/>
      <c r="C3" s="376"/>
      <c r="D3" s="376"/>
      <c r="E3" s="376"/>
      <c r="F3" s="376"/>
      <c r="G3" s="376"/>
      <c r="H3" s="376"/>
      <c r="I3" s="376"/>
      <c r="J3" s="376"/>
      <c r="K3" s="376"/>
      <c r="L3" s="376"/>
      <c r="M3" s="48"/>
    </row>
    <row r="4" spans="1:13" x14ac:dyDescent="0.25">
      <c r="A4" s="376" t="s">
        <v>347</v>
      </c>
      <c r="B4" s="376"/>
      <c r="C4" s="376"/>
      <c r="D4" s="376"/>
      <c r="E4" s="376"/>
      <c r="F4" s="376"/>
      <c r="G4" s="376"/>
      <c r="H4" s="376"/>
      <c r="I4" s="376"/>
      <c r="J4" s="376"/>
      <c r="K4" s="376"/>
      <c r="L4" s="376"/>
      <c r="M4" s="48"/>
    </row>
    <row r="5" spans="1:13" x14ac:dyDescent="0.25">
      <c r="A5" s="376"/>
      <c r="B5" s="376"/>
      <c r="C5" s="376"/>
      <c r="D5" s="376"/>
      <c r="E5" s="376"/>
      <c r="F5" s="376"/>
      <c r="G5" s="376"/>
      <c r="H5" s="376"/>
      <c r="I5" s="376"/>
      <c r="J5" s="376"/>
      <c r="K5" s="376"/>
      <c r="L5" s="376"/>
    </row>
    <row r="6" spans="1:13" x14ac:dyDescent="0.25">
      <c r="A6" s="376" t="s">
        <v>439</v>
      </c>
      <c r="B6" s="376"/>
      <c r="C6" s="376"/>
      <c r="D6" s="376"/>
      <c r="E6" s="376"/>
      <c r="F6" s="376"/>
      <c r="G6" s="376"/>
      <c r="H6" s="376"/>
      <c r="I6" s="376"/>
      <c r="J6" s="376"/>
      <c r="K6" s="376"/>
      <c r="L6" s="376"/>
    </row>
    <row r="7" spans="1:13" x14ac:dyDescent="0.25">
      <c r="A7" s="49"/>
      <c r="B7" s="49"/>
      <c r="C7" s="49"/>
      <c r="D7" s="49"/>
      <c r="E7" s="49"/>
      <c r="F7" s="49"/>
      <c r="G7" s="49"/>
      <c r="H7" s="49"/>
      <c r="I7" s="49"/>
      <c r="J7" s="49"/>
      <c r="K7" s="59"/>
      <c r="L7" s="45"/>
    </row>
    <row r="8" spans="1:13" x14ac:dyDescent="0.25">
      <c r="A8" s="22" t="s">
        <v>139</v>
      </c>
      <c r="B8" s="22" t="s">
        <v>150</v>
      </c>
      <c r="C8" s="22" t="s">
        <v>151</v>
      </c>
      <c r="D8" s="22" t="s">
        <v>152</v>
      </c>
      <c r="E8" s="21" t="s">
        <v>140</v>
      </c>
      <c r="F8" s="21" t="s">
        <v>141</v>
      </c>
      <c r="G8" s="21" t="s">
        <v>142</v>
      </c>
      <c r="H8" s="21" t="s">
        <v>8</v>
      </c>
      <c r="I8" s="22" t="s">
        <v>113</v>
      </c>
      <c r="J8" s="22" t="s">
        <v>153</v>
      </c>
      <c r="K8" s="22" t="s">
        <v>119</v>
      </c>
      <c r="L8" s="22" t="s">
        <v>154</v>
      </c>
    </row>
    <row r="9" spans="1:13" x14ac:dyDescent="0.25">
      <c r="A9" s="60" t="s">
        <v>155</v>
      </c>
      <c r="B9" s="61">
        <v>1</v>
      </c>
      <c r="C9" s="61" t="s">
        <v>156</v>
      </c>
      <c r="D9" s="58" t="s">
        <v>157</v>
      </c>
      <c r="E9" s="148">
        <v>6050</v>
      </c>
      <c r="F9" s="148">
        <v>5300</v>
      </c>
      <c r="G9" s="148">
        <v>5500</v>
      </c>
      <c r="H9" s="148">
        <v>5616.67</v>
      </c>
      <c r="I9" s="184">
        <v>1</v>
      </c>
      <c r="J9" s="148">
        <v>5616.67</v>
      </c>
      <c r="K9" s="384">
        <v>3.45</v>
      </c>
      <c r="L9" s="66">
        <v>5616.67</v>
      </c>
    </row>
    <row r="10" spans="1:13" x14ac:dyDescent="0.25">
      <c r="A10" s="60" t="s">
        <v>158</v>
      </c>
      <c r="B10" s="61">
        <v>1</v>
      </c>
      <c r="C10" s="61" t="s">
        <v>156</v>
      </c>
      <c r="D10" s="58" t="s">
        <v>157</v>
      </c>
      <c r="E10" s="148">
        <v>6700</v>
      </c>
      <c r="F10" s="148">
        <v>5000</v>
      </c>
      <c r="G10" s="148">
        <v>5500</v>
      </c>
      <c r="H10" s="148">
        <v>5733.33</v>
      </c>
      <c r="I10" s="184">
        <v>1</v>
      </c>
      <c r="J10" s="148">
        <v>5733.33</v>
      </c>
      <c r="K10" s="385"/>
      <c r="L10" s="66">
        <v>5733.33</v>
      </c>
    </row>
    <row r="11" spans="1:13" x14ac:dyDescent="0.25">
      <c r="A11" s="60" t="s">
        <v>159</v>
      </c>
      <c r="B11" s="61">
        <v>1</v>
      </c>
      <c r="C11" s="61" t="s">
        <v>156</v>
      </c>
      <c r="D11" s="58" t="s">
        <v>157</v>
      </c>
      <c r="E11" s="148">
        <v>4400</v>
      </c>
      <c r="F11" s="148">
        <v>5600</v>
      </c>
      <c r="G11" s="148">
        <v>3000</v>
      </c>
      <c r="H11" s="148">
        <v>4333.33</v>
      </c>
      <c r="I11" s="184">
        <v>1</v>
      </c>
      <c r="J11" s="148">
        <v>4333.33</v>
      </c>
      <c r="K11" s="385"/>
      <c r="L11" s="66">
        <v>4333.33</v>
      </c>
    </row>
    <row r="12" spans="1:13" ht="24" x14ac:dyDescent="0.25">
      <c r="A12" s="62" t="s">
        <v>165</v>
      </c>
      <c r="B12" s="61">
        <v>1</v>
      </c>
      <c r="C12" s="61" t="s">
        <v>162</v>
      </c>
      <c r="D12" s="58" t="s">
        <v>164</v>
      </c>
      <c r="E12" s="148">
        <v>4660</v>
      </c>
      <c r="F12" s="148">
        <v>4100</v>
      </c>
      <c r="G12" s="148">
        <v>4400</v>
      </c>
      <c r="H12" s="148">
        <v>4386.67</v>
      </c>
      <c r="I12" s="185">
        <v>5.12</v>
      </c>
      <c r="J12" s="148">
        <v>22459.75</v>
      </c>
      <c r="K12" s="385"/>
      <c r="L12" s="66">
        <v>77486.14</v>
      </c>
    </row>
    <row r="13" spans="1:13" ht="24" x14ac:dyDescent="0.25">
      <c r="A13" s="62" t="s">
        <v>166</v>
      </c>
      <c r="B13" s="61">
        <v>1</v>
      </c>
      <c r="C13" s="61" t="s">
        <v>162</v>
      </c>
      <c r="D13" s="58" t="s">
        <v>167</v>
      </c>
      <c r="E13" s="148">
        <v>13500</v>
      </c>
      <c r="F13" s="148">
        <v>12200</v>
      </c>
      <c r="G13" s="148">
        <v>13320</v>
      </c>
      <c r="H13" s="148">
        <v>13006.67</v>
      </c>
      <c r="I13" s="185">
        <v>5.12</v>
      </c>
      <c r="J13" s="148">
        <v>66594.149999999994</v>
      </c>
      <c r="K13" s="385"/>
      <c r="L13" s="66">
        <v>229749.82</v>
      </c>
    </row>
    <row r="14" spans="1:13" ht="36" x14ac:dyDescent="0.25">
      <c r="A14" s="62" t="s">
        <v>168</v>
      </c>
      <c r="B14" s="61">
        <v>1</v>
      </c>
      <c r="C14" s="61" t="s">
        <v>162</v>
      </c>
      <c r="D14" s="58" t="s">
        <v>169</v>
      </c>
      <c r="E14" s="148">
        <v>2800</v>
      </c>
      <c r="F14" s="148">
        <v>2400</v>
      </c>
      <c r="G14" s="148">
        <v>2900</v>
      </c>
      <c r="H14" s="148">
        <v>2700</v>
      </c>
      <c r="I14" s="184">
        <v>2</v>
      </c>
      <c r="J14" s="148">
        <v>5400</v>
      </c>
      <c r="K14" s="385"/>
      <c r="L14" s="66">
        <v>18630</v>
      </c>
    </row>
    <row r="15" spans="1:13" ht="24" x14ac:dyDescent="0.25">
      <c r="A15" s="62" t="s">
        <v>170</v>
      </c>
      <c r="B15" s="61">
        <v>40</v>
      </c>
      <c r="C15" s="61" t="s">
        <v>162</v>
      </c>
      <c r="D15" s="22"/>
      <c r="E15" s="148">
        <v>380</v>
      </c>
      <c r="F15" s="148">
        <v>350</v>
      </c>
      <c r="G15" s="148">
        <v>335</v>
      </c>
      <c r="H15" s="148">
        <v>355</v>
      </c>
      <c r="I15" s="184" t="s">
        <v>403</v>
      </c>
      <c r="J15" s="148">
        <v>14200</v>
      </c>
      <c r="K15" s="385"/>
      <c r="L15" s="66">
        <v>48990</v>
      </c>
    </row>
    <row r="16" spans="1:13" ht="30" customHeight="1" x14ac:dyDescent="0.25">
      <c r="A16" s="62" t="s">
        <v>171</v>
      </c>
      <c r="B16" s="61">
        <v>2</v>
      </c>
      <c r="C16" s="61" t="s">
        <v>156</v>
      </c>
      <c r="D16" s="22"/>
      <c r="E16" s="148">
        <v>39900</v>
      </c>
      <c r="F16" s="148">
        <v>42000</v>
      </c>
      <c r="G16" s="148">
        <v>35000</v>
      </c>
      <c r="H16" s="148">
        <v>38966.67</v>
      </c>
      <c r="I16" s="184" t="s">
        <v>404</v>
      </c>
      <c r="J16" s="148">
        <v>77933.34</v>
      </c>
      <c r="K16" s="385"/>
      <c r="L16" s="66">
        <v>77933.34</v>
      </c>
    </row>
    <row r="17" spans="1:12" ht="24" x14ac:dyDescent="0.25">
      <c r="A17" s="62" t="s">
        <v>172</v>
      </c>
      <c r="B17" s="61">
        <v>1</v>
      </c>
      <c r="C17" s="61" t="s">
        <v>162</v>
      </c>
      <c r="D17" s="61" t="s">
        <v>173</v>
      </c>
      <c r="E17" s="148">
        <v>1850</v>
      </c>
      <c r="F17" s="148">
        <v>1450</v>
      </c>
      <c r="G17" s="148">
        <v>1600</v>
      </c>
      <c r="H17" s="148">
        <v>1633.33</v>
      </c>
      <c r="I17" s="184">
        <v>2</v>
      </c>
      <c r="J17" s="148">
        <v>3266.66</v>
      </c>
      <c r="K17" s="385"/>
      <c r="L17" s="66">
        <v>11269.98</v>
      </c>
    </row>
    <row r="18" spans="1:12" ht="24" x14ac:dyDescent="0.25">
      <c r="A18" s="63" t="s">
        <v>174</v>
      </c>
      <c r="B18" s="64">
        <v>100</v>
      </c>
      <c r="C18" s="64" t="s">
        <v>162</v>
      </c>
      <c r="D18" s="65" t="s">
        <v>175</v>
      </c>
      <c r="E18" s="149">
        <v>3600</v>
      </c>
      <c r="F18" s="149">
        <v>2800</v>
      </c>
      <c r="G18" s="149">
        <v>3300</v>
      </c>
      <c r="H18" s="148">
        <v>3233.33</v>
      </c>
      <c r="I18" s="186">
        <v>2</v>
      </c>
      <c r="J18" s="149">
        <v>6466.66</v>
      </c>
      <c r="K18" s="386"/>
      <c r="L18" s="66">
        <v>22309.98</v>
      </c>
    </row>
    <row r="19" spans="1:12" x14ac:dyDescent="0.25">
      <c r="A19" s="382" t="s">
        <v>120</v>
      </c>
      <c r="B19" s="382"/>
      <c r="C19" s="382"/>
      <c r="D19" s="382"/>
      <c r="E19" s="382"/>
      <c r="F19" s="382"/>
      <c r="G19" s="382"/>
      <c r="H19" s="382"/>
      <c r="I19" s="382"/>
      <c r="J19" s="382"/>
      <c r="K19" s="382"/>
      <c r="L19" s="150">
        <f>SUM(L9:L18)</f>
        <v>502052.58999999997</v>
      </c>
    </row>
    <row r="20" spans="1:12" x14ac:dyDescent="0.25">
      <c r="A20" s="49"/>
      <c r="B20" s="49"/>
      <c r="C20" s="49"/>
      <c r="D20" s="49"/>
      <c r="E20" s="49"/>
      <c r="F20" s="49"/>
      <c r="G20" s="49"/>
      <c r="H20" s="49"/>
      <c r="I20" s="49"/>
      <c r="J20" s="49"/>
      <c r="K20" s="59"/>
      <c r="L20" s="45"/>
    </row>
    <row r="21" spans="1:12" x14ac:dyDescent="0.25">
      <c r="A21" s="49"/>
      <c r="B21" s="49"/>
      <c r="C21" s="49"/>
      <c r="D21" s="49"/>
      <c r="E21" s="49"/>
      <c r="F21" s="49"/>
      <c r="G21" s="49"/>
      <c r="H21" s="49"/>
      <c r="I21" s="49"/>
      <c r="J21" s="49"/>
      <c r="K21" s="59"/>
      <c r="L21" s="45"/>
    </row>
    <row r="22" spans="1:12" x14ac:dyDescent="0.25">
      <c r="A22" s="22" t="s">
        <v>176</v>
      </c>
      <c r="B22" s="22" t="s">
        <v>177</v>
      </c>
      <c r="C22" s="383" t="s">
        <v>178</v>
      </c>
      <c r="D22" s="383"/>
      <c r="E22" s="22" t="s">
        <v>179</v>
      </c>
      <c r="F22" s="49"/>
      <c r="G22" s="49"/>
      <c r="H22" s="49"/>
      <c r="I22" s="49"/>
      <c r="J22" s="49"/>
      <c r="K22" s="59"/>
      <c r="L22" s="45"/>
    </row>
    <row r="23" spans="1:12" x14ac:dyDescent="0.25">
      <c r="A23" s="66">
        <f>L19</f>
        <v>502052.58999999997</v>
      </c>
      <c r="B23" s="68">
        <f>'PRESUPUESTO 2023'!D12</f>
        <v>256</v>
      </c>
      <c r="C23" s="377">
        <f>'COMBUSTIBLE-SEDES'!K20</f>
        <v>69</v>
      </c>
      <c r="D23" s="378"/>
      <c r="E23" s="66">
        <v>28.422361299818839</v>
      </c>
      <c r="F23" s="49"/>
      <c r="G23" s="243"/>
      <c r="H23" s="49"/>
      <c r="I23" s="49"/>
      <c r="J23" s="49"/>
      <c r="K23" s="59"/>
      <c r="L23" s="45"/>
    </row>
    <row r="25" spans="1:12" x14ac:dyDescent="0.25">
      <c r="G25" s="243"/>
    </row>
    <row r="27" spans="1:12" x14ac:dyDescent="0.25">
      <c r="A27" s="376"/>
      <c r="B27" s="376"/>
      <c r="C27" s="376"/>
      <c r="D27" s="376"/>
      <c r="E27" s="376"/>
      <c r="F27" s="376"/>
      <c r="G27" s="376"/>
      <c r="H27" s="376"/>
      <c r="I27" s="376"/>
      <c r="J27" s="376"/>
      <c r="K27" s="376"/>
      <c r="L27" s="376"/>
    </row>
    <row r="28" spans="1:12" x14ac:dyDescent="0.25">
      <c r="A28" s="376"/>
      <c r="B28" s="376"/>
      <c r="C28" s="376"/>
      <c r="D28" s="376"/>
      <c r="E28" s="376"/>
      <c r="F28" s="376"/>
      <c r="G28" s="376"/>
      <c r="H28" s="376"/>
      <c r="I28" s="376"/>
      <c r="J28" s="376"/>
      <c r="K28" s="376"/>
      <c r="L28" s="376"/>
    </row>
  </sheetData>
  <mergeCells count="12">
    <mergeCell ref="A28:L28"/>
    <mergeCell ref="A1:L1"/>
    <mergeCell ref="A2:L2"/>
    <mergeCell ref="A3:L3"/>
    <mergeCell ref="A4:L4"/>
    <mergeCell ref="A5:L5"/>
    <mergeCell ref="A6:L6"/>
    <mergeCell ref="K9:K18"/>
    <mergeCell ref="A19:K19"/>
    <mergeCell ref="C22:D22"/>
    <mergeCell ref="C23:D23"/>
    <mergeCell ref="A27:L27"/>
  </mergeCells>
  <pageMargins left="0.70866141732283472" right="0.70866141732283472" top="0.74803149606299213" bottom="0.74803149606299213" header="0.31496062992125984" footer="0.31496062992125984"/>
  <pageSetup paperSize="258" scale="49" fitToHeight="3" orientation="landscape"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topLeftCell="A8" zoomScaleNormal="100" workbookViewId="0">
      <selection activeCell="A25" sqref="A25:M25"/>
    </sheetView>
  </sheetViews>
  <sheetFormatPr baseColWidth="10" defaultColWidth="11.42578125" defaultRowHeight="15" x14ac:dyDescent="0.25"/>
  <cols>
    <col min="1" max="1" width="17.28515625" style="19" customWidth="1"/>
    <col min="2" max="2" width="13.28515625" style="19" customWidth="1"/>
    <col min="3" max="3" width="16.28515625" style="19" customWidth="1"/>
    <col min="4" max="4" width="14.140625" style="19" bestFit="1" customWidth="1"/>
    <col min="5" max="5" width="19.28515625" style="19" customWidth="1"/>
    <col min="6" max="6" width="12.140625" style="19" customWidth="1"/>
    <col min="7" max="7" width="12.28515625" style="41" customWidth="1"/>
    <col min="8" max="8" width="8.42578125" style="41" customWidth="1"/>
    <col min="9" max="9" width="12" style="42" bestFit="1" customWidth="1"/>
    <col min="10" max="10" width="18" style="41" bestFit="1" customWidth="1"/>
    <col min="11" max="11" width="14.7109375" style="41" customWidth="1"/>
    <col min="12" max="12" width="13.42578125" style="42" bestFit="1" customWidth="1"/>
    <col min="13" max="13" width="14.42578125" style="41" customWidth="1"/>
  </cols>
  <sheetData>
    <row r="1" spans="1:15" x14ac:dyDescent="0.25">
      <c r="A1" s="376" t="s">
        <v>0</v>
      </c>
      <c r="B1" s="376"/>
      <c r="C1" s="376"/>
      <c r="D1" s="376"/>
      <c r="E1" s="376"/>
      <c r="F1" s="376"/>
      <c r="G1" s="376"/>
      <c r="H1" s="376"/>
      <c r="I1" s="376"/>
      <c r="J1" s="376"/>
      <c r="K1" s="376"/>
      <c r="L1" s="376"/>
      <c r="M1" s="376"/>
    </row>
    <row r="2" spans="1:15" x14ac:dyDescent="0.25">
      <c r="A2" s="376" t="s">
        <v>307</v>
      </c>
      <c r="B2" s="376"/>
      <c r="C2" s="376"/>
      <c r="D2" s="376"/>
      <c r="E2" s="376"/>
      <c r="F2" s="376"/>
      <c r="G2" s="376"/>
      <c r="H2" s="376"/>
      <c r="I2" s="376"/>
      <c r="J2" s="376"/>
      <c r="K2" s="376"/>
      <c r="L2" s="376"/>
      <c r="M2" s="376"/>
    </row>
    <row r="3" spans="1:15" x14ac:dyDescent="0.25">
      <c r="A3" s="376" t="s">
        <v>273</v>
      </c>
      <c r="B3" s="376"/>
      <c r="C3" s="376"/>
      <c r="D3" s="376"/>
      <c r="E3" s="376"/>
      <c r="F3" s="376"/>
      <c r="G3" s="376"/>
      <c r="H3" s="376"/>
      <c r="I3" s="376"/>
      <c r="J3" s="376"/>
      <c r="K3" s="376"/>
      <c r="L3" s="376"/>
      <c r="M3" s="376"/>
    </row>
    <row r="4" spans="1:15" x14ac:dyDescent="0.25">
      <c r="A4" s="376" t="s">
        <v>347</v>
      </c>
      <c r="B4" s="376"/>
      <c r="C4" s="376"/>
      <c r="D4" s="376"/>
      <c r="E4" s="376"/>
      <c r="F4" s="376"/>
      <c r="G4" s="376"/>
      <c r="H4" s="376"/>
      <c r="I4" s="376"/>
      <c r="J4" s="376"/>
      <c r="K4" s="376"/>
      <c r="L4" s="376"/>
      <c r="M4" s="376"/>
    </row>
    <row r="5" spans="1:15" ht="15.75" x14ac:dyDescent="0.25">
      <c r="A5" s="376"/>
      <c r="B5" s="376"/>
      <c r="C5" s="376"/>
      <c r="D5" s="376"/>
      <c r="E5" s="376"/>
      <c r="F5" s="376"/>
      <c r="G5" s="376"/>
      <c r="H5" s="376"/>
      <c r="I5" s="376"/>
      <c r="J5" s="376"/>
      <c r="K5" s="376"/>
      <c r="L5" s="376"/>
      <c r="M5" s="376"/>
      <c r="N5" s="7"/>
      <c r="O5" s="7"/>
    </row>
    <row r="6" spans="1:15" ht="15.75" x14ac:dyDescent="0.25">
      <c r="A6" s="376" t="s">
        <v>123</v>
      </c>
      <c r="B6" s="376"/>
      <c r="C6" s="376"/>
      <c r="D6" s="376"/>
      <c r="E6" s="376"/>
      <c r="F6" s="376"/>
      <c r="G6" s="376"/>
      <c r="H6" s="376"/>
      <c r="I6" s="376"/>
      <c r="J6" s="376"/>
      <c r="K6" s="376"/>
      <c r="L6" s="376"/>
      <c r="M6" s="376"/>
      <c r="N6" s="7"/>
      <c r="O6" s="7"/>
    </row>
    <row r="8" spans="1:15" ht="22.5" x14ac:dyDescent="0.25">
      <c r="A8" s="29" t="s">
        <v>124</v>
      </c>
      <c r="B8" s="29" t="s">
        <v>125</v>
      </c>
      <c r="C8" s="29" t="s">
        <v>126</v>
      </c>
      <c r="D8" s="29" t="s">
        <v>127</v>
      </c>
      <c r="E8" s="29" t="s">
        <v>128</v>
      </c>
      <c r="F8" s="29" t="s">
        <v>129</v>
      </c>
      <c r="G8" s="29" t="s">
        <v>130</v>
      </c>
      <c r="H8" s="29" t="s">
        <v>131</v>
      </c>
      <c r="I8" s="30" t="s">
        <v>132</v>
      </c>
      <c r="J8" s="31" t="s">
        <v>133</v>
      </c>
      <c r="K8" s="32" t="s">
        <v>134</v>
      </c>
      <c r="L8" s="33" t="s">
        <v>135</v>
      </c>
      <c r="M8" s="34" t="s">
        <v>120</v>
      </c>
    </row>
    <row r="9" spans="1:15" x14ac:dyDescent="0.25">
      <c r="A9" s="26" t="s">
        <v>308</v>
      </c>
      <c r="B9" s="35">
        <v>170670000071</v>
      </c>
      <c r="C9" s="26" t="s">
        <v>309</v>
      </c>
      <c r="D9" s="35">
        <v>170670000071</v>
      </c>
      <c r="E9" s="26" t="s">
        <v>281</v>
      </c>
      <c r="F9" s="26" t="s">
        <v>280</v>
      </c>
      <c r="G9" s="36" t="s">
        <v>136</v>
      </c>
      <c r="H9" s="36">
        <f>+N°MANIPULADORES!I9+N°MANIPULADORES!I10</f>
        <v>610</v>
      </c>
      <c r="I9" s="39" t="s">
        <v>137</v>
      </c>
      <c r="J9" s="39">
        <f t="shared" ref="J9:J14" si="0">F$20</f>
        <v>24.85</v>
      </c>
      <c r="K9" s="39">
        <f>ROUND(H9*J9,2)</f>
        <v>15158.5</v>
      </c>
      <c r="L9" s="36">
        <f>'PRESUPUESTO 2023'!B$11</f>
        <v>69</v>
      </c>
      <c r="M9" s="39">
        <v>1045936.5</v>
      </c>
    </row>
    <row r="10" spans="1:15" x14ac:dyDescent="0.25">
      <c r="A10" s="26" t="s">
        <v>308</v>
      </c>
      <c r="B10" s="35">
        <v>170670000071</v>
      </c>
      <c r="C10" s="26" t="s">
        <v>309</v>
      </c>
      <c r="D10" s="35">
        <v>170670000608</v>
      </c>
      <c r="E10" s="26" t="s">
        <v>311</v>
      </c>
      <c r="F10" s="26" t="s">
        <v>280</v>
      </c>
      <c r="G10" s="36" t="s">
        <v>136</v>
      </c>
      <c r="H10" s="36">
        <f>+N°MANIPULADORES!I11+N°MANIPULADORES!I12</f>
        <v>328</v>
      </c>
      <c r="I10" s="39" t="s">
        <v>137</v>
      </c>
      <c r="J10" s="39">
        <f t="shared" si="0"/>
        <v>24.85</v>
      </c>
      <c r="K10" s="39">
        <f t="shared" ref="K10:K14" si="1">ROUND(H10*J10,2)</f>
        <v>8150.8</v>
      </c>
      <c r="L10" s="36">
        <f>'PRESUPUESTO 2023'!B$11</f>
        <v>69</v>
      </c>
      <c r="M10" s="39">
        <v>562405.20000000007</v>
      </c>
    </row>
    <row r="11" spans="1:15" x14ac:dyDescent="0.25">
      <c r="A11" s="26" t="s">
        <v>308</v>
      </c>
      <c r="B11" s="35">
        <v>170670000071</v>
      </c>
      <c r="C11" s="26" t="s">
        <v>309</v>
      </c>
      <c r="D11" s="35">
        <v>170670000136</v>
      </c>
      <c r="E11" s="26" t="s">
        <v>310</v>
      </c>
      <c r="F11" s="26" t="s">
        <v>280</v>
      </c>
      <c r="G11" s="36" t="s">
        <v>136</v>
      </c>
      <c r="H11" s="36">
        <f>+N°MANIPULADORES!I13+N°MANIPULADORES!I14</f>
        <v>402</v>
      </c>
      <c r="I11" s="39" t="s">
        <v>137</v>
      </c>
      <c r="J11" s="39">
        <f t="shared" si="0"/>
        <v>24.85</v>
      </c>
      <c r="K11" s="39">
        <f t="shared" si="1"/>
        <v>9989.7000000000007</v>
      </c>
      <c r="L11" s="36">
        <f>'PRESUPUESTO 2023'!B$11</f>
        <v>69</v>
      </c>
      <c r="M11" s="39">
        <v>689289.3</v>
      </c>
    </row>
    <row r="12" spans="1:15" x14ac:dyDescent="0.25">
      <c r="A12" s="26" t="s">
        <v>308</v>
      </c>
      <c r="B12" s="35">
        <v>170670000128</v>
      </c>
      <c r="C12" s="26" t="s">
        <v>312</v>
      </c>
      <c r="D12" s="35">
        <v>170670000128</v>
      </c>
      <c r="E12" s="26" t="s">
        <v>281</v>
      </c>
      <c r="F12" s="26" t="s">
        <v>280</v>
      </c>
      <c r="G12" s="36" t="s">
        <v>136</v>
      </c>
      <c r="H12" s="36">
        <v>450</v>
      </c>
      <c r="I12" s="39" t="s">
        <v>137</v>
      </c>
      <c r="J12" s="39">
        <f t="shared" si="0"/>
        <v>24.85</v>
      </c>
      <c r="K12" s="39">
        <f t="shared" si="1"/>
        <v>11182.5</v>
      </c>
      <c r="L12" s="36">
        <f>'PRESUPUESTO 2023'!B$11</f>
        <v>69</v>
      </c>
      <c r="M12" s="39">
        <v>771592.5</v>
      </c>
    </row>
    <row r="13" spans="1:15" x14ac:dyDescent="0.25">
      <c r="A13" s="26" t="s">
        <v>308</v>
      </c>
      <c r="B13" s="35">
        <v>170670000128</v>
      </c>
      <c r="C13" s="26" t="s">
        <v>312</v>
      </c>
      <c r="D13" s="35">
        <v>170670000012</v>
      </c>
      <c r="E13" s="26" t="s">
        <v>313</v>
      </c>
      <c r="F13" s="26" t="s">
        <v>280</v>
      </c>
      <c r="G13" s="36" t="s">
        <v>136</v>
      </c>
      <c r="H13" s="36">
        <f>+N°MANIPULADORES!I16+N°MANIPULADORES!I17</f>
        <v>285</v>
      </c>
      <c r="I13" s="39" t="s">
        <v>137</v>
      </c>
      <c r="J13" s="39">
        <f t="shared" si="0"/>
        <v>24.85</v>
      </c>
      <c r="K13" s="39">
        <f t="shared" si="1"/>
        <v>7082.25</v>
      </c>
      <c r="L13" s="36">
        <f>'PRESUPUESTO 2023'!B$11</f>
        <v>69</v>
      </c>
      <c r="M13" s="39">
        <v>488675.25</v>
      </c>
    </row>
    <row r="14" spans="1:15" x14ac:dyDescent="0.25">
      <c r="A14" s="26" t="s">
        <v>308</v>
      </c>
      <c r="B14" s="35">
        <v>170670000128</v>
      </c>
      <c r="C14" s="26" t="s">
        <v>312</v>
      </c>
      <c r="D14" s="35">
        <v>270670000530</v>
      </c>
      <c r="E14" s="26" t="s">
        <v>315</v>
      </c>
      <c r="F14" s="26" t="s">
        <v>280</v>
      </c>
      <c r="G14" s="36" t="s">
        <v>136</v>
      </c>
      <c r="H14" s="36">
        <f>+N°MANIPULADORES!I20+N°MANIPULADORES!I21</f>
        <v>174</v>
      </c>
      <c r="I14" s="39" t="s">
        <v>137</v>
      </c>
      <c r="J14" s="39">
        <f t="shared" si="0"/>
        <v>24.85</v>
      </c>
      <c r="K14" s="39">
        <f t="shared" si="1"/>
        <v>4323.8999999999996</v>
      </c>
      <c r="L14" s="36">
        <f>'PRESUPUESTO 2023'!B$11</f>
        <v>69</v>
      </c>
      <c r="M14" s="39">
        <v>298349.09999999998</v>
      </c>
    </row>
    <row r="15" spans="1:15" s="6" customFormat="1" x14ac:dyDescent="0.25">
      <c r="A15" s="40" t="s">
        <v>138</v>
      </c>
      <c r="B15" s="40"/>
      <c r="C15" s="40"/>
      <c r="D15" s="40"/>
      <c r="E15" s="40"/>
      <c r="F15" s="40"/>
      <c r="G15" s="29"/>
      <c r="H15" s="29">
        <f>SUM(H9:H14)</f>
        <v>2249</v>
      </c>
      <c r="I15" s="29"/>
      <c r="J15" s="29"/>
      <c r="K15" s="29"/>
      <c r="L15" s="29"/>
      <c r="M15" s="32">
        <f>SUM(M9:M14)</f>
        <v>3856247.85</v>
      </c>
    </row>
    <row r="18" spans="1:14" s="12" customFormat="1" x14ac:dyDescent="0.25">
      <c r="A18" s="19"/>
      <c r="B18" s="19"/>
      <c r="C18" s="19"/>
      <c r="D18" s="19"/>
      <c r="E18" s="19"/>
      <c r="F18" s="19"/>
      <c r="G18" s="41"/>
      <c r="H18" s="41"/>
      <c r="I18" s="42"/>
      <c r="J18" s="41"/>
      <c r="K18" s="41"/>
      <c r="L18" s="42"/>
      <c r="M18" s="41"/>
      <c r="N18"/>
    </row>
    <row r="19" spans="1:14" s="12" customFormat="1" ht="45" customHeight="1" x14ac:dyDescent="0.25">
      <c r="A19" s="29" t="s">
        <v>139</v>
      </c>
      <c r="B19" s="29" t="s">
        <v>140</v>
      </c>
      <c r="C19" s="29" t="s">
        <v>141</v>
      </c>
      <c r="D19" s="29" t="s">
        <v>8</v>
      </c>
      <c r="E19" s="29" t="s">
        <v>143</v>
      </c>
      <c r="F19" s="233" t="s">
        <v>144</v>
      </c>
      <c r="G19" s="387" t="s">
        <v>145</v>
      </c>
      <c r="H19" s="387"/>
      <c r="I19" s="387"/>
      <c r="J19" s="32" t="s">
        <v>146</v>
      </c>
      <c r="K19" s="30" t="s">
        <v>147</v>
      </c>
      <c r="L19" s="27" t="s">
        <v>133</v>
      </c>
      <c r="N19"/>
    </row>
    <row r="20" spans="1:14" s="12" customFormat="1" ht="22.5" x14ac:dyDescent="0.25">
      <c r="A20" s="43" t="s">
        <v>148</v>
      </c>
      <c r="B20" s="38">
        <v>252000</v>
      </c>
      <c r="C20" s="38">
        <v>245000</v>
      </c>
      <c r="D20" s="38">
        <v>248500</v>
      </c>
      <c r="E20" s="38">
        <v>2485</v>
      </c>
      <c r="F20" s="234">
        <v>24.85</v>
      </c>
      <c r="G20" s="388">
        <v>3856247.85</v>
      </c>
      <c r="H20" s="389"/>
      <c r="I20" s="390"/>
      <c r="J20" s="37">
        <v>2249</v>
      </c>
      <c r="K20" s="37">
        <v>69</v>
      </c>
      <c r="L20" s="39">
        <v>24.85</v>
      </c>
      <c r="N20"/>
    </row>
    <row r="21" spans="1:14" s="12" customFormat="1" x14ac:dyDescent="0.25">
      <c r="A21" s="19"/>
      <c r="B21" s="19"/>
      <c r="C21" s="19"/>
      <c r="D21" s="19"/>
      <c r="E21" s="19"/>
      <c r="F21" s="19"/>
      <c r="G21" s="41"/>
      <c r="H21" s="41"/>
      <c r="I21" s="42"/>
      <c r="J21" s="41"/>
      <c r="K21" s="41"/>
      <c r="L21" s="42"/>
      <c r="M21" s="41"/>
      <c r="N21"/>
    </row>
    <row r="24" spans="1:14" x14ac:dyDescent="0.25">
      <c r="A24" s="376"/>
      <c r="B24" s="376"/>
      <c r="C24" s="376"/>
      <c r="D24" s="376"/>
      <c r="E24" s="376"/>
      <c r="F24" s="376"/>
      <c r="G24" s="376"/>
      <c r="H24" s="376"/>
      <c r="I24" s="376"/>
      <c r="J24" s="376"/>
      <c r="K24" s="376"/>
      <c r="L24" s="376"/>
      <c r="M24" s="376"/>
    </row>
    <row r="25" spans="1:14" x14ac:dyDescent="0.25">
      <c r="A25" s="376"/>
      <c r="B25" s="376"/>
      <c r="C25" s="376"/>
      <c r="D25" s="376"/>
      <c r="E25" s="376"/>
      <c r="F25" s="376"/>
      <c r="G25" s="376"/>
      <c r="H25" s="376"/>
      <c r="I25" s="376"/>
      <c r="J25" s="376"/>
      <c r="K25" s="376"/>
      <c r="L25" s="376"/>
      <c r="M25" s="376"/>
    </row>
  </sheetData>
  <autoFilter ref="A8:M15"/>
  <mergeCells count="10">
    <mergeCell ref="A1:M1"/>
    <mergeCell ref="A2:M2"/>
    <mergeCell ref="A3:M3"/>
    <mergeCell ref="A4:M4"/>
    <mergeCell ref="A24:M24"/>
    <mergeCell ref="A25:M25"/>
    <mergeCell ref="G19:I19"/>
    <mergeCell ref="G20:I20"/>
    <mergeCell ref="A5:M5"/>
    <mergeCell ref="A6:M6"/>
  </mergeCells>
  <printOptions horizontalCentered="1"/>
  <pageMargins left="0.51181102362204722" right="0.51181102362204722" top="0.78740157480314965" bottom="0.78740157480314965" header="0.31496062992125984" footer="0.39370078740157483"/>
  <pageSetup paperSize="258" scale="70" fitToHeight="30" pageOrder="overThenDown" orientation="landscape" r:id="rId1"/>
  <headerFooter>
    <oddFooter>&amp;CPágina &amp;P  de  &amp;N</oddFooter>
  </headerFooter>
  <rowBreaks count="1" manualBreakCount="1">
    <brk id="16" max="12"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tabSelected="1" zoomScale="80" zoomScaleNormal="80" zoomScaleSheetLayoutView="90" workbookViewId="0">
      <selection activeCell="A31" sqref="A31:S31"/>
    </sheetView>
  </sheetViews>
  <sheetFormatPr baseColWidth="10" defaultColWidth="11.42578125" defaultRowHeight="15" x14ac:dyDescent="0.25"/>
  <cols>
    <col min="1" max="1" width="10.85546875" customWidth="1"/>
    <col min="2" max="2" width="13.85546875" customWidth="1"/>
    <col min="3" max="3" width="19.140625" customWidth="1"/>
    <col min="4" max="4" width="13.85546875" customWidth="1"/>
    <col min="5" max="5" width="22.5703125" customWidth="1"/>
    <col min="6" max="6" width="11" customWidth="1"/>
    <col min="7" max="8" width="8.7109375" customWidth="1"/>
    <col min="9" max="9" width="14.85546875" style="13" customWidth="1"/>
    <col min="10" max="10" width="14.28515625" style="125" customWidth="1"/>
    <col min="11" max="11" width="8.7109375" customWidth="1"/>
    <col min="12" max="12" width="8.7109375" style="16" customWidth="1"/>
    <col min="13" max="14" width="8.7109375" customWidth="1"/>
    <col min="15" max="15" width="8.7109375" style="12" customWidth="1"/>
    <col min="16" max="16" width="9.5703125" style="12" customWidth="1"/>
    <col min="17" max="17" width="8.7109375" style="132" customWidth="1"/>
    <col min="18" max="18" width="8.7109375" style="131" customWidth="1"/>
    <col min="19" max="19" width="16.28515625" style="132" customWidth="1"/>
  </cols>
  <sheetData>
    <row r="1" spans="1:19" x14ac:dyDescent="0.25">
      <c r="A1" s="395" t="s">
        <v>0</v>
      </c>
      <c r="B1" s="395"/>
      <c r="C1" s="395"/>
      <c r="D1" s="395"/>
      <c r="E1" s="395"/>
      <c r="F1" s="395"/>
      <c r="G1" s="395"/>
      <c r="H1" s="395"/>
      <c r="I1" s="395"/>
      <c r="J1" s="395"/>
      <c r="K1" s="395"/>
      <c r="L1" s="395"/>
      <c r="M1" s="395"/>
      <c r="N1" s="395"/>
      <c r="O1" s="395"/>
      <c r="P1" s="395"/>
      <c r="Q1" s="395"/>
      <c r="R1" s="395"/>
      <c r="S1" s="395"/>
    </row>
    <row r="2" spans="1:19" x14ac:dyDescent="0.25">
      <c r="A2" s="395" t="s">
        <v>307</v>
      </c>
      <c r="B2" s="395"/>
      <c r="C2" s="395"/>
      <c r="D2" s="395"/>
      <c r="E2" s="395"/>
      <c r="F2" s="395"/>
      <c r="G2" s="395"/>
      <c r="H2" s="395"/>
      <c r="I2" s="395"/>
      <c r="J2" s="395"/>
      <c r="K2" s="395"/>
      <c r="L2" s="395"/>
      <c r="M2" s="395"/>
      <c r="N2" s="395"/>
      <c r="O2" s="395"/>
      <c r="P2" s="395"/>
      <c r="Q2" s="395"/>
      <c r="R2" s="395"/>
      <c r="S2" s="395"/>
    </row>
    <row r="3" spans="1:19" x14ac:dyDescent="0.25">
      <c r="A3" s="395" t="s">
        <v>273</v>
      </c>
      <c r="B3" s="395"/>
      <c r="C3" s="395"/>
      <c r="D3" s="395"/>
      <c r="E3" s="395"/>
      <c r="F3" s="395"/>
      <c r="G3" s="395"/>
      <c r="H3" s="395"/>
      <c r="I3" s="395"/>
      <c r="J3" s="395"/>
      <c r="K3" s="395"/>
      <c r="L3" s="395"/>
      <c r="M3" s="395"/>
      <c r="N3" s="395"/>
      <c r="O3" s="395"/>
      <c r="P3" s="395"/>
      <c r="Q3" s="395"/>
      <c r="R3" s="395"/>
      <c r="S3" s="395"/>
    </row>
    <row r="4" spans="1:19" x14ac:dyDescent="0.25">
      <c r="A4" s="395" t="s">
        <v>348</v>
      </c>
      <c r="B4" s="395"/>
      <c r="C4" s="395"/>
      <c r="D4" s="395"/>
      <c r="E4" s="395"/>
      <c r="F4" s="395"/>
      <c r="G4" s="395"/>
      <c r="H4" s="395"/>
      <c r="I4" s="395"/>
      <c r="J4" s="395"/>
      <c r="K4" s="395"/>
      <c r="L4" s="395"/>
      <c r="M4" s="395"/>
      <c r="N4" s="395"/>
      <c r="O4" s="395"/>
      <c r="P4" s="395"/>
      <c r="Q4" s="395"/>
      <c r="R4" s="395"/>
      <c r="S4" s="395"/>
    </row>
    <row r="5" spans="1:19" x14ac:dyDescent="0.25">
      <c r="A5" s="44"/>
      <c r="B5" s="44"/>
      <c r="C5" s="44"/>
      <c r="D5" s="44"/>
      <c r="E5" s="44"/>
      <c r="F5" s="44"/>
      <c r="G5" s="44"/>
      <c r="H5" s="44"/>
      <c r="I5" s="123"/>
      <c r="J5" s="124"/>
      <c r="K5" s="42"/>
      <c r="L5" s="121"/>
      <c r="M5" s="41"/>
      <c r="N5" s="41"/>
      <c r="O5" s="121"/>
      <c r="P5" s="121"/>
    </row>
    <row r="6" spans="1:19" x14ac:dyDescent="0.25">
      <c r="A6" s="395" t="s">
        <v>441</v>
      </c>
      <c r="B6" s="395"/>
      <c r="C6" s="395"/>
      <c r="D6" s="395"/>
      <c r="E6" s="395"/>
      <c r="F6" s="395"/>
      <c r="G6" s="395"/>
      <c r="H6" s="395"/>
      <c r="I6" s="395"/>
      <c r="J6" s="395"/>
      <c r="K6" s="395"/>
      <c r="L6" s="395"/>
      <c r="M6" s="395"/>
      <c r="N6" s="395"/>
      <c r="O6" s="395"/>
      <c r="P6" s="395"/>
      <c r="Q6" s="395"/>
      <c r="R6" s="395"/>
      <c r="S6" s="395"/>
    </row>
    <row r="7" spans="1:19" x14ac:dyDescent="0.25">
      <c r="K7" s="396" t="s">
        <v>248</v>
      </c>
      <c r="L7" s="397"/>
      <c r="M7" s="397"/>
      <c r="N7" s="397"/>
      <c r="O7" s="397"/>
      <c r="P7" s="397"/>
      <c r="Q7" s="399" t="s">
        <v>249</v>
      </c>
      <c r="R7" s="399"/>
    </row>
    <row r="8" spans="1:19" s="69" customFormat="1" x14ac:dyDescent="0.25">
      <c r="A8" s="28" t="s">
        <v>124</v>
      </c>
      <c r="B8" s="28" t="s">
        <v>125</v>
      </c>
      <c r="C8" s="28" t="s">
        <v>126</v>
      </c>
      <c r="D8" s="28" t="s">
        <v>127</v>
      </c>
      <c r="E8" s="28" t="s">
        <v>128</v>
      </c>
      <c r="F8" s="28" t="s">
        <v>129</v>
      </c>
      <c r="G8" s="141" t="s">
        <v>130</v>
      </c>
      <c r="H8" s="141" t="s">
        <v>316</v>
      </c>
      <c r="I8" s="29" t="s">
        <v>251</v>
      </c>
      <c r="J8" s="122" t="s">
        <v>252</v>
      </c>
      <c r="K8" s="133" t="s">
        <v>370</v>
      </c>
      <c r="L8" s="133" t="s">
        <v>371</v>
      </c>
      <c r="M8" s="133" t="s">
        <v>372</v>
      </c>
      <c r="N8" s="133" t="s">
        <v>373</v>
      </c>
      <c r="O8" s="133" t="s">
        <v>374</v>
      </c>
      <c r="P8" s="133" t="s">
        <v>375</v>
      </c>
      <c r="Q8" s="133" t="s">
        <v>259</v>
      </c>
      <c r="R8" s="133" t="s">
        <v>253</v>
      </c>
      <c r="S8" s="142" t="s">
        <v>250</v>
      </c>
    </row>
    <row r="9" spans="1:19" x14ac:dyDescent="0.25">
      <c r="A9" s="26" t="s">
        <v>308</v>
      </c>
      <c r="B9" s="35">
        <v>170670000071</v>
      </c>
      <c r="C9" s="26" t="s">
        <v>309</v>
      </c>
      <c r="D9" s="35">
        <v>170670000071</v>
      </c>
      <c r="E9" s="26" t="s">
        <v>281</v>
      </c>
      <c r="F9" s="26" t="s">
        <v>280</v>
      </c>
      <c r="G9" s="36" t="s">
        <v>136</v>
      </c>
      <c r="H9" s="36" t="s">
        <v>317</v>
      </c>
      <c r="I9" s="36">
        <v>101</v>
      </c>
      <c r="J9" s="120"/>
      <c r="K9" s="36">
        <f>IF(AND(I9&lt;=100,I9&gt;=1),1,0)</f>
        <v>0</v>
      </c>
      <c r="L9" s="120">
        <f>IF(AND(I9&lt;=200,I9&gt;=101),2,0)</f>
        <v>2</v>
      </c>
      <c r="M9" s="36">
        <f>IF(AND(I9&lt;=300,I9&gt;=201),3,0)</f>
        <v>0</v>
      </c>
      <c r="N9" s="36">
        <f>IF(AND(I9&lt;=400,I9&gt;=301),4,0)</f>
        <v>0</v>
      </c>
      <c r="O9" s="120">
        <f>IF(AND(I9&lt;=500,I9&gt;=401),5,0)</f>
        <v>0</v>
      </c>
      <c r="P9" s="120">
        <f>IF(AND(I9&lt;=600,I9&gt;=501),6,0)</f>
        <v>0</v>
      </c>
      <c r="Q9" s="120">
        <f>IF(AND(J9&lt;=300,J9&gt;=25),1,0)</f>
        <v>0</v>
      </c>
      <c r="R9" s="120">
        <f>IF(AND(J9&lt;=600,J9&gt;=301),2,0)</f>
        <v>0</v>
      </c>
      <c r="S9" s="122">
        <f t="shared" ref="S9:S21" si="0">SUM(K9:R9)</f>
        <v>2</v>
      </c>
    </row>
    <row r="10" spans="1:19" x14ac:dyDescent="0.25">
      <c r="A10" s="26" t="s">
        <v>308</v>
      </c>
      <c r="B10" s="35">
        <v>170670000071</v>
      </c>
      <c r="C10" s="26" t="s">
        <v>309</v>
      </c>
      <c r="D10" s="35">
        <v>170670000071</v>
      </c>
      <c r="E10" s="26" t="s">
        <v>281</v>
      </c>
      <c r="F10" s="26" t="s">
        <v>280</v>
      </c>
      <c r="G10" s="36" t="s">
        <v>136</v>
      </c>
      <c r="H10" s="36" t="s">
        <v>318</v>
      </c>
      <c r="I10" s="36">
        <v>509</v>
      </c>
      <c r="J10" s="120"/>
      <c r="K10" s="36">
        <f t="shared" ref="K10:K21" si="1">IF(AND(I10&lt;=100,I10&gt;=1),1,0)</f>
        <v>0</v>
      </c>
      <c r="L10" s="120">
        <f t="shared" ref="L10:L21" si="2">IF(AND(I10&lt;=200,I10&gt;=101),2,0)</f>
        <v>0</v>
      </c>
      <c r="M10" s="36">
        <f t="shared" ref="M10:M21" si="3">IF(AND(I10&lt;=300,I10&gt;=201),3,0)</f>
        <v>0</v>
      </c>
      <c r="N10" s="36">
        <f t="shared" ref="N10:N21" si="4">IF(AND(I10&lt;=400,I10&gt;=301),4,0)</f>
        <v>0</v>
      </c>
      <c r="O10" s="120">
        <f t="shared" ref="O10:O21" si="5">IF(AND(I10&lt;=500,I10&gt;=401),5,0)</f>
        <v>0</v>
      </c>
      <c r="P10" s="120">
        <f t="shared" ref="P10:P21" si="6">IF(AND(I10&lt;=600,I10&gt;=501),6,0)</f>
        <v>6</v>
      </c>
      <c r="Q10" s="120">
        <f t="shared" ref="Q10:Q21" si="7">IF(AND(J10&lt;=300,J10&gt;=25),1,0)</f>
        <v>0</v>
      </c>
      <c r="R10" s="120">
        <f t="shared" ref="R10:R21" si="8">IF(AND(J10&lt;=600,J10&gt;=301),2,0)</f>
        <v>0</v>
      </c>
      <c r="S10" s="122">
        <f t="shared" si="0"/>
        <v>6</v>
      </c>
    </row>
    <row r="11" spans="1:19" x14ac:dyDescent="0.25">
      <c r="A11" s="26" t="s">
        <v>308</v>
      </c>
      <c r="B11" s="35">
        <v>170670000071</v>
      </c>
      <c r="C11" s="26" t="s">
        <v>309</v>
      </c>
      <c r="D11" s="35">
        <v>170670000608</v>
      </c>
      <c r="E11" s="26" t="s">
        <v>311</v>
      </c>
      <c r="F11" s="26" t="s">
        <v>280</v>
      </c>
      <c r="G11" s="36" t="s">
        <v>136</v>
      </c>
      <c r="H11" s="36" t="s">
        <v>317</v>
      </c>
      <c r="I11" s="36">
        <v>220</v>
      </c>
      <c r="J11" s="120"/>
      <c r="K11" s="36">
        <f t="shared" si="1"/>
        <v>0</v>
      </c>
      <c r="L11" s="120">
        <f t="shared" si="2"/>
        <v>0</v>
      </c>
      <c r="M11" s="36">
        <f t="shared" si="3"/>
        <v>3</v>
      </c>
      <c r="N11" s="36">
        <f t="shared" si="4"/>
        <v>0</v>
      </c>
      <c r="O11" s="120">
        <f t="shared" si="5"/>
        <v>0</v>
      </c>
      <c r="P11" s="120">
        <f t="shared" si="6"/>
        <v>0</v>
      </c>
      <c r="Q11" s="120">
        <f t="shared" si="7"/>
        <v>0</v>
      </c>
      <c r="R11" s="120">
        <f t="shared" si="8"/>
        <v>0</v>
      </c>
      <c r="S11" s="122">
        <f t="shared" si="0"/>
        <v>3</v>
      </c>
    </row>
    <row r="12" spans="1:19" x14ac:dyDescent="0.25">
      <c r="A12" s="26" t="s">
        <v>308</v>
      </c>
      <c r="B12" s="35">
        <v>170670000071</v>
      </c>
      <c r="C12" s="26" t="s">
        <v>309</v>
      </c>
      <c r="D12" s="35">
        <v>170670000608</v>
      </c>
      <c r="E12" s="26" t="s">
        <v>311</v>
      </c>
      <c r="F12" s="26" t="s">
        <v>280</v>
      </c>
      <c r="G12" s="36" t="s">
        <v>136</v>
      </c>
      <c r="H12" s="36" t="s">
        <v>318</v>
      </c>
      <c r="I12" s="36">
        <v>108</v>
      </c>
      <c r="J12" s="120"/>
      <c r="K12" s="36">
        <f t="shared" si="1"/>
        <v>0</v>
      </c>
      <c r="L12" s="120">
        <f t="shared" si="2"/>
        <v>2</v>
      </c>
      <c r="M12" s="36">
        <f t="shared" si="3"/>
        <v>0</v>
      </c>
      <c r="N12" s="36">
        <f t="shared" si="4"/>
        <v>0</v>
      </c>
      <c r="O12" s="120">
        <f t="shared" si="5"/>
        <v>0</v>
      </c>
      <c r="P12" s="120">
        <f t="shared" si="6"/>
        <v>0</v>
      </c>
      <c r="Q12" s="120">
        <f t="shared" si="7"/>
        <v>0</v>
      </c>
      <c r="R12" s="120">
        <f t="shared" si="8"/>
        <v>0</v>
      </c>
      <c r="S12" s="122">
        <f t="shared" si="0"/>
        <v>2</v>
      </c>
    </row>
    <row r="13" spans="1:19" x14ac:dyDescent="0.25">
      <c r="A13" s="26" t="s">
        <v>308</v>
      </c>
      <c r="B13" s="35">
        <v>170670000071</v>
      </c>
      <c r="C13" s="26" t="s">
        <v>309</v>
      </c>
      <c r="D13" s="35">
        <v>170670000136</v>
      </c>
      <c r="E13" s="26" t="s">
        <v>310</v>
      </c>
      <c r="F13" s="26" t="s">
        <v>280</v>
      </c>
      <c r="G13" s="36" t="s">
        <v>136</v>
      </c>
      <c r="H13" s="36" t="s">
        <v>317</v>
      </c>
      <c r="I13" s="36">
        <v>317</v>
      </c>
      <c r="J13" s="120"/>
      <c r="K13" s="36">
        <f t="shared" si="1"/>
        <v>0</v>
      </c>
      <c r="L13" s="120">
        <f t="shared" si="2"/>
        <v>0</v>
      </c>
      <c r="M13" s="36">
        <f t="shared" si="3"/>
        <v>0</v>
      </c>
      <c r="N13" s="36">
        <f t="shared" si="4"/>
        <v>4</v>
      </c>
      <c r="O13" s="120">
        <f t="shared" si="5"/>
        <v>0</v>
      </c>
      <c r="P13" s="120">
        <f t="shared" si="6"/>
        <v>0</v>
      </c>
      <c r="Q13" s="120">
        <f t="shared" si="7"/>
        <v>0</v>
      </c>
      <c r="R13" s="120">
        <f t="shared" si="8"/>
        <v>0</v>
      </c>
      <c r="S13" s="122">
        <f t="shared" si="0"/>
        <v>4</v>
      </c>
    </row>
    <row r="14" spans="1:19" x14ac:dyDescent="0.25">
      <c r="A14" s="26" t="s">
        <v>308</v>
      </c>
      <c r="B14" s="35">
        <v>170670000071</v>
      </c>
      <c r="C14" s="26" t="s">
        <v>309</v>
      </c>
      <c r="D14" s="35">
        <v>170670000136</v>
      </c>
      <c r="E14" s="26" t="s">
        <v>310</v>
      </c>
      <c r="F14" s="26" t="s">
        <v>280</v>
      </c>
      <c r="G14" s="36" t="s">
        <v>136</v>
      </c>
      <c r="H14" s="36" t="s">
        <v>318</v>
      </c>
      <c r="I14" s="36">
        <v>85</v>
      </c>
      <c r="J14" s="120"/>
      <c r="K14" s="36">
        <f t="shared" si="1"/>
        <v>1</v>
      </c>
      <c r="L14" s="120">
        <f t="shared" si="2"/>
        <v>0</v>
      </c>
      <c r="M14" s="36">
        <f t="shared" si="3"/>
        <v>0</v>
      </c>
      <c r="N14" s="36">
        <f t="shared" si="4"/>
        <v>0</v>
      </c>
      <c r="O14" s="120">
        <f t="shared" si="5"/>
        <v>0</v>
      </c>
      <c r="P14" s="120">
        <f t="shared" si="6"/>
        <v>0</v>
      </c>
      <c r="Q14" s="120">
        <f t="shared" si="7"/>
        <v>0</v>
      </c>
      <c r="R14" s="120">
        <f t="shared" si="8"/>
        <v>0</v>
      </c>
      <c r="S14" s="122">
        <f t="shared" si="0"/>
        <v>1</v>
      </c>
    </row>
    <row r="15" spans="1:19" x14ac:dyDescent="0.25">
      <c r="A15" s="26" t="s">
        <v>308</v>
      </c>
      <c r="B15" s="35">
        <v>170670000128</v>
      </c>
      <c r="C15" s="26" t="s">
        <v>312</v>
      </c>
      <c r="D15" s="35">
        <v>170670000128</v>
      </c>
      <c r="E15" s="26" t="s">
        <v>281</v>
      </c>
      <c r="F15" s="26" t="s">
        <v>280</v>
      </c>
      <c r="G15" s="36" t="s">
        <v>136</v>
      </c>
      <c r="H15" s="36" t="s">
        <v>318</v>
      </c>
      <c r="I15" s="36">
        <v>450</v>
      </c>
      <c r="J15" s="120"/>
      <c r="K15" s="36">
        <f t="shared" si="1"/>
        <v>0</v>
      </c>
      <c r="L15" s="120">
        <f t="shared" si="2"/>
        <v>0</v>
      </c>
      <c r="M15" s="36">
        <f t="shared" si="3"/>
        <v>0</v>
      </c>
      <c r="N15" s="36">
        <f t="shared" si="4"/>
        <v>0</v>
      </c>
      <c r="O15" s="120">
        <f t="shared" si="5"/>
        <v>5</v>
      </c>
      <c r="P15" s="120">
        <f t="shared" si="6"/>
        <v>0</v>
      </c>
      <c r="Q15" s="120">
        <f t="shared" si="7"/>
        <v>0</v>
      </c>
      <c r="R15" s="120">
        <f t="shared" si="8"/>
        <v>0</v>
      </c>
      <c r="S15" s="122">
        <f t="shared" si="0"/>
        <v>5</v>
      </c>
    </row>
    <row r="16" spans="1:19" x14ac:dyDescent="0.25">
      <c r="A16" s="26" t="s">
        <v>308</v>
      </c>
      <c r="B16" s="35">
        <v>170670000128</v>
      </c>
      <c r="C16" s="26" t="s">
        <v>312</v>
      </c>
      <c r="D16" s="35">
        <v>170670000012</v>
      </c>
      <c r="E16" s="26" t="s">
        <v>313</v>
      </c>
      <c r="F16" s="26" t="s">
        <v>280</v>
      </c>
      <c r="G16" s="36" t="s">
        <v>136</v>
      </c>
      <c r="H16" s="36" t="s">
        <v>317</v>
      </c>
      <c r="I16" s="36">
        <v>134</v>
      </c>
      <c r="J16" s="120"/>
      <c r="K16" s="36">
        <f t="shared" si="1"/>
        <v>0</v>
      </c>
      <c r="L16" s="120">
        <f t="shared" si="2"/>
        <v>2</v>
      </c>
      <c r="M16" s="36">
        <f t="shared" si="3"/>
        <v>0</v>
      </c>
      <c r="N16" s="36">
        <f t="shared" si="4"/>
        <v>0</v>
      </c>
      <c r="O16" s="120">
        <f t="shared" si="5"/>
        <v>0</v>
      </c>
      <c r="P16" s="120">
        <f t="shared" si="6"/>
        <v>0</v>
      </c>
      <c r="Q16" s="120">
        <f t="shared" si="7"/>
        <v>0</v>
      </c>
      <c r="R16" s="120">
        <f t="shared" si="8"/>
        <v>0</v>
      </c>
      <c r="S16" s="122">
        <f t="shared" si="0"/>
        <v>2</v>
      </c>
    </row>
    <row r="17" spans="1:19" x14ac:dyDescent="0.25">
      <c r="A17" s="26" t="s">
        <v>308</v>
      </c>
      <c r="B17" s="35">
        <v>170670000128</v>
      </c>
      <c r="C17" s="26" t="s">
        <v>312</v>
      </c>
      <c r="D17" s="35">
        <v>170670000012</v>
      </c>
      <c r="E17" s="26" t="s">
        <v>313</v>
      </c>
      <c r="F17" s="26" t="s">
        <v>280</v>
      </c>
      <c r="G17" s="36" t="s">
        <v>136</v>
      </c>
      <c r="H17" s="36" t="s">
        <v>318</v>
      </c>
      <c r="I17" s="36">
        <v>151</v>
      </c>
      <c r="J17" s="120"/>
      <c r="K17" s="36">
        <f t="shared" si="1"/>
        <v>0</v>
      </c>
      <c r="L17" s="120">
        <f t="shared" si="2"/>
        <v>2</v>
      </c>
      <c r="M17" s="36">
        <f t="shared" si="3"/>
        <v>0</v>
      </c>
      <c r="N17" s="36">
        <f t="shared" si="4"/>
        <v>0</v>
      </c>
      <c r="O17" s="120">
        <f t="shared" si="5"/>
        <v>0</v>
      </c>
      <c r="P17" s="120">
        <f t="shared" si="6"/>
        <v>0</v>
      </c>
      <c r="Q17" s="120">
        <f t="shared" si="7"/>
        <v>0</v>
      </c>
      <c r="R17" s="120">
        <f t="shared" si="8"/>
        <v>0</v>
      </c>
      <c r="S17" s="122">
        <f t="shared" si="0"/>
        <v>2</v>
      </c>
    </row>
    <row r="18" spans="1:19" x14ac:dyDescent="0.25">
      <c r="A18" s="26" t="s">
        <v>308</v>
      </c>
      <c r="B18" s="35">
        <v>170670000128</v>
      </c>
      <c r="C18" s="26" t="s">
        <v>312</v>
      </c>
      <c r="D18" s="35">
        <v>170670000098</v>
      </c>
      <c r="E18" s="26" t="s">
        <v>314</v>
      </c>
      <c r="F18" s="26" t="s">
        <v>280</v>
      </c>
      <c r="G18" s="36" t="s">
        <v>429</v>
      </c>
      <c r="H18" s="36" t="s">
        <v>317</v>
      </c>
      <c r="I18" s="225"/>
      <c r="J18" s="36">
        <v>162</v>
      </c>
      <c r="K18" s="36">
        <f t="shared" si="1"/>
        <v>0</v>
      </c>
      <c r="L18" s="120">
        <f t="shared" si="2"/>
        <v>0</v>
      </c>
      <c r="M18" s="36">
        <f t="shared" si="3"/>
        <v>0</v>
      </c>
      <c r="N18" s="36">
        <f t="shared" si="4"/>
        <v>0</v>
      </c>
      <c r="O18" s="120">
        <f t="shared" si="5"/>
        <v>0</v>
      </c>
      <c r="P18" s="120">
        <f t="shared" si="6"/>
        <v>0</v>
      </c>
      <c r="Q18" s="120">
        <f t="shared" si="7"/>
        <v>1</v>
      </c>
      <c r="R18" s="120">
        <f t="shared" si="8"/>
        <v>0</v>
      </c>
      <c r="S18" s="122">
        <f t="shared" si="0"/>
        <v>1</v>
      </c>
    </row>
    <row r="19" spans="1:19" x14ac:dyDescent="0.25">
      <c r="A19" s="26" t="s">
        <v>308</v>
      </c>
      <c r="B19" s="35">
        <v>170670000128</v>
      </c>
      <c r="C19" s="26" t="s">
        <v>312</v>
      </c>
      <c r="D19" s="35">
        <v>170670000098</v>
      </c>
      <c r="E19" s="26" t="s">
        <v>314</v>
      </c>
      <c r="F19" s="26" t="s">
        <v>280</v>
      </c>
      <c r="G19" s="36" t="s">
        <v>429</v>
      </c>
      <c r="H19" s="36" t="s">
        <v>318</v>
      </c>
      <c r="I19" s="225"/>
      <c r="J19" s="36">
        <v>94</v>
      </c>
      <c r="K19" s="36">
        <f t="shared" si="1"/>
        <v>0</v>
      </c>
      <c r="L19" s="120">
        <f t="shared" si="2"/>
        <v>0</v>
      </c>
      <c r="M19" s="36">
        <f t="shared" si="3"/>
        <v>0</v>
      </c>
      <c r="N19" s="36">
        <f t="shared" si="4"/>
        <v>0</v>
      </c>
      <c r="O19" s="120">
        <f t="shared" si="5"/>
        <v>0</v>
      </c>
      <c r="P19" s="120">
        <f t="shared" si="6"/>
        <v>0</v>
      </c>
      <c r="Q19" s="120">
        <f t="shared" si="7"/>
        <v>1</v>
      </c>
      <c r="R19" s="120">
        <f t="shared" si="8"/>
        <v>0</v>
      </c>
      <c r="S19" s="122">
        <f t="shared" si="0"/>
        <v>1</v>
      </c>
    </row>
    <row r="20" spans="1:19" x14ac:dyDescent="0.25">
      <c r="A20" s="26" t="s">
        <v>308</v>
      </c>
      <c r="B20" s="35">
        <v>170670000128</v>
      </c>
      <c r="C20" s="26" t="s">
        <v>312</v>
      </c>
      <c r="D20" s="35">
        <v>270670000530</v>
      </c>
      <c r="E20" s="26" t="s">
        <v>315</v>
      </c>
      <c r="F20" s="26" t="s">
        <v>280</v>
      </c>
      <c r="G20" s="36" t="s">
        <v>136</v>
      </c>
      <c r="H20" s="36" t="s">
        <v>317</v>
      </c>
      <c r="I20" s="36">
        <v>105</v>
      </c>
      <c r="J20" s="120"/>
      <c r="K20" s="36">
        <f t="shared" si="1"/>
        <v>0</v>
      </c>
      <c r="L20" s="120">
        <f t="shared" si="2"/>
        <v>2</v>
      </c>
      <c r="M20" s="36">
        <f t="shared" si="3"/>
        <v>0</v>
      </c>
      <c r="N20" s="36">
        <f t="shared" si="4"/>
        <v>0</v>
      </c>
      <c r="O20" s="120">
        <f t="shared" si="5"/>
        <v>0</v>
      </c>
      <c r="P20" s="120">
        <f t="shared" si="6"/>
        <v>0</v>
      </c>
      <c r="Q20" s="120">
        <f t="shared" si="7"/>
        <v>0</v>
      </c>
      <c r="R20" s="120">
        <f t="shared" si="8"/>
        <v>0</v>
      </c>
      <c r="S20" s="122">
        <f t="shared" si="0"/>
        <v>2</v>
      </c>
    </row>
    <row r="21" spans="1:19" x14ac:dyDescent="0.25">
      <c r="A21" s="26" t="s">
        <v>308</v>
      </c>
      <c r="B21" s="35">
        <v>170670000128</v>
      </c>
      <c r="C21" s="26" t="s">
        <v>312</v>
      </c>
      <c r="D21" s="35">
        <v>270670000530</v>
      </c>
      <c r="E21" s="26" t="s">
        <v>315</v>
      </c>
      <c r="F21" s="26" t="s">
        <v>280</v>
      </c>
      <c r="G21" s="36" t="s">
        <v>136</v>
      </c>
      <c r="H21" s="36" t="s">
        <v>318</v>
      </c>
      <c r="I21" s="36">
        <v>69</v>
      </c>
      <c r="J21" s="120"/>
      <c r="K21" s="36">
        <f t="shared" si="1"/>
        <v>1</v>
      </c>
      <c r="L21" s="120">
        <f t="shared" si="2"/>
        <v>0</v>
      </c>
      <c r="M21" s="36">
        <f t="shared" si="3"/>
        <v>0</v>
      </c>
      <c r="N21" s="36">
        <f t="shared" si="4"/>
        <v>0</v>
      </c>
      <c r="O21" s="120">
        <f t="shared" si="5"/>
        <v>0</v>
      </c>
      <c r="P21" s="120">
        <f t="shared" si="6"/>
        <v>0</v>
      </c>
      <c r="Q21" s="120">
        <f t="shared" si="7"/>
        <v>0</v>
      </c>
      <c r="R21" s="120">
        <f t="shared" si="8"/>
        <v>0</v>
      </c>
      <c r="S21" s="122">
        <f t="shared" si="0"/>
        <v>1</v>
      </c>
    </row>
    <row r="22" spans="1:19" s="6" customFormat="1" x14ac:dyDescent="0.25">
      <c r="A22" s="400" t="s">
        <v>97</v>
      </c>
      <c r="B22" s="401"/>
      <c r="C22" s="401"/>
      <c r="D22" s="401"/>
      <c r="E22" s="401"/>
      <c r="F22" s="401"/>
      <c r="G22" s="402"/>
      <c r="H22" s="194"/>
      <c r="I22" s="122">
        <f>SUM(I9:I21)</f>
        <v>2249</v>
      </c>
      <c r="J22" s="122">
        <f>SUM(J9:J21)</f>
        <v>256</v>
      </c>
      <c r="K22" s="37"/>
      <c r="L22" s="120"/>
      <c r="M22" s="36"/>
      <c r="N22" s="36"/>
      <c r="O22" s="120"/>
      <c r="P22" s="120"/>
      <c r="Q22" s="129"/>
      <c r="R22" s="118"/>
      <c r="S22" s="130"/>
    </row>
    <row r="23" spans="1:19" s="128" customFormat="1" ht="12" x14ac:dyDescent="0.2">
      <c r="A23" s="392" t="s">
        <v>138</v>
      </c>
      <c r="B23" s="393"/>
      <c r="C23" s="393"/>
      <c r="D23" s="393"/>
      <c r="E23" s="393"/>
      <c r="F23" s="393"/>
      <c r="G23" s="394"/>
      <c r="H23" s="193"/>
      <c r="I23" s="127"/>
      <c r="J23" s="127"/>
      <c r="K23" s="127">
        <f>SUM(K9:K22)</f>
        <v>2</v>
      </c>
      <c r="L23" s="127">
        <f t="shared" ref="L23:R23" si="9">SUM(L9:L22)</f>
        <v>10</v>
      </c>
      <c r="M23" s="127">
        <f t="shared" si="9"/>
        <v>3</v>
      </c>
      <c r="N23" s="127">
        <f t="shared" si="9"/>
        <v>4</v>
      </c>
      <c r="O23" s="127">
        <f t="shared" si="9"/>
        <v>5</v>
      </c>
      <c r="P23" s="127">
        <f t="shared" si="9"/>
        <v>6</v>
      </c>
      <c r="Q23" s="127">
        <f t="shared" si="9"/>
        <v>2</v>
      </c>
      <c r="R23" s="127">
        <f t="shared" si="9"/>
        <v>0</v>
      </c>
      <c r="S23" s="127">
        <f>SUM(K23:R23)</f>
        <v>32</v>
      </c>
    </row>
    <row r="25" spans="1:19" ht="39" customHeight="1" x14ac:dyDescent="0.25">
      <c r="A25" s="398" t="s">
        <v>376</v>
      </c>
      <c r="B25" s="398"/>
      <c r="C25" s="398"/>
      <c r="D25" s="398"/>
      <c r="E25" s="398"/>
      <c r="F25" s="398"/>
      <c r="G25" s="398"/>
      <c r="H25" s="398"/>
      <c r="I25" s="398"/>
      <c r="J25" s="398"/>
      <c r="K25" s="398"/>
      <c r="L25" s="398"/>
      <c r="M25" s="398"/>
      <c r="N25" s="398"/>
      <c r="O25" s="398"/>
      <c r="P25" s="398"/>
      <c r="Q25" s="398"/>
      <c r="R25" s="398"/>
      <c r="S25" s="398"/>
    </row>
    <row r="26" spans="1:19" ht="30" customHeight="1" x14ac:dyDescent="0.25">
      <c r="A26" s="398" t="s">
        <v>260</v>
      </c>
      <c r="B26" s="398"/>
      <c r="C26" s="398"/>
      <c r="D26" s="398"/>
      <c r="E26" s="398"/>
      <c r="F26" s="398"/>
      <c r="G26" s="398"/>
      <c r="H26" s="398"/>
      <c r="I26" s="398"/>
      <c r="J26" s="398"/>
      <c r="K26" s="398"/>
      <c r="L26" s="398"/>
      <c r="M26" s="398"/>
      <c r="N26" s="398"/>
      <c r="O26" s="398"/>
      <c r="P26" s="398"/>
      <c r="Q26" s="398"/>
      <c r="R26" s="398"/>
      <c r="S26" s="398"/>
    </row>
    <row r="27" spans="1:19" ht="20.25" customHeight="1" x14ac:dyDescent="0.25">
      <c r="A27" s="136"/>
      <c r="B27" s="136"/>
      <c r="C27" s="136"/>
      <c r="D27" s="136"/>
      <c r="E27" s="136"/>
      <c r="F27" s="136"/>
      <c r="G27" s="136"/>
      <c r="H27" s="136"/>
      <c r="I27" s="136"/>
      <c r="J27" s="136"/>
      <c r="K27" s="136"/>
      <c r="L27" s="136"/>
      <c r="M27" s="136"/>
      <c r="N27" s="136"/>
      <c r="O27" s="136"/>
      <c r="P27" s="136"/>
      <c r="Q27" s="136"/>
      <c r="R27" s="136"/>
      <c r="S27" s="136"/>
    </row>
    <row r="28" spans="1:19" ht="20.25" customHeight="1" x14ac:dyDescent="0.25">
      <c r="A28" s="136"/>
      <c r="B28" s="136"/>
      <c r="C28" s="136"/>
      <c r="D28" s="136"/>
      <c r="E28" s="136"/>
      <c r="F28" s="136"/>
      <c r="G28" s="136"/>
      <c r="H28" s="136"/>
      <c r="I28" s="136"/>
      <c r="J28" s="136"/>
      <c r="K28" s="136"/>
      <c r="L28" s="136"/>
      <c r="M28" s="136"/>
      <c r="N28" s="136"/>
      <c r="O28" s="136"/>
      <c r="P28" s="136"/>
      <c r="Q28" s="136"/>
      <c r="R28" s="136"/>
      <c r="S28" s="136"/>
    </row>
    <row r="29" spans="1:19" s="12" customFormat="1" x14ac:dyDescent="0.25">
      <c r="A29"/>
      <c r="B29"/>
      <c r="C29"/>
      <c r="D29"/>
      <c r="E29"/>
      <c r="F29"/>
      <c r="G29"/>
      <c r="H29"/>
      <c r="I29" s="13"/>
      <c r="J29" s="125"/>
      <c r="K29"/>
      <c r="L29" s="16"/>
      <c r="Q29" s="135"/>
      <c r="R29" s="134"/>
      <c r="S29" s="135"/>
    </row>
    <row r="30" spans="1:19" s="12" customFormat="1" x14ac:dyDescent="0.25">
      <c r="A30" s="391"/>
      <c r="B30" s="391"/>
      <c r="C30" s="391"/>
      <c r="D30" s="391"/>
      <c r="E30" s="391"/>
      <c r="F30" s="391"/>
      <c r="G30" s="391"/>
      <c r="H30" s="391"/>
      <c r="I30" s="391"/>
      <c r="J30" s="391"/>
      <c r="K30" s="391"/>
      <c r="L30" s="391"/>
      <c r="M30" s="391"/>
      <c r="N30" s="391"/>
      <c r="O30" s="391"/>
      <c r="P30" s="391"/>
      <c r="Q30" s="391"/>
      <c r="R30" s="391"/>
      <c r="S30" s="391"/>
    </row>
    <row r="31" spans="1:19" s="12" customFormat="1" x14ac:dyDescent="0.25">
      <c r="A31" s="391"/>
      <c r="B31" s="391"/>
      <c r="C31" s="391"/>
      <c r="D31" s="391"/>
      <c r="E31" s="391"/>
      <c r="F31" s="391"/>
      <c r="G31" s="391"/>
      <c r="H31" s="391"/>
      <c r="I31" s="391"/>
      <c r="J31" s="391"/>
      <c r="K31" s="391"/>
      <c r="L31" s="391"/>
      <c r="M31" s="391"/>
      <c r="N31" s="391"/>
      <c r="O31" s="391"/>
      <c r="P31" s="391"/>
      <c r="Q31" s="391"/>
      <c r="R31" s="391"/>
      <c r="S31" s="391"/>
    </row>
    <row r="32" spans="1:19" s="12" customFormat="1" x14ac:dyDescent="0.25">
      <c r="A32" s="6"/>
      <c r="B32" s="6"/>
      <c r="C32" s="6"/>
      <c r="D32" s="6"/>
      <c r="E32" s="6"/>
      <c r="F32" s="6"/>
      <c r="G32" s="6"/>
      <c r="H32" s="6"/>
      <c r="I32" s="14"/>
      <c r="J32" s="126"/>
      <c r="K32" s="6"/>
      <c r="L32" s="119"/>
      <c r="M32" s="20"/>
      <c r="N32" s="20"/>
      <c r="O32" s="20"/>
      <c r="P32" s="20"/>
      <c r="Q32" s="135"/>
      <c r="R32" s="134"/>
      <c r="S32" s="135"/>
    </row>
  </sheetData>
  <autoFilter ref="A8:S23"/>
  <mergeCells count="13">
    <mergeCell ref="A31:S31"/>
    <mergeCell ref="A23:G23"/>
    <mergeCell ref="A1:S1"/>
    <mergeCell ref="A2:S2"/>
    <mergeCell ref="K7:P7"/>
    <mergeCell ref="A3:S3"/>
    <mergeCell ref="A4:S4"/>
    <mergeCell ref="A6:S6"/>
    <mergeCell ref="A25:S25"/>
    <mergeCell ref="A26:S26"/>
    <mergeCell ref="Q7:R7"/>
    <mergeCell ref="A22:G22"/>
    <mergeCell ref="A30:S30"/>
  </mergeCells>
  <phoneticPr fontId="29" type="noConversion"/>
  <printOptions horizontalCentered="1"/>
  <pageMargins left="0.39370078740157483" right="0.39370078740157483" top="0.59055118110236227" bottom="0.78740157480314965" header="0.31496062992125984" footer="0.59055118110236227"/>
  <pageSetup paperSize="258" scale="48" fitToHeight="16" pageOrder="overThenDown" orientation="landscape" r:id="rId1"/>
  <headerFooter>
    <oddFooter>&amp;CPágina &amp;P  de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9"/>
  <sheetViews>
    <sheetView topLeftCell="A49" zoomScaleNormal="100" workbookViewId="0">
      <selection activeCell="A68" sqref="A68:C68"/>
    </sheetView>
  </sheetViews>
  <sheetFormatPr baseColWidth="10" defaultColWidth="11.42578125" defaultRowHeight="15" x14ac:dyDescent="0.25"/>
  <cols>
    <col min="1" max="1" width="54.85546875" customWidth="1"/>
    <col min="2" max="2" width="28.7109375" style="13" customWidth="1"/>
    <col min="3" max="3" width="36.85546875" customWidth="1"/>
    <col min="7" max="9" width="11.42578125" style="15"/>
    <col min="10" max="10" width="12.7109375" style="15" bestFit="1" customWidth="1"/>
    <col min="11" max="11" width="11.42578125" style="15"/>
    <col min="14" max="14" width="12" bestFit="1" customWidth="1"/>
  </cols>
  <sheetData>
    <row r="1" spans="1:4" x14ac:dyDescent="0.25">
      <c r="A1" s="376" t="s">
        <v>0</v>
      </c>
      <c r="B1" s="376"/>
      <c r="C1" s="376"/>
    </row>
    <row r="2" spans="1:4" x14ac:dyDescent="0.25">
      <c r="A2" s="376" t="s">
        <v>307</v>
      </c>
      <c r="B2" s="376"/>
      <c r="C2" s="376"/>
    </row>
    <row r="3" spans="1:4" x14ac:dyDescent="0.25">
      <c r="A3" s="376" t="s">
        <v>273</v>
      </c>
      <c r="B3" s="376"/>
      <c r="C3" s="376"/>
    </row>
    <row r="4" spans="1:4" x14ac:dyDescent="0.25">
      <c r="A4" s="376" t="s">
        <v>347</v>
      </c>
      <c r="B4" s="376"/>
      <c r="C4" s="376"/>
    </row>
    <row r="5" spans="1:4" x14ac:dyDescent="0.25">
      <c r="A5" s="408"/>
      <c r="B5" s="408"/>
      <c r="C5" s="408"/>
      <c r="D5" s="18"/>
    </row>
    <row r="6" spans="1:4" x14ac:dyDescent="0.25">
      <c r="A6" s="408" t="s">
        <v>291</v>
      </c>
      <c r="B6" s="408"/>
      <c r="C6" s="408"/>
      <c r="D6" s="17"/>
    </row>
    <row r="7" spans="1:4" ht="15.75" thickBot="1" x14ac:dyDescent="0.3">
      <c r="A7" s="49"/>
      <c r="B7" s="59"/>
      <c r="C7" s="49"/>
    </row>
    <row r="8" spans="1:4" x14ac:dyDescent="0.25">
      <c r="A8" s="403" t="s">
        <v>377</v>
      </c>
      <c r="B8" s="404"/>
      <c r="C8" s="405"/>
    </row>
    <row r="9" spans="1:4" x14ac:dyDescent="0.25">
      <c r="A9" s="106" t="s">
        <v>219</v>
      </c>
      <c r="B9" s="22" t="s">
        <v>220</v>
      </c>
      <c r="C9" s="107" t="s">
        <v>33</v>
      </c>
    </row>
    <row r="10" spans="1:4" x14ac:dyDescent="0.25">
      <c r="A10" s="237" t="s">
        <v>221</v>
      </c>
      <c r="B10" s="58"/>
      <c r="C10" s="153">
        <v>1000000</v>
      </c>
    </row>
    <row r="11" spans="1:4" x14ac:dyDescent="0.25">
      <c r="A11" s="237" t="s">
        <v>222</v>
      </c>
      <c r="B11" s="58"/>
      <c r="C11" s="153">
        <v>117172</v>
      </c>
    </row>
    <row r="12" spans="1:4" x14ac:dyDescent="0.25">
      <c r="A12" s="237" t="s">
        <v>223</v>
      </c>
      <c r="B12" s="58"/>
      <c r="C12" s="153">
        <f>+C11+C10</f>
        <v>1117172</v>
      </c>
    </row>
    <row r="13" spans="1:4" x14ac:dyDescent="0.25">
      <c r="A13" s="237" t="s">
        <v>224</v>
      </c>
      <c r="B13" s="58"/>
      <c r="C13" s="153">
        <v>93098</v>
      </c>
    </row>
    <row r="14" spans="1:4" x14ac:dyDescent="0.25">
      <c r="A14" s="237" t="s">
        <v>225</v>
      </c>
      <c r="B14" s="58"/>
      <c r="C14" s="153">
        <v>93098</v>
      </c>
    </row>
    <row r="15" spans="1:4" x14ac:dyDescent="0.25">
      <c r="A15" s="237" t="s">
        <v>226</v>
      </c>
      <c r="B15" s="58">
        <v>1</v>
      </c>
      <c r="C15" s="153">
        <f>(B15*C12)/100</f>
        <v>11171.72</v>
      </c>
    </row>
    <row r="16" spans="1:4" x14ac:dyDescent="0.25">
      <c r="A16" s="237" t="s">
        <v>261</v>
      </c>
      <c r="B16" s="58">
        <v>4.17</v>
      </c>
      <c r="C16" s="153">
        <f>(B16*C10)/100</f>
        <v>41700</v>
      </c>
    </row>
    <row r="17" spans="1:14" x14ac:dyDescent="0.25">
      <c r="A17" s="237" t="s">
        <v>227</v>
      </c>
      <c r="B17" s="58">
        <v>8.5</v>
      </c>
      <c r="C17" s="153">
        <f>(C10*B17)/100</f>
        <v>85000</v>
      </c>
    </row>
    <row r="18" spans="1:14" x14ac:dyDescent="0.25">
      <c r="A18" s="237" t="s">
        <v>228</v>
      </c>
      <c r="B18" s="58">
        <v>12</v>
      </c>
      <c r="C18" s="153">
        <f>(C10*B18)/100</f>
        <v>120000</v>
      </c>
    </row>
    <row r="19" spans="1:14" x14ac:dyDescent="0.25">
      <c r="A19" s="237" t="s">
        <v>271</v>
      </c>
      <c r="B19" s="58">
        <v>2.4359999999999999</v>
      </c>
      <c r="C19" s="153">
        <f>(C10*B19)/100</f>
        <v>24360</v>
      </c>
    </row>
    <row r="20" spans="1:14" x14ac:dyDescent="0.25">
      <c r="A20" s="237" t="s">
        <v>229</v>
      </c>
      <c r="B20" s="58">
        <v>4</v>
      </c>
      <c r="C20" s="153">
        <f>(C10*B20)/100</f>
        <v>40000</v>
      </c>
      <c r="M20" s="15"/>
      <c r="N20" s="15"/>
    </row>
    <row r="21" spans="1:14" x14ac:dyDescent="0.25">
      <c r="A21" s="237" t="s">
        <v>230</v>
      </c>
      <c r="B21" s="58">
        <v>3</v>
      </c>
      <c r="C21" s="153">
        <f>(B21*C10)/100</f>
        <v>30000</v>
      </c>
      <c r="M21" s="15"/>
    </row>
    <row r="22" spans="1:14" x14ac:dyDescent="0.25">
      <c r="A22" s="237" t="s">
        <v>231</v>
      </c>
      <c r="B22" s="58">
        <v>2</v>
      </c>
      <c r="C22" s="153">
        <f>(B22*C10)/100</f>
        <v>20000</v>
      </c>
      <c r="M22" s="15"/>
      <c r="N22" s="15"/>
    </row>
    <row r="23" spans="1:14" x14ac:dyDescent="0.25">
      <c r="A23" s="406" t="s">
        <v>97</v>
      </c>
      <c r="B23" s="407"/>
      <c r="C23" s="238">
        <f>SUM(C12:C22)</f>
        <v>1675599.72</v>
      </c>
    </row>
    <row r="24" spans="1:14" x14ac:dyDescent="0.25">
      <c r="A24" s="406" t="s">
        <v>427</v>
      </c>
      <c r="B24" s="407"/>
      <c r="C24" s="238">
        <f>(C23*16)/100</f>
        <v>268095.95519999997</v>
      </c>
    </row>
    <row r="25" spans="1:14" ht="15.75" thickBot="1" x14ac:dyDescent="0.3">
      <c r="A25" s="413" t="s">
        <v>120</v>
      </c>
      <c r="B25" s="414"/>
      <c r="C25" s="240">
        <f>ROUND((+C23+C24),2)</f>
        <v>1943695.68</v>
      </c>
    </row>
    <row r="26" spans="1:14" x14ac:dyDescent="0.25">
      <c r="A26" s="409" t="s">
        <v>254</v>
      </c>
      <c r="B26" s="409"/>
      <c r="C26" s="409"/>
    </row>
    <row r="27" spans="1:14" ht="15.75" thickBot="1" x14ac:dyDescent="0.3">
      <c r="A27" s="137"/>
      <c r="B27" s="137"/>
      <c r="C27" s="137"/>
    </row>
    <row r="28" spans="1:14" x14ac:dyDescent="0.25">
      <c r="A28" s="410" t="s">
        <v>262</v>
      </c>
      <c r="B28" s="411"/>
      <c r="C28" s="412"/>
    </row>
    <row r="29" spans="1:14" x14ac:dyDescent="0.25">
      <c r="A29" s="106" t="s">
        <v>219</v>
      </c>
      <c r="B29" s="22" t="s">
        <v>220</v>
      </c>
      <c r="C29" s="107" t="s">
        <v>33</v>
      </c>
    </row>
    <row r="30" spans="1:14" x14ac:dyDescent="0.25">
      <c r="A30" s="24" t="s">
        <v>221</v>
      </c>
      <c r="B30" s="58"/>
      <c r="C30" s="153">
        <v>1000000</v>
      </c>
    </row>
    <row r="31" spans="1:14" x14ac:dyDescent="0.25">
      <c r="A31" s="24" t="s">
        <v>222</v>
      </c>
      <c r="B31" s="58"/>
      <c r="C31" s="153">
        <v>117172</v>
      </c>
    </row>
    <row r="32" spans="1:14" x14ac:dyDescent="0.25">
      <c r="A32" s="24" t="s">
        <v>223</v>
      </c>
      <c r="B32" s="58"/>
      <c r="C32" s="153">
        <f>+C31+C30</f>
        <v>1117172</v>
      </c>
    </row>
    <row r="33" spans="1:3" x14ac:dyDescent="0.25">
      <c r="A33" s="24" t="s">
        <v>224</v>
      </c>
      <c r="B33" s="58"/>
      <c r="C33" s="153">
        <v>93098</v>
      </c>
    </row>
    <row r="34" spans="1:3" x14ac:dyDescent="0.25">
      <c r="A34" s="24" t="s">
        <v>225</v>
      </c>
      <c r="B34" s="58"/>
      <c r="C34" s="153">
        <v>93098</v>
      </c>
    </row>
    <row r="35" spans="1:3" x14ac:dyDescent="0.25">
      <c r="A35" s="24" t="s">
        <v>226</v>
      </c>
      <c r="B35" s="58">
        <v>1</v>
      </c>
      <c r="C35" s="153">
        <f>(B35*C32)/100</f>
        <v>11171.72</v>
      </c>
    </row>
    <row r="36" spans="1:3" x14ac:dyDescent="0.25">
      <c r="A36" s="24" t="s">
        <v>261</v>
      </c>
      <c r="B36" s="58">
        <v>4.17</v>
      </c>
      <c r="C36" s="153">
        <f>(B36*C30)/100</f>
        <v>41700</v>
      </c>
    </row>
    <row r="37" spans="1:3" x14ac:dyDescent="0.25">
      <c r="A37" s="24" t="s">
        <v>227</v>
      </c>
      <c r="B37" s="58">
        <v>8.5</v>
      </c>
      <c r="C37" s="153">
        <f>(C30*B37)/100</f>
        <v>85000</v>
      </c>
    </row>
    <row r="38" spans="1:3" x14ac:dyDescent="0.25">
      <c r="A38" s="24" t="s">
        <v>228</v>
      </c>
      <c r="B38" s="58">
        <v>12</v>
      </c>
      <c r="C38" s="153">
        <f>(C30*B38)/100</f>
        <v>120000</v>
      </c>
    </row>
    <row r="39" spans="1:3" x14ac:dyDescent="0.25">
      <c r="A39" s="24" t="s">
        <v>271</v>
      </c>
      <c r="B39" s="140">
        <v>4.3499999999999996</v>
      </c>
      <c r="C39" s="153">
        <f>(C30*B39)/100</f>
        <v>43500</v>
      </c>
    </row>
    <row r="40" spans="1:3" x14ac:dyDescent="0.25">
      <c r="A40" s="24" t="s">
        <v>229</v>
      </c>
      <c r="B40" s="58">
        <v>4</v>
      </c>
      <c r="C40" s="153">
        <f>(C30*B40)/100</f>
        <v>40000</v>
      </c>
    </row>
    <row r="41" spans="1:3" x14ac:dyDescent="0.25">
      <c r="A41" s="24" t="s">
        <v>230</v>
      </c>
      <c r="B41" s="58">
        <v>3</v>
      </c>
      <c r="C41" s="153">
        <f>(B41*C30)/100</f>
        <v>30000</v>
      </c>
    </row>
    <row r="42" spans="1:3" x14ac:dyDescent="0.25">
      <c r="A42" s="24" t="s">
        <v>231</v>
      </c>
      <c r="B42" s="58">
        <v>2</v>
      </c>
      <c r="C42" s="153">
        <f>(B42*C30)/100</f>
        <v>20000</v>
      </c>
    </row>
    <row r="43" spans="1:3" x14ac:dyDescent="0.25">
      <c r="A43" s="239" t="s">
        <v>97</v>
      </c>
      <c r="B43" s="227"/>
      <c r="C43" s="238">
        <f>SUM(C32:C42)</f>
        <v>1694739.72</v>
      </c>
    </row>
    <row r="44" spans="1:3" x14ac:dyDescent="0.25">
      <c r="A44" s="406" t="s">
        <v>427</v>
      </c>
      <c r="B44" s="407"/>
      <c r="C44" s="238">
        <f>(C43*16)/100</f>
        <v>271158.35519999999</v>
      </c>
    </row>
    <row r="45" spans="1:3" ht="15.75" thickBot="1" x14ac:dyDescent="0.3">
      <c r="A45" s="413" t="s">
        <v>120</v>
      </c>
      <c r="B45" s="414"/>
      <c r="C45" s="240">
        <f>ROUND((+C43+C44),2)</f>
        <v>1965898.08</v>
      </c>
    </row>
    <row r="46" spans="1:3" x14ac:dyDescent="0.25">
      <c r="A46" s="139" t="s">
        <v>254</v>
      </c>
      <c r="B46" s="139"/>
      <c r="C46" s="139"/>
    </row>
    <row r="47" spans="1:3" x14ac:dyDescent="0.25">
      <c r="A47" s="137"/>
      <c r="B47" s="137"/>
      <c r="C47" s="137"/>
    </row>
    <row r="48" spans="1:3" x14ac:dyDescent="0.25">
      <c r="A48" s="137" t="s">
        <v>486</v>
      </c>
      <c r="B48" s="154">
        <v>1943695.68</v>
      </c>
      <c r="C48" s="137"/>
    </row>
    <row r="49" spans="1:3" x14ac:dyDescent="0.25">
      <c r="A49" s="137" t="s">
        <v>255</v>
      </c>
      <c r="B49" s="137">
        <v>30</v>
      </c>
      <c r="C49" s="137"/>
    </row>
    <row r="50" spans="1:3" x14ac:dyDescent="0.25">
      <c r="A50" s="137"/>
      <c r="B50" s="137"/>
      <c r="C50" s="137"/>
    </row>
    <row r="51" spans="1:3" x14ac:dyDescent="0.25">
      <c r="A51" s="137" t="s">
        <v>486</v>
      </c>
      <c r="B51" s="154">
        <v>1295797.1200000001</v>
      </c>
      <c r="C51" s="137"/>
    </row>
    <row r="52" spans="1:3" x14ac:dyDescent="0.25">
      <c r="A52" s="137" t="s">
        <v>282</v>
      </c>
      <c r="B52" s="154">
        <v>647898.56000000006</v>
      </c>
      <c r="C52" s="137"/>
    </row>
    <row r="53" spans="1:3" x14ac:dyDescent="0.25">
      <c r="A53" s="137" t="s">
        <v>482</v>
      </c>
      <c r="B53" s="154">
        <v>323949.28000000003</v>
      </c>
      <c r="C53" s="137"/>
    </row>
    <row r="54" spans="1:3" x14ac:dyDescent="0.25">
      <c r="A54" s="137" t="s">
        <v>256</v>
      </c>
      <c r="B54" s="137">
        <v>20</v>
      </c>
      <c r="C54" s="137"/>
    </row>
    <row r="55" spans="1:3" x14ac:dyDescent="0.25">
      <c r="A55" s="137" t="s">
        <v>119</v>
      </c>
      <c r="B55" s="137">
        <v>3.45</v>
      </c>
      <c r="C55" s="137"/>
    </row>
    <row r="56" spans="1:3" x14ac:dyDescent="0.25">
      <c r="A56" s="137" t="s">
        <v>257</v>
      </c>
      <c r="B56" s="138">
        <v>2505</v>
      </c>
      <c r="C56" s="137"/>
    </row>
    <row r="57" spans="1:3" x14ac:dyDescent="0.25">
      <c r="A57" s="137" t="s">
        <v>258</v>
      </c>
      <c r="B57" s="138">
        <v>69</v>
      </c>
      <c r="C57" s="137"/>
    </row>
    <row r="58" spans="1:3" x14ac:dyDescent="0.25">
      <c r="A58" s="137"/>
      <c r="B58" s="137"/>
      <c r="C58" s="137"/>
    </row>
    <row r="59" spans="1:3" x14ac:dyDescent="0.25">
      <c r="A59" s="137" t="s">
        <v>479</v>
      </c>
      <c r="B59" s="138">
        <v>30</v>
      </c>
      <c r="C59" s="137"/>
    </row>
    <row r="60" spans="1:3" x14ac:dyDescent="0.25">
      <c r="A60" s="137" t="s">
        <v>480</v>
      </c>
      <c r="B60" s="154">
        <v>67057500.960000001</v>
      </c>
      <c r="C60" s="137"/>
    </row>
    <row r="61" spans="1:3" x14ac:dyDescent="0.25">
      <c r="A61" s="137"/>
      <c r="B61" s="154"/>
      <c r="C61" s="137"/>
    </row>
    <row r="62" spans="1:3" x14ac:dyDescent="0.25">
      <c r="A62" s="137" t="s">
        <v>481</v>
      </c>
      <c r="B62" s="138">
        <v>2</v>
      </c>
      <c r="C62" s="137"/>
    </row>
    <row r="63" spans="1:3" x14ac:dyDescent="0.25">
      <c r="A63" s="137" t="s">
        <v>483</v>
      </c>
      <c r="B63" s="154">
        <v>2235250.0299999998</v>
      </c>
      <c r="C63" s="49"/>
    </row>
    <row r="64" spans="1:3" x14ac:dyDescent="0.25">
      <c r="A64" s="19"/>
      <c r="B64" s="41"/>
      <c r="C64" s="105"/>
    </row>
    <row r="65" spans="1:3" x14ac:dyDescent="0.25">
      <c r="A65" s="19" t="s">
        <v>484</v>
      </c>
      <c r="B65" s="292">
        <v>69292750.989999995</v>
      </c>
      <c r="C65" s="105"/>
    </row>
    <row r="66" spans="1:3" x14ac:dyDescent="0.25">
      <c r="A66" s="49"/>
      <c r="B66" s="59"/>
      <c r="C66" s="105"/>
    </row>
    <row r="67" spans="1:3" x14ac:dyDescent="0.25">
      <c r="A67" s="376"/>
      <c r="B67" s="376"/>
      <c r="C67" s="376"/>
    </row>
    <row r="68" spans="1:3" x14ac:dyDescent="0.25">
      <c r="A68" s="376"/>
      <c r="B68" s="376"/>
      <c r="C68" s="376"/>
    </row>
    <row r="69" spans="1:3" x14ac:dyDescent="0.25">
      <c r="A69" s="48"/>
      <c r="B69" s="67"/>
      <c r="C69" s="48"/>
    </row>
  </sheetData>
  <mergeCells count="16">
    <mergeCell ref="A68:C68"/>
    <mergeCell ref="A1:C1"/>
    <mergeCell ref="A2:C2"/>
    <mergeCell ref="A3:C3"/>
    <mergeCell ref="A4:C4"/>
    <mergeCell ref="A8:C8"/>
    <mergeCell ref="A23:B23"/>
    <mergeCell ref="A5:C5"/>
    <mergeCell ref="A6:C6"/>
    <mergeCell ref="A67:C67"/>
    <mergeCell ref="A26:C26"/>
    <mergeCell ref="A28:C28"/>
    <mergeCell ref="A24:B24"/>
    <mergeCell ref="A25:B25"/>
    <mergeCell ref="A44:B44"/>
    <mergeCell ref="A45:B45"/>
  </mergeCells>
  <phoneticPr fontId="29" type="noConversion"/>
  <printOptions horizontalCentered="1"/>
  <pageMargins left="0.70866141732283472" right="0.70866141732283472" top="0.74803149606299213" bottom="0.74803149606299213" header="0.31496062992125984" footer="0.39370078740157483"/>
  <pageSetup paperSize="258" scale="98" orientation="landscape" r:id="rId1"/>
  <headerFooter>
    <oddFooter>&amp;CPágina &amp;P  de  &amp;N</oddFooter>
  </headerFooter>
  <rowBreaks count="1" manualBreakCount="1">
    <brk id="46" max="16383" man="1"/>
  </row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1"/>
  <sheetViews>
    <sheetView topLeftCell="A12" zoomScaleNormal="100" workbookViewId="0">
      <selection activeCell="A26" sqref="A26:J26"/>
    </sheetView>
  </sheetViews>
  <sheetFormatPr baseColWidth="10" defaultColWidth="10.7109375" defaultRowHeight="15" x14ac:dyDescent="0.25"/>
  <cols>
    <col min="1" max="1" width="6.85546875" style="13" bestFit="1" customWidth="1"/>
    <col min="2" max="2" width="17.28515625" customWidth="1"/>
    <col min="3" max="3" width="14.5703125" style="13" customWidth="1"/>
    <col min="4" max="4" width="18.28515625" style="13" customWidth="1"/>
    <col min="5" max="5" width="14.85546875" style="16" customWidth="1"/>
    <col min="6" max="6" width="18.85546875" style="16" customWidth="1"/>
    <col min="7" max="8" width="16.140625" style="16" customWidth="1"/>
    <col min="9" max="9" width="19.140625" style="16" customWidth="1"/>
    <col min="10" max="10" width="16.85546875" style="16" customWidth="1"/>
  </cols>
  <sheetData>
    <row r="1" spans="1:10" x14ac:dyDescent="0.25">
      <c r="A1" s="376" t="s">
        <v>0</v>
      </c>
      <c r="B1" s="376"/>
      <c r="C1" s="376"/>
      <c r="D1" s="376"/>
      <c r="E1" s="376"/>
      <c r="F1" s="376"/>
      <c r="G1" s="376"/>
      <c r="H1" s="376"/>
      <c r="I1" s="376"/>
      <c r="J1" s="376"/>
    </row>
    <row r="2" spans="1:10" x14ac:dyDescent="0.25">
      <c r="A2" s="376" t="s">
        <v>307</v>
      </c>
      <c r="B2" s="376"/>
      <c r="C2" s="376"/>
      <c r="D2" s="376"/>
      <c r="E2" s="376"/>
      <c r="F2" s="376"/>
      <c r="G2" s="376"/>
      <c r="H2" s="376"/>
      <c r="I2" s="376"/>
      <c r="J2" s="376"/>
    </row>
    <row r="3" spans="1:10" x14ac:dyDescent="0.25">
      <c r="A3" s="376" t="s">
        <v>273</v>
      </c>
      <c r="B3" s="376"/>
      <c r="C3" s="376"/>
      <c r="D3" s="376"/>
      <c r="E3" s="376"/>
      <c r="F3" s="376"/>
      <c r="G3" s="376"/>
      <c r="H3" s="376"/>
      <c r="I3" s="376"/>
      <c r="J3" s="376"/>
    </row>
    <row r="4" spans="1:10" x14ac:dyDescent="0.25">
      <c r="A4" s="376" t="s">
        <v>347</v>
      </c>
      <c r="B4" s="376"/>
      <c r="C4" s="376"/>
      <c r="D4" s="376"/>
      <c r="E4" s="376"/>
      <c r="F4" s="376"/>
      <c r="G4" s="376"/>
      <c r="H4" s="376"/>
      <c r="I4" s="376"/>
      <c r="J4" s="376"/>
    </row>
    <row r="5" spans="1:10" x14ac:dyDescent="0.25">
      <c r="A5" s="376"/>
      <c r="B5" s="416"/>
      <c r="C5" s="416"/>
      <c r="D5" s="416"/>
      <c r="E5" s="416"/>
      <c r="F5" s="416"/>
      <c r="G5" s="416"/>
      <c r="H5" s="416"/>
      <c r="I5" s="416"/>
      <c r="J5" s="416"/>
    </row>
    <row r="6" spans="1:10" x14ac:dyDescent="0.25">
      <c r="A6" s="376" t="s">
        <v>444</v>
      </c>
      <c r="B6" s="416"/>
      <c r="C6" s="416"/>
      <c r="D6" s="416"/>
      <c r="E6" s="416"/>
      <c r="F6" s="416"/>
      <c r="G6" s="416"/>
      <c r="H6" s="416"/>
      <c r="I6" s="416"/>
      <c r="J6" s="416"/>
    </row>
    <row r="7" spans="1:10" x14ac:dyDescent="0.25">
      <c r="A7" s="416"/>
      <c r="B7" s="416"/>
      <c r="C7" s="416"/>
      <c r="D7" s="416"/>
      <c r="E7" s="416"/>
      <c r="F7" s="416"/>
      <c r="G7" s="416"/>
      <c r="H7" s="416"/>
      <c r="I7" s="416"/>
      <c r="J7" s="416"/>
    </row>
    <row r="8" spans="1:10" ht="46.5" customHeight="1" x14ac:dyDescent="0.25">
      <c r="A8" s="71" t="s">
        <v>195</v>
      </c>
      <c r="B8" s="72" t="s">
        <v>124</v>
      </c>
      <c r="C8" s="73" t="s">
        <v>196</v>
      </c>
      <c r="D8" s="73" t="s">
        <v>197</v>
      </c>
      <c r="E8" s="74" t="s">
        <v>198</v>
      </c>
      <c r="F8" s="74" t="s">
        <v>199</v>
      </c>
      <c r="G8" s="74" t="s">
        <v>200</v>
      </c>
      <c r="H8" s="74" t="s">
        <v>469</v>
      </c>
      <c r="I8" s="109" t="s">
        <v>201</v>
      </c>
      <c r="J8" s="74" t="s">
        <v>470</v>
      </c>
    </row>
    <row r="9" spans="1:10" x14ac:dyDescent="0.25">
      <c r="A9" s="75">
        <v>1</v>
      </c>
      <c r="B9" s="189" t="s">
        <v>308</v>
      </c>
      <c r="C9" s="24">
        <f>'PRESUPUESTO 2023'!D13</f>
        <v>2505</v>
      </c>
      <c r="D9" s="76">
        <f>ROUND((('COMPLEMENTO AM-PM NP GDOS 4-5'!F384+'COMPLEMENTO RI NP GDOS 4-5'!F112)/2),2)</f>
        <v>5.45</v>
      </c>
      <c r="E9" s="77">
        <f>ROUND(TRANSPORTE[[#This Row],[CUPOS ]]*TRANSPORTE[[#This Row],[PESO PROMEDIO COMPLEMENTO (KILOS)]],2)</f>
        <v>13652.25</v>
      </c>
      <c r="F9" s="25">
        <v>205800</v>
      </c>
      <c r="G9" s="25">
        <v>250000</v>
      </c>
      <c r="H9" s="25">
        <v>300000</v>
      </c>
      <c r="I9" s="25">
        <v>251.93333333333334</v>
      </c>
      <c r="J9" s="25">
        <v>3439456.85</v>
      </c>
    </row>
    <row r="10" spans="1:10" x14ac:dyDescent="0.25">
      <c r="A10" s="78"/>
      <c r="B10" s="79" t="s">
        <v>97</v>
      </c>
      <c r="C10" s="80">
        <f>SUBTOTAL(109,C9:C9)</f>
        <v>2505</v>
      </c>
      <c r="D10" s="81">
        <f>D9</f>
        <v>5.45</v>
      </c>
      <c r="E10" s="81">
        <f>ROUND(TRANSPORTE[[#This Row],[CUPOS ]]*TRANSPORTE[[#This Row],[PESO PROMEDIO COMPLEMENTO (KILOS)]],2)</f>
        <v>13652.25</v>
      </c>
      <c r="F10" s="81"/>
      <c r="G10" s="81"/>
      <c r="H10" s="81"/>
      <c r="I10" s="81">
        <f>I9</f>
        <v>251.93333333333334</v>
      </c>
      <c r="J10" s="82">
        <f>SUM(J9:J9)</f>
        <v>3439456.85</v>
      </c>
    </row>
    <row r="11" spans="1:10" x14ac:dyDescent="0.25">
      <c r="A11" s="278"/>
      <c r="B11" s="279"/>
      <c r="C11" s="280"/>
      <c r="D11" s="281"/>
      <c r="E11" s="281"/>
      <c r="F11" s="281"/>
      <c r="G11" s="281"/>
      <c r="H11" s="281"/>
      <c r="I11" s="281"/>
      <c r="J11" s="47"/>
    </row>
    <row r="12" spans="1:10" x14ac:dyDescent="0.25">
      <c r="A12" s="382" t="s">
        <v>471</v>
      </c>
      <c r="B12" s="382"/>
      <c r="C12" s="83">
        <f>J10</f>
        <v>3439456.85</v>
      </c>
      <c r="D12" s="84"/>
      <c r="E12" s="85"/>
      <c r="F12" s="85"/>
      <c r="G12" s="85"/>
      <c r="H12" s="85"/>
      <c r="I12" s="85"/>
      <c r="J12" s="85"/>
    </row>
    <row r="13" spans="1:10" x14ac:dyDescent="0.25">
      <c r="A13" s="382" t="s">
        <v>131</v>
      </c>
      <c r="B13" s="382"/>
      <c r="C13" s="86">
        <f>'PRESUPUESTO 2023'!D13</f>
        <v>2505</v>
      </c>
      <c r="D13" s="87"/>
      <c r="E13" s="88"/>
      <c r="F13" s="88"/>
      <c r="G13" s="88"/>
      <c r="H13" s="88"/>
      <c r="I13" s="88"/>
      <c r="J13" s="88"/>
    </row>
    <row r="14" spans="1:10" x14ac:dyDescent="0.25">
      <c r="A14" s="382" t="s">
        <v>202</v>
      </c>
      <c r="B14" s="382"/>
      <c r="C14" s="83">
        <f>ROUND((C12/(C13*20)),2)</f>
        <v>68.650000000000006</v>
      </c>
      <c r="D14" s="88"/>
      <c r="E14" s="88"/>
      <c r="F14" s="88"/>
      <c r="G14" s="88"/>
      <c r="H14" s="88"/>
      <c r="I14" s="88"/>
      <c r="J14" s="88"/>
    </row>
    <row r="15" spans="1:10" x14ac:dyDescent="0.25">
      <c r="A15" s="46"/>
      <c r="B15" s="46"/>
      <c r="C15" s="84"/>
      <c r="D15" s="88"/>
      <c r="E15" s="88"/>
      <c r="F15" s="88"/>
      <c r="G15" s="88"/>
      <c r="H15" s="88"/>
      <c r="I15" s="88"/>
      <c r="J15" s="88"/>
    </row>
    <row r="16" spans="1:10" x14ac:dyDescent="0.25">
      <c r="A16" s="46"/>
      <c r="B16" s="46"/>
      <c r="C16" s="84"/>
      <c r="D16" s="88"/>
      <c r="E16" s="88"/>
      <c r="F16" s="88"/>
      <c r="G16" s="88"/>
      <c r="H16" s="88"/>
      <c r="I16" s="88"/>
      <c r="J16" s="88"/>
    </row>
    <row r="17" spans="1:10" x14ac:dyDescent="0.25">
      <c r="A17" s="376" t="s">
        <v>472</v>
      </c>
      <c r="B17" s="376"/>
      <c r="C17" s="376"/>
      <c r="D17" s="376"/>
      <c r="E17" s="376"/>
      <c r="F17" s="376"/>
      <c r="G17" s="376"/>
      <c r="H17" s="376"/>
      <c r="I17" s="376"/>
      <c r="J17" s="376"/>
    </row>
    <row r="18" spans="1:10" x14ac:dyDescent="0.25">
      <c r="A18" s="46"/>
      <c r="B18" s="46"/>
      <c r="C18" s="84"/>
      <c r="D18" s="88"/>
      <c r="E18" s="88"/>
      <c r="F18" s="88"/>
      <c r="G18" s="88"/>
      <c r="H18" s="88"/>
      <c r="I18" s="88"/>
      <c r="J18" s="88"/>
    </row>
    <row r="19" spans="1:10" ht="36" x14ac:dyDescent="0.25">
      <c r="A19" s="282" t="s">
        <v>195</v>
      </c>
      <c r="B19" s="282" t="s">
        <v>124</v>
      </c>
      <c r="C19" s="109" t="s">
        <v>473</v>
      </c>
      <c r="D19" s="109" t="s">
        <v>474</v>
      </c>
      <c r="E19" s="109" t="s">
        <v>475</v>
      </c>
      <c r="F19" s="109" t="s">
        <v>476</v>
      </c>
      <c r="G19" s="283" t="s">
        <v>119</v>
      </c>
      <c r="H19" s="289" t="s">
        <v>477</v>
      </c>
      <c r="I19" s="88"/>
      <c r="J19" s="88"/>
    </row>
    <row r="20" spans="1:10" x14ac:dyDescent="0.25">
      <c r="A20" s="68">
        <v>1</v>
      </c>
      <c r="B20" s="189" t="s">
        <v>308</v>
      </c>
      <c r="C20" s="25">
        <v>205800</v>
      </c>
      <c r="D20" s="25">
        <v>250000</v>
      </c>
      <c r="E20" s="25">
        <v>300000</v>
      </c>
      <c r="F20" s="25">
        <v>251933.33333333334</v>
      </c>
      <c r="G20" s="293">
        <v>3.45</v>
      </c>
      <c r="H20" s="290">
        <v>869170.00000000012</v>
      </c>
      <c r="I20" s="88"/>
      <c r="J20" s="88"/>
    </row>
    <row r="21" spans="1:10" x14ac:dyDescent="0.25">
      <c r="A21" s="284"/>
      <c r="B21" s="285" t="s">
        <v>97</v>
      </c>
      <c r="C21" s="286"/>
      <c r="D21" s="286"/>
      <c r="E21" s="286"/>
      <c r="F21" s="286"/>
      <c r="G21" s="288"/>
      <c r="H21" s="287"/>
      <c r="I21" s="88"/>
      <c r="J21" s="88"/>
    </row>
    <row r="22" spans="1:10" x14ac:dyDescent="0.25">
      <c r="A22" s="46"/>
      <c r="B22" s="46"/>
      <c r="C22" s="84"/>
      <c r="D22" s="88"/>
      <c r="E22" s="88"/>
      <c r="F22" s="88"/>
      <c r="G22" s="88"/>
      <c r="H22" s="88"/>
      <c r="I22" s="88"/>
      <c r="J22" s="88"/>
    </row>
    <row r="23" spans="1:10" x14ac:dyDescent="0.25">
      <c r="A23" s="46"/>
      <c r="B23" s="46"/>
      <c r="C23" s="84"/>
      <c r="D23" s="88"/>
      <c r="E23" s="88"/>
      <c r="F23" s="88"/>
      <c r="G23" s="88"/>
      <c r="H23" s="88"/>
      <c r="I23" s="88"/>
      <c r="J23" s="88"/>
    </row>
    <row r="24" spans="1:10" x14ac:dyDescent="0.25">
      <c r="A24" s="59"/>
      <c r="B24" s="49"/>
      <c r="C24" s="59"/>
      <c r="D24" s="59"/>
      <c r="E24" s="70"/>
      <c r="F24" s="70"/>
      <c r="G24" s="70"/>
      <c r="H24" s="70"/>
      <c r="I24" s="70"/>
      <c r="J24" s="70"/>
    </row>
    <row r="25" spans="1:10" x14ac:dyDescent="0.25">
      <c r="A25" s="376"/>
      <c r="B25" s="376"/>
      <c r="C25" s="376"/>
      <c r="D25" s="376"/>
      <c r="E25" s="376"/>
      <c r="F25" s="376"/>
      <c r="G25" s="376"/>
      <c r="H25" s="376"/>
      <c r="I25" s="376"/>
      <c r="J25" s="376"/>
    </row>
    <row r="26" spans="1:10" x14ac:dyDescent="0.25">
      <c r="A26" s="376"/>
      <c r="B26" s="376"/>
      <c r="C26" s="376"/>
      <c r="D26" s="376"/>
      <c r="E26" s="376"/>
      <c r="F26" s="376"/>
      <c r="G26" s="376"/>
      <c r="H26" s="376"/>
      <c r="I26" s="376"/>
      <c r="J26" s="376"/>
    </row>
    <row r="27" spans="1:10" x14ac:dyDescent="0.25">
      <c r="A27" s="59"/>
      <c r="B27" s="89"/>
      <c r="C27" s="89"/>
      <c r="D27" s="59"/>
      <c r="E27" s="70"/>
      <c r="F27" s="70"/>
      <c r="G27" s="70"/>
      <c r="H27" s="70"/>
      <c r="I27" s="70"/>
      <c r="J27" s="70"/>
    </row>
    <row r="28" spans="1:10" x14ac:dyDescent="0.25">
      <c r="A28" s="415"/>
      <c r="B28" s="415"/>
      <c r="C28" s="415"/>
      <c r="D28" s="415"/>
      <c r="E28" s="415"/>
      <c r="F28" s="415"/>
      <c r="G28" s="415"/>
      <c r="H28" s="67"/>
      <c r="I28" s="70"/>
      <c r="J28" s="70"/>
    </row>
    <row r="29" spans="1:10" x14ac:dyDescent="0.25">
      <c r="A29" s="59"/>
      <c r="B29" s="49"/>
      <c r="C29" s="59"/>
      <c r="D29" s="59"/>
      <c r="E29" s="70"/>
      <c r="F29" s="70"/>
      <c r="G29" s="70"/>
      <c r="H29" s="70"/>
      <c r="I29" s="70"/>
      <c r="J29" s="70"/>
    </row>
    <row r="30" spans="1:10" x14ac:dyDescent="0.25">
      <c r="A30" s="59"/>
      <c r="B30" s="49"/>
      <c r="C30" s="59"/>
      <c r="D30" s="59"/>
      <c r="E30" s="70"/>
      <c r="F30" s="70"/>
      <c r="G30" s="70"/>
      <c r="H30" s="70"/>
      <c r="I30" s="70"/>
      <c r="J30" s="70"/>
    </row>
    <row r="31" spans="1:10" x14ac:dyDescent="0.25">
      <c r="A31" s="59"/>
      <c r="B31" s="49"/>
      <c r="C31" s="59"/>
      <c r="D31" s="59"/>
      <c r="E31" s="70"/>
      <c r="F31" s="70"/>
      <c r="G31" s="70"/>
      <c r="H31" s="70"/>
      <c r="I31" s="70"/>
      <c r="J31" s="70"/>
    </row>
  </sheetData>
  <mergeCells count="14">
    <mergeCell ref="A17:J17"/>
    <mergeCell ref="A28:G28"/>
    <mergeCell ref="A1:J1"/>
    <mergeCell ref="A2:J2"/>
    <mergeCell ref="A3:J3"/>
    <mergeCell ref="A4:J4"/>
    <mergeCell ref="A25:J25"/>
    <mergeCell ref="A26:J26"/>
    <mergeCell ref="A5:J5"/>
    <mergeCell ref="A6:J6"/>
    <mergeCell ref="A7:J7"/>
    <mergeCell ref="A12:B12"/>
    <mergeCell ref="A13:B13"/>
    <mergeCell ref="A14:B14"/>
  </mergeCells>
  <printOptions horizontalCentered="1"/>
  <pageMargins left="0.31496062992125984" right="0.70866141732283472" top="0.15748031496062992" bottom="0.15748031496062992" header="0.31496062992125984" footer="0.31496062992125984"/>
  <pageSetup paperSize="258" scale="80" fitToHeight="2" orientation="landscape" r:id="rId1"/>
  <headerFooter>
    <oddFooter>Página &amp;P</oddFooter>
  </headerFooter>
  <drawing r:id="rId2"/>
  <legacyDrawing r:id="rId3"/>
  <tableParts count="1">
    <tablePart r:id="rId4"/>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showGridLines="0" view="pageBreakPreview" zoomScale="87" zoomScaleNormal="100" zoomScaleSheetLayoutView="87" workbookViewId="0">
      <selection activeCell="A17" sqref="A17:E17"/>
    </sheetView>
  </sheetViews>
  <sheetFormatPr baseColWidth="10" defaultColWidth="11.42578125" defaultRowHeight="15" x14ac:dyDescent="0.25"/>
  <cols>
    <col min="1" max="1" width="35.5703125" customWidth="1"/>
    <col min="2" max="2" width="17" customWidth="1"/>
    <col min="3" max="3" width="19.5703125" customWidth="1"/>
    <col min="4" max="4" width="16.5703125" customWidth="1"/>
    <col min="5" max="5" width="22.7109375" customWidth="1"/>
    <col min="6" max="7" width="16.28515625" bestFit="1" customWidth="1"/>
  </cols>
  <sheetData>
    <row r="1" spans="1:12" x14ac:dyDescent="0.25">
      <c r="A1" s="376" t="s">
        <v>0</v>
      </c>
      <c r="B1" s="376"/>
      <c r="C1" s="376"/>
      <c r="D1" s="376"/>
      <c r="E1" s="376"/>
    </row>
    <row r="2" spans="1:12" x14ac:dyDescent="0.25">
      <c r="A2" s="376" t="s">
        <v>307</v>
      </c>
      <c r="B2" s="376"/>
      <c r="C2" s="376"/>
      <c r="D2" s="376"/>
      <c r="E2" s="376"/>
    </row>
    <row r="3" spans="1:12" x14ac:dyDescent="0.25">
      <c r="A3" s="376" t="s">
        <v>273</v>
      </c>
      <c r="B3" s="376"/>
      <c r="C3" s="376"/>
      <c r="D3" s="376"/>
      <c r="E3" s="376"/>
    </row>
    <row r="4" spans="1:12" x14ac:dyDescent="0.25">
      <c r="A4" s="376" t="s">
        <v>347</v>
      </c>
      <c r="B4" s="376"/>
      <c r="C4" s="376"/>
      <c r="D4" s="376"/>
      <c r="E4" s="376"/>
    </row>
    <row r="5" spans="1:12" x14ac:dyDescent="0.25">
      <c r="A5" s="408"/>
      <c r="B5" s="416"/>
      <c r="C5" s="416"/>
      <c r="D5" s="416"/>
      <c r="E5" s="416"/>
    </row>
    <row r="6" spans="1:12" x14ac:dyDescent="0.25">
      <c r="A6" s="408" t="s">
        <v>349</v>
      </c>
      <c r="B6" s="416"/>
      <c r="C6" s="416"/>
      <c r="D6" s="416"/>
      <c r="E6" s="416"/>
    </row>
    <row r="7" spans="1:12" x14ac:dyDescent="0.25">
      <c r="A7" s="417"/>
      <c r="B7" s="417"/>
      <c r="C7" s="417"/>
      <c r="D7" s="417"/>
      <c r="E7" s="417"/>
    </row>
    <row r="8" spans="1:12" s="13" customFormat="1" ht="29.25" customHeight="1" x14ac:dyDescent="0.25">
      <c r="A8" s="96" t="s">
        <v>112</v>
      </c>
      <c r="B8" s="97" t="s">
        <v>113</v>
      </c>
      <c r="C8" s="98" t="s">
        <v>218</v>
      </c>
      <c r="D8" s="98" t="s">
        <v>119</v>
      </c>
      <c r="E8" s="97" t="s">
        <v>97</v>
      </c>
    </row>
    <row r="9" spans="1:12" x14ac:dyDescent="0.25">
      <c r="A9" s="99" t="s">
        <v>184</v>
      </c>
      <c r="B9" s="100">
        <v>1</v>
      </c>
      <c r="C9" s="152">
        <v>3400000</v>
      </c>
      <c r="D9" s="226">
        <v>3.45</v>
      </c>
      <c r="E9" s="104">
        <f>(Tabla136434[[#This Row],[CANTIDAD]]*Tabla136434[[#This Row],[ASIGNACIÓN MENSUAL]])*Tabla136434[[#This Row],[N° MESES]]</f>
        <v>11730000</v>
      </c>
    </row>
    <row r="10" spans="1:12" x14ac:dyDescent="0.25">
      <c r="A10" s="232" t="s">
        <v>185</v>
      </c>
      <c r="B10" s="101">
        <v>1</v>
      </c>
      <c r="C10" s="152">
        <v>1965898.08</v>
      </c>
      <c r="D10" s="226">
        <v>3.45</v>
      </c>
      <c r="E10" s="104">
        <f>ROUND(((Tabla136434[[#This Row],[CANTIDAD]]*Tabla136434[[#This Row],[ASIGNACIÓN MENSUAL]])*Tabla136434[[#This Row],[N° MESES]]),2)</f>
        <v>6782348.3799999999</v>
      </c>
    </row>
    <row r="11" spans="1:12" x14ac:dyDescent="0.25">
      <c r="A11" s="232" t="s">
        <v>343</v>
      </c>
      <c r="B11" s="187">
        <v>2</v>
      </c>
      <c r="C11" s="152">
        <v>1943695.68</v>
      </c>
      <c r="D11" s="226">
        <v>3.45</v>
      </c>
      <c r="E11" s="104">
        <f>ROUND(((Tabla136434[[#This Row],[CANTIDAD]]*Tabla136434[[#This Row],[ASIGNACIÓN MENSUAL]])*Tabla136434[[#This Row],[N° MESES]]),2)</f>
        <v>13411500.189999999</v>
      </c>
    </row>
    <row r="12" spans="1:12" x14ac:dyDescent="0.25">
      <c r="A12" s="177" t="s">
        <v>97</v>
      </c>
      <c r="B12" s="22">
        <f>SUBTOTAL(109,B9:B11)</f>
        <v>4</v>
      </c>
      <c r="C12" s="178"/>
      <c r="D12" s="179"/>
      <c r="E12" s="180">
        <f>SUBTOTAL(109,E9:E11)</f>
        <v>31923848.57</v>
      </c>
      <c r="G12" s="8"/>
    </row>
    <row r="13" spans="1:12" x14ac:dyDescent="0.25">
      <c r="A13" s="49"/>
      <c r="B13" s="49"/>
      <c r="C13" s="49"/>
      <c r="D13" s="49"/>
      <c r="E13" s="49"/>
    </row>
    <row r="14" spans="1:12" x14ac:dyDescent="0.25">
      <c r="A14" s="49"/>
      <c r="B14" s="49"/>
      <c r="C14" s="49"/>
      <c r="D14" s="49"/>
      <c r="E14" s="49"/>
    </row>
    <row r="15" spans="1:12" x14ac:dyDescent="0.25">
      <c r="A15" s="49"/>
      <c r="B15" s="49"/>
      <c r="C15" s="105"/>
      <c r="D15" s="105"/>
      <c r="E15" s="105"/>
      <c r="L15" t="s">
        <v>115</v>
      </c>
    </row>
    <row r="16" spans="1:12" x14ac:dyDescent="0.25">
      <c r="A16" s="376"/>
      <c r="B16" s="376"/>
      <c r="C16" s="376"/>
      <c r="D16" s="376"/>
      <c r="E16" s="376"/>
      <c r="G16" s="8"/>
    </row>
    <row r="17" spans="1:7" x14ac:dyDescent="0.25">
      <c r="A17" s="376"/>
      <c r="B17" s="416"/>
      <c r="C17" s="416"/>
      <c r="D17" s="416"/>
      <c r="E17" s="416"/>
      <c r="G17" s="8"/>
    </row>
    <row r="18" spans="1:7" x14ac:dyDescent="0.25">
      <c r="A18" s="49"/>
      <c r="B18" s="49"/>
      <c r="C18" s="49"/>
      <c r="D18" s="49"/>
      <c r="E18" s="49"/>
      <c r="F18" s="8"/>
    </row>
  </sheetData>
  <mergeCells count="9">
    <mergeCell ref="A1:E1"/>
    <mergeCell ref="A2:E2"/>
    <mergeCell ref="A3:E3"/>
    <mergeCell ref="A4:E4"/>
    <mergeCell ref="A17:E17"/>
    <mergeCell ref="A5:E5"/>
    <mergeCell ref="A6:E6"/>
    <mergeCell ref="A7:E7"/>
    <mergeCell ref="A16:E16"/>
  </mergeCells>
  <printOptions horizontalCentered="1"/>
  <pageMargins left="0.70866141732283472" right="0.70866141732283472" top="0.74803149606299213" bottom="0.74803149606299213" header="0.31496062992125984" footer="0.31496062992125984"/>
  <pageSetup paperSize="41" orientation="landscape" r:id="rId1"/>
  <headerFooter>
    <oddFooter>Página &amp;P</oddFooter>
  </headerFooter>
  <drawing r:id="rId2"/>
  <tableParts count="1">
    <tablePart r:id="rId3"/>
  </tablePar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27"/>
  <sheetViews>
    <sheetView topLeftCell="A7" zoomScaleNormal="100" zoomScaleSheetLayoutView="95" workbookViewId="0">
      <selection activeCell="A26" sqref="A26:G26"/>
    </sheetView>
  </sheetViews>
  <sheetFormatPr baseColWidth="10" defaultColWidth="11.42578125" defaultRowHeight="15" x14ac:dyDescent="0.25"/>
  <cols>
    <col min="1" max="1" width="31.28515625" style="19" bestFit="1" customWidth="1"/>
    <col min="2" max="2" width="11.85546875" style="19" bestFit="1" customWidth="1"/>
    <col min="3" max="3" width="17.42578125" style="19" bestFit="1" customWidth="1"/>
    <col min="4" max="4" width="11.85546875" style="19" bestFit="1" customWidth="1"/>
    <col min="5" max="5" width="12.7109375" style="19" bestFit="1" customWidth="1"/>
    <col min="6" max="6" width="9.140625" style="19" bestFit="1" customWidth="1"/>
    <col min="7" max="7" width="16.140625" style="19" customWidth="1"/>
  </cols>
  <sheetData>
    <row r="1" spans="1:7" x14ac:dyDescent="0.25">
      <c r="A1" s="376" t="s">
        <v>0</v>
      </c>
      <c r="B1" s="376"/>
      <c r="C1" s="376"/>
      <c r="D1" s="376"/>
      <c r="E1" s="376"/>
      <c r="F1" s="376"/>
      <c r="G1" s="376"/>
    </row>
    <row r="2" spans="1:7" x14ac:dyDescent="0.25">
      <c r="A2" s="376" t="s">
        <v>307</v>
      </c>
      <c r="B2" s="376"/>
      <c r="C2" s="376"/>
      <c r="D2" s="376"/>
      <c r="E2" s="376"/>
      <c r="F2" s="376"/>
      <c r="G2" s="376"/>
    </row>
    <row r="3" spans="1:7" x14ac:dyDescent="0.25">
      <c r="A3" s="376" t="s">
        <v>273</v>
      </c>
      <c r="B3" s="376"/>
      <c r="C3" s="376"/>
      <c r="D3" s="376"/>
      <c r="E3" s="376"/>
      <c r="F3" s="376"/>
      <c r="G3" s="376"/>
    </row>
    <row r="4" spans="1:7" x14ac:dyDescent="0.25">
      <c r="A4" s="376" t="s">
        <v>347</v>
      </c>
      <c r="B4" s="376"/>
      <c r="C4" s="376"/>
      <c r="D4" s="376"/>
      <c r="E4" s="376"/>
      <c r="F4" s="376"/>
      <c r="G4" s="376"/>
    </row>
    <row r="5" spans="1:7" x14ac:dyDescent="0.25">
      <c r="A5" s="108"/>
      <c r="B5" s="49"/>
      <c r="C5" s="49"/>
      <c r="D5" s="49"/>
      <c r="E5" s="49"/>
      <c r="F5" s="49"/>
      <c r="G5" s="49"/>
    </row>
    <row r="6" spans="1:7" x14ac:dyDescent="0.25">
      <c r="A6" s="408" t="s">
        <v>350</v>
      </c>
      <c r="B6" s="416"/>
      <c r="C6" s="416"/>
      <c r="D6" s="416"/>
      <c r="E6" s="416"/>
      <c r="F6" s="416"/>
      <c r="G6" s="416"/>
    </row>
    <row r="7" spans="1:7" ht="13.5" customHeight="1" x14ac:dyDescent="0.25">
      <c r="A7" s="417"/>
      <c r="B7" s="417"/>
      <c r="C7" s="417"/>
      <c r="D7" s="417"/>
      <c r="E7" s="417"/>
      <c r="F7" s="417"/>
      <c r="G7" s="417"/>
    </row>
    <row r="8" spans="1:7" s="13" customFormat="1" ht="24" x14ac:dyDescent="0.25">
      <c r="A8" s="96" t="s">
        <v>112</v>
      </c>
      <c r="B8" s="97" t="s">
        <v>113</v>
      </c>
      <c r="C8" s="98" t="s">
        <v>189</v>
      </c>
      <c r="D8" s="98" t="s">
        <v>190</v>
      </c>
      <c r="E8" s="97" t="s">
        <v>191</v>
      </c>
      <c r="F8" s="97" t="s">
        <v>192</v>
      </c>
      <c r="G8" s="98" t="s">
        <v>193</v>
      </c>
    </row>
    <row r="9" spans="1:7" x14ac:dyDescent="0.25">
      <c r="A9" s="99" t="s">
        <v>184</v>
      </c>
      <c r="B9" s="100">
        <v>1</v>
      </c>
      <c r="C9" s="100"/>
      <c r="D9" s="100"/>
      <c r="E9" s="100"/>
      <c r="F9" s="100"/>
      <c r="G9" s="100"/>
    </row>
    <row r="10" spans="1:7" x14ac:dyDescent="0.25">
      <c r="A10" s="232" t="s">
        <v>185</v>
      </c>
      <c r="B10" s="101">
        <v>1</v>
      </c>
      <c r="C10" s="58">
        <v>2</v>
      </c>
      <c r="D10" s="58">
        <v>2</v>
      </c>
      <c r="E10" s="58">
        <v>2</v>
      </c>
      <c r="F10" s="187">
        <v>2</v>
      </c>
      <c r="G10" s="187">
        <v>2</v>
      </c>
    </row>
    <row r="11" spans="1:7" x14ac:dyDescent="0.25">
      <c r="A11" s="24" t="s">
        <v>343</v>
      </c>
      <c r="B11" s="187">
        <v>2</v>
      </c>
      <c r="C11" s="58">
        <v>2</v>
      </c>
      <c r="D11" s="58">
        <v>2</v>
      </c>
      <c r="E11" s="58">
        <v>2</v>
      </c>
      <c r="F11" s="187">
        <v>2</v>
      </c>
      <c r="G11" s="187">
        <v>2</v>
      </c>
    </row>
    <row r="12" spans="1:7" x14ac:dyDescent="0.25">
      <c r="A12" s="102" t="s">
        <v>344</v>
      </c>
      <c r="B12" s="68">
        <f>N°MANIPULADORES!S23</f>
        <v>32</v>
      </c>
      <c r="C12" s="58">
        <v>2</v>
      </c>
      <c r="D12" s="58">
        <v>2</v>
      </c>
      <c r="E12" s="58">
        <v>2</v>
      </c>
      <c r="F12" s="58">
        <v>2</v>
      </c>
      <c r="G12" s="58">
        <v>2</v>
      </c>
    </row>
    <row r="13" spans="1:7" x14ac:dyDescent="0.25">
      <c r="A13" s="157" t="s">
        <v>186</v>
      </c>
      <c r="B13" s="158">
        <f>SUBTOTAL(109,Tabla13643[CANTIDAD])</f>
        <v>36</v>
      </c>
      <c r="C13" s="158">
        <f>SUMPRODUCT(Tabla13643[CANTIDAD],Tabla13643[UNIFORME (CAMISA + PANTALÓN)])</f>
        <v>70</v>
      </c>
      <c r="D13" s="158">
        <f>SUMPRODUCT(Tabla13643[CANTIDAD],Tabla13643[GORRO/COFIA])</f>
        <v>70</v>
      </c>
      <c r="E13" s="158">
        <f>SUMPRODUCT(Tabla13643[CANTIDAD],Tabla13643[TAPABOCAS])</f>
        <v>70</v>
      </c>
      <c r="F13" s="158">
        <f>SUMPRODUCT(Tabla13643[CANTIDAD],Tabla13643[TAPABOCAS])</f>
        <v>70</v>
      </c>
      <c r="G13" s="158">
        <f>SUMPRODUCT(Tabla13643[CANTIDAD],Tabla13643[CALZADO ANTIDESLIZANTE])</f>
        <v>70</v>
      </c>
    </row>
    <row r="14" spans="1:7" x14ac:dyDescent="0.25">
      <c r="A14" s="49"/>
      <c r="B14" s="49"/>
      <c r="C14" s="49"/>
      <c r="D14" s="49"/>
      <c r="E14" s="49"/>
      <c r="F14" s="49"/>
      <c r="G14" s="49"/>
    </row>
    <row r="15" spans="1:7" s="6" customFormat="1" x14ac:dyDescent="0.25">
      <c r="A15" s="57" t="s">
        <v>187</v>
      </c>
      <c r="B15" s="57" t="s">
        <v>140</v>
      </c>
      <c r="C15" s="22" t="s">
        <v>141</v>
      </c>
      <c r="D15" s="57" t="s">
        <v>142</v>
      </c>
      <c r="E15" s="22" t="s">
        <v>8</v>
      </c>
      <c r="F15" s="22" t="s">
        <v>113</v>
      </c>
      <c r="G15" s="22" t="s">
        <v>114</v>
      </c>
    </row>
    <row r="16" spans="1:7" x14ac:dyDescent="0.25">
      <c r="A16" s="24" t="str">
        <f>Tabla13643[[#Headers],[UNIFORME (CAMISA + PANTALÓN)]]</f>
        <v>UNIFORME (CAMISA + PANTALÓN)</v>
      </c>
      <c r="B16" s="66">
        <v>65900</v>
      </c>
      <c r="C16" s="66">
        <v>65000</v>
      </c>
      <c r="D16" s="66">
        <f>34840+33180</f>
        <v>68020</v>
      </c>
      <c r="E16" s="66">
        <v>66306.67</v>
      </c>
      <c r="F16" s="58">
        <f>Tabla13643[[#Totals],[UNIFORME (CAMISA + PANTALÓN)]]</f>
        <v>70</v>
      </c>
      <c r="G16" s="103">
        <f>E16*F16</f>
        <v>4641466.8999999994</v>
      </c>
    </row>
    <row r="17" spans="1:14" x14ac:dyDescent="0.25">
      <c r="A17" s="24" t="str">
        <f>Tabla13643[[#Headers],[GORRO/COFIA]]</f>
        <v>GORRO/COFIA</v>
      </c>
      <c r="B17" s="66">
        <v>10500</v>
      </c>
      <c r="C17" s="66">
        <v>8000</v>
      </c>
      <c r="D17" s="66">
        <v>7900</v>
      </c>
      <c r="E17" s="66">
        <v>8800</v>
      </c>
      <c r="F17" s="58">
        <f>Tabla13643[[#Totals],[GORRO/COFIA]]</f>
        <v>70</v>
      </c>
      <c r="G17" s="103">
        <f t="shared" ref="G17:G20" si="0">E17*F17</f>
        <v>616000</v>
      </c>
    </row>
    <row r="18" spans="1:14" x14ac:dyDescent="0.25">
      <c r="A18" s="24" t="str">
        <f>Tabla13643[[#Headers],[TAPABOCAS]]</f>
        <v>TAPABOCAS</v>
      </c>
      <c r="B18" s="66">
        <v>3500</v>
      </c>
      <c r="C18" s="66">
        <v>2000</v>
      </c>
      <c r="D18" s="66">
        <v>4600</v>
      </c>
      <c r="E18" s="66">
        <v>3366.67</v>
      </c>
      <c r="F18" s="58">
        <f>Tabla13643[[#Totals],[TAPABOCAS]]</f>
        <v>70</v>
      </c>
      <c r="G18" s="103">
        <f t="shared" si="0"/>
        <v>235666.9</v>
      </c>
    </row>
    <row r="19" spans="1:14" x14ac:dyDescent="0.25">
      <c r="A19" s="24" t="str">
        <f>Tabla13643[[#Headers],[DELANTAL]]</f>
        <v>DELANTAL</v>
      </c>
      <c r="B19" s="66">
        <v>16900</v>
      </c>
      <c r="C19" s="66">
        <v>18000</v>
      </c>
      <c r="D19" s="66">
        <v>15000</v>
      </c>
      <c r="E19" s="66">
        <v>16633.330000000002</v>
      </c>
      <c r="F19" s="58">
        <f>Tabla13643[[#Totals],[DELANTAL]]</f>
        <v>70</v>
      </c>
      <c r="G19" s="103">
        <f t="shared" si="0"/>
        <v>1164333.1000000001</v>
      </c>
    </row>
    <row r="20" spans="1:14" x14ac:dyDescent="0.25">
      <c r="A20" s="24" t="str">
        <f>Tabla13643[[#Headers],[CALZADO ANTIDESLIZANTE]]</f>
        <v>CALZADO ANTIDESLIZANTE</v>
      </c>
      <c r="B20" s="66">
        <v>40266</v>
      </c>
      <c r="C20" s="66">
        <v>45000</v>
      </c>
      <c r="D20" s="66">
        <v>48500</v>
      </c>
      <c r="E20" s="66">
        <v>44588.67</v>
      </c>
      <c r="F20" s="58">
        <f>Tabla13643[[#Totals],[CALZADO ANTIDESLIZANTE]]</f>
        <v>70</v>
      </c>
      <c r="G20" s="103">
        <f t="shared" si="0"/>
        <v>3121206.9</v>
      </c>
    </row>
    <row r="21" spans="1:14" x14ac:dyDescent="0.25">
      <c r="A21" s="418" t="s">
        <v>194</v>
      </c>
      <c r="B21" s="419"/>
      <c r="C21" s="419"/>
      <c r="D21" s="419"/>
      <c r="E21" s="419"/>
      <c r="F21" s="420"/>
      <c r="G21" s="23">
        <f>SUM(G16:G20)</f>
        <v>9778673.8000000007</v>
      </c>
    </row>
    <row r="22" spans="1:14" ht="13.5" customHeight="1" x14ac:dyDescent="0.25">
      <c r="A22" s="49"/>
      <c r="B22" s="49"/>
      <c r="C22" s="49"/>
      <c r="D22" s="49"/>
      <c r="E22" s="49"/>
      <c r="F22" s="49"/>
      <c r="G22" s="49"/>
    </row>
    <row r="23" spans="1:14" x14ac:dyDescent="0.25">
      <c r="A23" s="49"/>
      <c r="B23" s="49"/>
      <c r="C23" s="49"/>
      <c r="D23" s="49"/>
      <c r="E23" s="49"/>
      <c r="F23" s="49"/>
      <c r="G23" s="49"/>
    </row>
    <row r="24" spans="1:14" x14ac:dyDescent="0.25">
      <c r="A24" s="49"/>
      <c r="B24" s="49"/>
      <c r="C24" s="49"/>
      <c r="D24" s="49"/>
      <c r="E24" s="49"/>
      <c r="F24" s="49"/>
      <c r="G24" s="49"/>
    </row>
    <row r="25" spans="1:14" x14ac:dyDescent="0.25">
      <c r="A25" s="376"/>
      <c r="B25" s="376"/>
      <c r="C25" s="376"/>
      <c r="D25" s="376"/>
      <c r="E25" s="376"/>
      <c r="F25" s="376"/>
      <c r="G25" s="376"/>
    </row>
    <row r="26" spans="1:14" x14ac:dyDescent="0.25">
      <c r="A26" s="376"/>
      <c r="B26" s="416"/>
      <c r="C26" s="416"/>
      <c r="D26" s="416"/>
      <c r="E26" s="416"/>
      <c r="F26" s="416"/>
      <c r="G26" s="416"/>
      <c r="N26" t="s">
        <v>115</v>
      </c>
    </row>
    <row r="27" spans="1:14" x14ac:dyDescent="0.25">
      <c r="A27" s="49"/>
      <c r="B27" s="49"/>
      <c r="C27" s="49"/>
      <c r="D27" s="49"/>
      <c r="E27" s="49"/>
      <c r="F27" s="49"/>
      <c r="G27" s="49"/>
    </row>
  </sheetData>
  <mergeCells count="9">
    <mergeCell ref="A1:G1"/>
    <mergeCell ref="A2:G2"/>
    <mergeCell ref="A3:G3"/>
    <mergeCell ref="A25:G25"/>
    <mergeCell ref="A26:G26"/>
    <mergeCell ref="A4:G4"/>
    <mergeCell ref="A6:G6"/>
    <mergeCell ref="A7:G7"/>
    <mergeCell ref="A21:F21"/>
  </mergeCells>
  <pageMargins left="0.70866141732283472" right="0.70866141732283472" top="0.74803149606299213" bottom="0.74803149606299213" header="0.31496062992125984" footer="0.31496062992125984"/>
  <pageSetup paperSize="258" orientation="landscape" r:id="rId1"/>
  <headerFooter>
    <oddFooter>&amp;CPágina &amp;P  de  &amp;N</oddFooter>
  </headerFooter>
  <rowBreaks count="1" manualBreakCount="1">
    <brk id="13" max="8" man="1"/>
  </rowBreaks>
  <drawing r:id="rId2"/>
  <legacyDrawing r:id="rId3"/>
  <tableParts count="1">
    <tablePart r:id="rId4"/>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6"/>
  <sheetViews>
    <sheetView topLeftCell="A7" zoomScaleNormal="100" zoomScaleSheetLayoutView="96" workbookViewId="0">
      <selection activeCell="A25" sqref="A25:G25"/>
    </sheetView>
  </sheetViews>
  <sheetFormatPr baseColWidth="10" defaultColWidth="11.42578125" defaultRowHeight="15" x14ac:dyDescent="0.25"/>
  <cols>
    <col min="1" max="1" width="32.7109375" style="19" customWidth="1"/>
    <col min="2" max="2" width="13.42578125" style="19" bestFit="1" customWidth="1"/>
    <col min="3" max="3" width="13.28515625" style="19" bestFit="1" customWidth="1"/>
    <col min="4" max="4" width="13.140625" style="19" bestFit="1" customWidth="1"/>
    <col min="5" max="5" width="17" style="19" bestFit="1" customWidth="1"/>
    <col min="6" max="6" width="21.42578125" style="19" bestFit="1" customWidth="1"/>
    <col min="7" max="7" width="18" style="19" customWidth="1"/>
  </cols>
  <sheetData>
    <row r="1" spans="1:12" x14ac:dyDescent="0.25">
      <c r="A1" s="376" t="s">
        <v>0</v>
      </c>
      <c r="B1" s="376"/>
      <c r="C1" s="376"/>
      <c r="D1" s="376"/>
      <c r="E1" s="376"/>
      <c r="F1" s="376"/>
      <c r="G1" s="48"/>
      <c r="H1" s="48"/>
      <c r="I1" s="48"/>
      <c r="J1" s="48"/>
      <c r="K1" s="48"/>
      <c r="L1" s="48"/>
    </row>
    <row r="2" spans="1:12" x14ac:dyDescent="0.25">
      <c r="A2" s="376" t="s">
        <v>307</v>
      </c>
      <c r="B2" s="376"/>
      <c r="C2" s="376"/>
      <c r="D2" s="376"/>
      <c r="E2" s="376"/>
      <c r="F2" s="376"/>
      <c r="G2" s="48"/>
      <c r="H2" s="48"/>
      <c r="I2" s="48"/>
      <c r="J2" s="48"/>
      <c r="K2" s="48"/>
      <c r="L2" s="48"/>
    </row>
    <row r="3" spans="1:12" x14ac:dyDescent="0.25">
      <c r="A3" s="376" t="s">
        <v>273</v>
      </c>
      <c r="B3" s="376"/>
      <c r="C3" s="376"/>
      <c r="D3" s="376"/>
      <c r="E3" s="376"/>
      <c r="F3" s="376"/>
      <c r="G3" s="48"/>
      <c r="H3" s="48"/>
      <c r="I3" s="48"/>
      <c r="J3" s="48"/>
      <c r="K3" s="48"/>
      <c r="L3" s="48"/>
    </row>
    <row r="4" spans="1:12" x14ac:dyDescent="0.25">
      <c r="A4" s="376" t="s">
        <v>347</v>
      </c>
      <c r="B4" s="376"/>
      <c r="C4" s="376"/>
      <c r="D4" s="376"/>
      <c r="E4" s="376"/>
      <c r="F4" s="376"/>
      <c r="G4" s="48"/>
      <c r="H4" s="48"/>
      <c r="I4" s="48"/>
      <c r="J4" s="48"/>
      <c r="K4" s="48"/>
      <c r="L4" s="48"/>
    </row>
    <row r="5" spans="1:12" x14ac:dyDescent="0.25">
      <c r="A5" s="408"/>
      <c r="B5" s="416"/>
      <c r="C5" s="416"/>
      <c r="D5" s="416"/>
      <c r="E5" s="416"/>
      <c r="F5" s="416"/>
      <c r="G5" s="49"/>
    </row>
    <row r="6" spans="1:12" x14ac:dyDescent="0.25">
      <c r="A6" s="408" t="s">
        <v>351</v>
      </c>
      <c r="B6" s="416"/>
      <c r="C6" s="416"/>
      <c r="D6" s="416"/>
      <c r="E6" s="416"/>
      <c r="F6" s="416"/>
      <c r="G6" s="49"/>
    </row>
    <row r="7" spans="1:12" x14ac:dyDescent="0.25">
      <c r="A7" s="417"/>
      <c r="B7" s="417"/>
      <c r="C7" s="417"/>
      <c r="D7" s="417"/>
      <c r="E7" s="417"/>
      <c r="F7" s="417"/>
      <c r="G7" s="49"/>
    </row>
    <row r="8" spans="1:12" s="13" customFormat="1" ht="29.25" customHeight="1" x14ac:dyDescent="0.25">
      <c r="A8" s="96" t="s">
        <v>112</v>
      </c>
      <c r="B8" s="97" t="s">
        <v>113</v>
      </c>
      <c r="C8" s="97" t="s">
        <v>180</v>
      </c>
      <c r="D8" s="98" t="s">
        <v>181</v>
      </c>
      <c r="E8" s="97" t="s">
        <v>182</v>
      </c>
      <c r="F8" s="97" t="s">
        <v>183</v>
      </c>
      <c r="G8" s="59"/>
    </row>
    <row r="9" spans="1:12" x14ac:dyDescent="0.25">
      <c r="A9" s="99" t="s">
        <v>184</v>
      </c>
      <c r="B9" s="100">
        <v>1</v>
      </c>
      <c r="C9" s="100"/>
      <c r="D9" s="100"/>
      <c r="E9" s="100"/>
      <c r="F9" s="100"/>
      <c r="G9" s="49"/>
    </row>
    <row r="10" spans="1:12" x14ac:dyDescent="0.25">
      <c r="A10" s="232" t="s">
        <v>185</v>
      </c>
      <c r="B10" s="101">
        <v>1</v>
      </c>
      <c r="C10" s="100">
        <v>1</v>
      </c>
      <c r="D10" s="100">
        <v>1</v>
      </c>
      <c r="E10" s="100">
        <v>1</v>
      </c>
      <c r="F10" s="100">
        <v>1</v>
      </c>
      <c r="G10" s="49"/>
    </row>
    <row r="11" spans="1:12" x14ac:dyDescent="0.25">
      <c r="A11" s="232" t="s">
        <v>343</v>
      </c>
      <c r="B11" s="156">
        <v>2</v>
      </c>
      <c r="C11" s="100">
        <v>1</v>
      </c>
      <c r="D11" s="100">
        <v>1</v>
      </c>
      <c r="E11" s="100">
        <v>1</v>
      </c>
      <c r="F11" s="100">
        <v>1</v>
      </c>
      <c r="G11" s="49"/>
    </row>
    <row r="12" spans="1:12" x14ac:dyDescent="0.25">
      <c r="A12" s="102" t="s">
        <v>345</v>
      </c>
      <c r="B12" s="68">
        <f>N°MANIPULADORES!S23</f>
        <v>32</v>
      </c>
      <c r="C12" s="58">
        <v>1</v>
      </c>
      <c r="D12" s="58">
        <v>1</v>
      </c>
      <c r="E12" s="58">
        <v>1</v>
      </c>
      <c r="F12" s="58">
        <v>1</v>
      </c>
      <c r="G12" s="49"/>
    </row>
    <row r="13" spans="1:12" x14ac:dyDescent="0.25">
      <c r="A13" s="157" t="s">
        <v>186</v>
      </c>
      <c r="B13" s="158">
        <f>SUBTOTAL(109,Tabla136438[CANTIDAD])</f>
        <v>36</v>
      </c>
      <c r="C13" s="158">
        <f>SUMPRODUCT(Tabla136438[CANTIDAD],Tabla136438[KOH UÑAS])</f>
        <v>35</v>
      </c>
      <c r="D13" s="158">
        <f>SUMPRODUCT(Tabla136438[CANTIDAD],Tabla136438[FROTIS FARINGEO])</f>
        <v>35</v>
      </c>
      <c r="E13" s="158">
        <f>SUMPRODUCT(Tabla136438[CANTIDAD],Tabla136438[COPROLOGICO])</f>
        <v>35</v>
      </c>
      <c r="F13" s="158">
        <f>SUMPRODUCT(Tabla136438[CANTIDAD],Tabla136438[SEROLOGICO (VDRL)])</f>
        <v>35</v>
      </c>
      <c r="G13" s="49"/>
    </row>
    <row r="14" spans="1:12" x14ac:dyDescent="0.25">
      <c r="A14" s="49"/>
      <c r="B14" s="49"/>
      <c r="C14" s="49"/>
      <c r="D14" s="49"/>
      <c r="E14" s="49"/>
      <c r="F14" s="49"/>
      <c r="G14" s="49"/>
    </row>
    <row r="15" spans="1:12" s="6" customFormat="1" x14ac:dyDescent="0.25">
      <c r="A15" s="57" t="s">
        <v>187</v>
      </c>
      <c r="B15" s="57" t="s">
        <v>140</v>
      </c>
      <c r="C15" s="57" t="s">
        <v>141</v>
      </c>
      <c r="D15" s="57" t="s">
        <v>142</v>
      </c>
      <c r="E15" s="22" t="s">
        <v>8</v>
      </c>
      <c r="F15" s="22" t="s">
        <v>113</v>
      </c>
      <c r="G15" s="22" t="s">
        <v>114</v>
      </c>
    </row>
    <row r="16" spans="1:12" x14ac:dyDescent="0.25">
      <c r="A16" s="24" t="str">
        <f>Tabla136438[[#Headers],[KOH UÑAS]]</f>
        <v>KOH UÑAS</v>
      </c>
      <c r="B16" s="66">
        <v>9500</v>
      </c>
      <c r="C16" s="66">
        <v>8000</v>
      </c>
      <c r="D16" s="66">
        <v>9000</v>
      </c>
      <c r="E16" s="66">
        <v>8833.33</v>
      </c>
      <c r="F16" s="58">
        <f>Tabla136438[[#Totals],[KOH UÑAS]]</f>
        <v>35</v>
      </c>
      <c r="G16" s="66">
        <f>E16*F16</f>
        <v>309166.55</v>
      </c>
    </row>
    <row r="17" spans="1:13" x14ac:dyDescent="0.25">
      <c r="A17" s="24" t="str">
        <f>Tabla136438[[#Headers],[FROTIS FARINGEO]]</f>
        <v>FROTIS FARINGEO</v>
      </c>
      <c r="B17" s="66">
        <v>12000</v>
      </c>
      <c r="C17" s="66">
        <v>10000</v>
      </c>
      <c r="D17" s="66">
        <v>8000</v>
      </c>
      <c r="E17" s="66">
        <v>10000</v>
      </c>
      <c r="F17" s="58">
        <f>Tabla136438[[#Totals],[FROTIS FARINGEO]]</f>
        <v>35</v>
      </c>
      <c r="G17" s="66">
        <f t="shared" ref="G17:G19" si="0">E17*F17</f>
        <v>350000</v>
      </c>
    </row>
    <row r="18" spans="1:13" x14ac:dyDescent="0.25">
      <c r="A18" s="24" t="str">
        <f>Tabla136438[[#Headers],[COPROLOGICO]]</f>
        <v>COPROLOGICO</v>
      </c>
      <c r="B18" s="66">
        <v>10000</v>
      </c>
      <c r="C18" s="66">
        <v>9000</v>
      </c>
      <c r="D18" s="66">
        <v>8000</v>
      </c>
      <c r="E18" s="66">
        <v>9000</v>
      </c>
      <c r="F18" s="58">
        <f>Tabla136438[[#Totals],[COPROLOGICO]]</f>
        <v>35</v>
      </c>
      <c r="G18" s="66">
        <f t="shared" si="0"/>
        <v>315000</v>
      </c>
    </row>
    <row r="19" spans="1:13" x14ac:dyDescent="0.25">
      <c r="A19" s="24" t="str">
        <f>Tabla136438[[#Headers],[SEROLOGICO (VDRL)]]</f>
        <v>SEROLOGICO (VDRL)</v>
      </c>
      <c r="B19" s="66">
        <v>12000</v>
      </c>
      <c r="C19" s="66">
        <v>10000</v>
      </c>
      <c r="D19" s="66">
        <v>9000</v>
      </c>
      <c r="E19" s="66">
        <v>10333.33</v>
      </c>
      <c r="F19" s="58">
        <f>Tabla136438[[#Totals],[SEROLOGICO (VDRL)]]</f>
        <v>35</v>
      </c>
      <c r="G19" s="66">
        <f t="shared" si="0"/>
        <v>361666.55</v>
      </c>
    </row>
    <row r="20" spans="1:13" x14ac:dyDescent="0.25">
      <c r="A20" s="418" t="s">
        <v>188</v>
      </c>
      <c r="B20" s="419"/>
      <c r="C20" s="419"/>
      <c r="D20" s="419"/>
      <c r="E20" s="419"/>
      <c r="F20" s="420"/>
      <c r="G20" s="151">
        <f>SUM(G16:G19)</f>
        <v>1335833.1000000001</v>
      </c>
    </row>
    <row r="21" spans="1:13" x14ac:dyDescent="0.25">
      <c r="A21" s="49"/>
      <c r="B21" s="49"/>
      <c r="C21" s="49"/>
      <c r="D21" s="49"/>
      <c r="E21" s="49"/>
      <c r="F21" s="49"/>
      <c r="G21" s="49"/>
    </row>
    <row r="22" spans="1:13" x14ac:dyDescent="0.25">
      <c r="A22" s="49"/>
      <c r="B22" s="49"/>
      <c r="C22" s="49"/>
      <c r="D22" s="49"/>
      <c r="E22" s="49"/>
      <c r="F22" s="49"/>
      <c r="G22" s="49"/>
    </row>
    <row r="23" spans="1:13" x14ac:dyDescent="0.25">
      <c r="A23" s="48"/>
      <c r="B23" s="48"/>
      <c r="C23" s="48"/>
      <c r="D23" s="48"/>
      <c r="E23" s="48"/>
      <c r="F23" s="48"/>
      <c r="G23" s="49"/>
    </row>
    <row r="24" spans="1:13" x14ac:dyDescent="0.25">
      <c r="A24" s="376"/>
      <c r="B24" s="376"/>
      <c r="C24" s="376"/>
      <c r="D24" s="376"/>
      <c r="E24" s="376"/>
      <c r="F24" s="376"/>
      <c r="G24" s="376"/>
      <c r="M24" t="s">
        <v>115</v>
      </c>
    </row>
    <row r="25" spans="1:13" x14ac:dyDescent="0.25">
      <c r="A25" s="376"/>
      <c r="B25" s="376"/>
      <c r="C25" s="376"/>
      <c r="D25" s="376"/>
      <c r="E25" s="376"/>
      <c r="F25" s="376"/>
      <c r="G25" s="376"/>
    </row>
    <row r="26" spans="1:13" x14ac:dyDescent="0.25">
      <c r="A26" s="49"/>
      <c r="B26" s="49"/>
      <c r="C26" s="49"/>
      <c r="D26" s="49"/>
      <c r="E26" s="49"/>
      <c r="F26" s="49"/>
      <c r="G26" s="49"/>
    </row>
  </sheetData>
  <mergeCells count="10">
    <mergeCell ref="A25:G25"/>
    <mergeCell ref="A24:G24"/>
    <mergeCell ref="A1:F1"/>
    <mergeCell ref="A2:F2"/>
    <mergeCell ref="A3:F3"/>
    <mergeCell ref="A4:F4"/>
    <mergeCell ref="A5:F5"/>
    <mergeCell ref="A6:F6"/>
    <mergeCell ref="A7:F7"/>
    <mergeCell ref="A20:F20"/>
  </mergeCells>
  <pageMargins left="0.70866141732283472" right="0.70866141732283472" top="0.35433070866141736" bottom="0.35433070866141736" header="0.31496062992125984" footer="0.31496062992125984"/>
  <pageSetup paperSize="258" scale="85" fitToHeight="3" orientation="landscape" r:id="rId1"/>
  <headerFooter>
    <oddFooter>Página &amp;P</oddFooter>
  </headerFooter>
  <drawing r:id="rId2"/>
  <legacyDrawing r:id="rId3"/>
  <tableParts count="1">
    <tablePart r:id="rId4"/>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workbookViewId="0">
      <selection activeCell="A15" sqref="A15:F15"/>
    </sheetView>
  </sheetViews>
  <sheetFormatPr baseColWidth="10" defaultColWidth="11.42578125" defaultRowHeight="15" x14ac:dyDescent="0.25"/>
  <cols>
    <col min="1" max="1" width="34.85546875" customWidth="1"/>
    <col min="2" max="2" width="25.85546875" bestFit="1" customWidth="1"/>
    <col min="3" max="3" width="13.28515625" bestFit="1" customWidth="1"/>
    <col min="4" max="4" width="14.7109375" bestFit="1" customWidth="1"/>
    <col min="5" max="5" width="9" customWidth="1"/>
    <col min="6" max="6" width="19.140625" bestFit="1" customWidth="1"/>
  </cols>
  <sheetData>
    <row r="1" spans="1:10" x14ac:dyDescent="0.25">
      <c r="A1" s="376" t="s">
        <v>0</v>
      </c>
      <c r="B1" s="376"/>
      <c r="C1" s="376"/>
      <c r="D1" s="376"/>
      <c r="E1" s="376"/>
      <c r="F1" s="376"/>
    </row>
    <row r="2" spans="1:10" x14ac:dyDescent="0.25">
      <c r="A2" s="376" t="s">
        <v>307</v>
      </c>
      <c r="B2" s="376"/>
      <c r="C2" s="376"/>
      <c r="D2" s="376"/>
      <c r="E2" s="376"/>
      <c r="F2" s="376"/>
    </row>
    <row r="3" spans="1:10" x14ac:dyDescent="0.25">
      <c r="A3" s="376" t="s">
        <v>273</v>
      </c>
      <c r="B3" s="376"/>
      <c r="C3" s="376"/>
      <c r="D3" s="376"/>
      <c r="E3" s="376"/>
      <c r="F3" s="376"/>
    </row>
    <row r="4" spans="1:10" x14ac:dyDescent="0.25">
      <c r="A4" s="376" t="s">
        <v>347</v>
      </c>
      <c r="B4" s="376"/>
      <c r="C4" s="376"/>
      <c r="D4" s="376"/>
      <c r="E4" s="376"/>
      <c r="F4" s="376"/>
    </row>
    <row r="5" spans="1:10" x14ac:dyDescent="0.25">
      <c r="A5" s="376"/>
      <c r="B5" s="376"/>
      <c r="C5" s="376"/>
      <c r="D5" s="376"/>
      <c r="E5" s="376"/>
      <c r="F5" s="376"/>
    </row>
    <row r="6" spans="1:10" x14ac:dyDescent="0.25">
      <c r="A6" s="376" t="s">
        <v>292</v>
      </c>
      <c r="B6" s="376"/>
      <c r="C6" s="376"/>
      <c r="D6" s="376"/>
      <c r="E6" s="376"/>
      <c r="F6" s="376"/>
    </row>
    <row r="7" spans="1:10" ht="15.75" thickBot="1" x14ac:dyDescent="0.3">
      <c r="A7" s="46"/>
      <c r="B7" s="46"/>
      <c r="C7" s="46"/>
      <c r="D7" s="46"/>
      <c r="E7" s="46"/>
      <c r="F7" s="46"/>
    </row>
    <row r="8" spans="1:10" ht="24" x14ac:dyDescent="0.25">
      <c r="A8" s="51" t="s">
        <v>116</v>
      </c>
      <c r="B8" s="52" t="s">
        <v>117</v>
      </c>
      <c r="C8" s="52" t="s">
        <v>118</v>
      </c>
      <c r="D8" s="52" t="s">
        <v>366</v>
      </c>
      <c r="E8" s="52" t="s">
        <v>119</v>
      </c>
      <c r="F8" s="53" t="s">
        <v>120</v>
      </c>
    </row>
    <row r="9" spans="1:10" ht="24.75" x14ac:dyDescent="0.25">
      <c r="A9" s="258" t="s">
        <v>442</v>
      </c>
      <c r="B9" s="259" t="s">
        <v>121</v>
      </c>
      <c r="C9" s="259" t="s">
        <v>122</v>
      </c>
      <c r="D9" s="54">
        <v>5000000</v>
      </c>
      <c r="E9" s="294">
        <v>4</v>
      </c>
      <c r="F9" s="55">
        <f t="shared" ref="F9" si="0">D9*E9</f>
        <v>20000000</v>
      </c>
    </row>
    <row r="10" spans="1:10" ht="15.75" thickBot="1" x14ac:dyDescent="0.3">
      <c r="A10" s="421" t="s">
        <v>97</v>
      </c>
      <c r="B10" s="422"/>
      <c r="C10" s="422"/>
      <c r="D10" s="422"/>
      <c r="E10" s="422"/>
      <c r="F10" s="56">
        <f>SUM(F9:F9)</f>
        <v>20000000</v>
      </c>
    </row>
    <row r="11" spans="1:10" x14ac:dyDescent="0.25">
      <c r="H11" s="8"/>
      <c r="I11" s="8"/>
      <c r="J11" s="8"/>
    </row>
    <row r="12" spans="1:10" x14ac:dyDescent="0.25">
      <c r="H12" s="8"/>
    </row>
    <row r="13" spans="1:10" x14ac:dyDescent="0.25">
      <c r="H13" s="8"/>
    </row>
    <row r="14" spans="1:10" x14ac:dyDescent="0.25">
      <c r="A14" s="376"/>
      <c r="B14" s="376"/>
      <c r="C14" s="376"/>
      <c r="D14" s="376"/>
      <c r="E14" s="376"/>
      <c r="F14" s="376"/>
    </row>
    <row r="15" spans="1:10" x14ac:dyDescent="0.25">
      <c r="A15" s="376"/>
      <c r="B15" s="376"/>
      <c r="C15" s="376"/>
      <c r="D15" s="376"/>
      <c r="E15" s="376"/>
      <c r="F15" s="376"/>
    </row>
  </sheetData>
  <mergeCells count="9">
    <mergeCell ref="A6:F6"/>
    <mergeCell ref="A10:E10"/>
    <mergeCell ref="A14:F14"/>
    <mergeCell ref="A15:F15"/>
    <mergeCell ref="A1:F1"/>
    <mergeCell ref="A2:F2"/>
    <mergeCell ref="A3:F3"/>
    <mergeCell ref="A4:F4"/>
    <mergeCell ref="A5:F5"/>
  </mergeCells>
  <printOptions horizontalCentered="1"/>
  <pageMargins left="0.70866141732283472" right="0.70866141732283472" top="0.74803149606299213" bottom="0.74803149606299213" header="0" footer="0"/>
  <pageSetup paperSize="41" orientation="landscape" r:id="rId1"/>
  <headerFooter>
    <oddHeader>Página &amp;P</oddHeader>
    <oddFooter>Página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view="pageBreakPreview" topLeftCell="A7" zoomScale="80" zoomScaleNormal="100" zoomScaleSheetLayoutView="80" workbookViewId="0">
      <selection activeCell="A30" sqref="A30:B30"/>
    </sheetView>
  </sheetViews>
  <sheetFormatPr baseColWidth="10" defaultColWidth="11.42578125" defaultRowHeight="15" x14ac:dyDescent="0.25"/>
  <cols>
    <col min="1" max="1" width="49.42578125" customWidth="1"/>
    <col min="2" max="2" width="66.85546875" customWidth="1"/>
  </cols>
  <sheetData>
    <row r="1" spans="1:10" x14ac:dyDescent="0.25">
      <c r="A1" s="376" t="s">
        <v>0</v>
      </c>
      <c r="B1" s="376"/>
      <c r="C1" s="48"/>
      <c r="D1" s="48"/>
      <c r="E1" s="48"/>
      <c r="F1" s="48"/>
      <c r="G1" s="48"/>
      <c r="H1" s="48"/>
      <c r="I1" s="48"/>
    </row>
    <row r="2" spans="1:10" x14ac:dyDescent="0.25">
      <c r="A2" s="376" t="s">
        <v>307</v>
      </c>
      <c r="B2" s="376"/>
      <c r="C2" s="48"/>
      <c r="D2" s="48"/>
      <c r="E2" s="48"/>
      <c r="F2" s="48"/>
      <c r="G2" s="48"/>
      <c r="H2" s="48"/>
      <c r="I2" s="48"/>
    </row>
    <row r="3" spans="1:10" x14ac:dyDescent="0.25">
      <c r="A3" s="376" t="s">
        <v>273</v>
      </c>
      <c r="B3" s="376"/>
      <c r="C3" s="48"/>
      <c r="D3" s="48"/>
      <c r="E3" s="48"/>
      <c r="F3" s="48"/>
      <c r="G3" s="48"/>
      <c r="H3" s="48"/>
      <c r="I3" s="48"/>
    </row>
    <row r="4" spans="1:10" x14ac:dyDescent="0.25">
      <c r="A4" s="376" t="s">
        <v>347</v>
      </c>
      <c r="B4" s="376"/>
      <c r="C4" s="48"/>
      <c r="D4" s="48"/>
      <c r="E4" s="48"/>
      <c r="F4" s="48"/>
      <c r="G4" s="48"/>
      <c r="H4" s="48"/>
      <c r="I4" s="48"/>
    </row>
    <row r="5" spans="1:10" ht="15.75" x14ac:dyDescent="0.25">
      <c r="A5" s="376"/>
      <c r="B5" s="376"/>
      <c r="C5" s="7"/>
      <c r="D5" s="7"/>
      <c r="E5" s="7"/>
      <c r="F5" s="7"/>
      <c r="G5" s="7"/>
      <c r="H5" s="7"/>
      <c r="I5" s="7"/>
      <c r="J5" s="7"/>
    </row>
    <row r="6" spans="1:10" ht="15.75" x14ac:dyDescent="0.25">
      <c r="A6" s="376" t="s">
        <v>203</v>
      </c>
      <c r="B6" s="376"/>
      <c r="C6" s="7"/>
      <c r="D6" s="7"/>
      <c r="E6" s="7"/>
      <c r="F6" s="7"/>
      <c r="G6" s="7"/>
      <c r="H6" s="7"/>
      <c r="I6" s="7"/>
      <c r="J6" s="7"/>
    </row>
    <row r="7" spans="1:10" ht="15.75" thickBot="1" x14ac:dyDescent="0.3">
      <c r="A7" s="49"/>
      <c r="B7" s="49"/>
    </row>
    <row r="8" spans="1:10" ht="27.75" customHeight="1" x14ac:dyDescent="0.25">
      <c r="A8" s="423" t="s">
        <v>352</v>
      </c>
      <c r="B8" s="424"/>
    </row>
    <row r="9" spans="1:10" x14ac:dyDescent="0.25">
      <c r="A9" s="425" t="s">
        <v>353</v>
      </c>
      <c r="B9" s="426"/>
    </row>
    <row r="10" spans="1:10" x14ac:dyDescent="0.25">
      <c r="A10" s="90" t="s">
        <v>204</v>
      </c>
      <c r="B10" s="91" t="s">
        <v>205</v>
      </c>
    </row>
    <row r="11" spans="1:10" x14ac:dyDescent="0.25">
      <c r="A11" s="92" t="s">
        <v>206</v>
      </c>
      <c r="B11" s="93">
        <v>0</v>
      </c>
      <c r="C11" s="6"/>
      <c r="D11" s="6"/>
    </row>
    <row r="12" spans="1:10" x14ac:dyDescent="0.25">
      <c r="A12" s="92" t="s">
        <v>207</v>
      </c>
      <c r="B12" s="93">
        <v>0</v>
      </c>
    </row>
    <row r="13" spans="1:10" x14ac:dyDescent="0.25">
      <c r="A13" s="92" t="s">
        <v>208</v>
      </c>
      <c r="B13" s="93">
        <v>0</v>
      </c>
    </row>
    <row r="14" spans="1:10" x14ac:dyDescent="0.25">
      <c r="A14" s="92" t="s">
        <v>209</v>
      </c>
      <c r="B14" s="93">
        <v>0</v>
      </c>
    </row>
    <row r="15" spans="1:10" x14ac:dyDescent="0.25">
      <c r="A15" s="92" t="s">
        <v>210</v>
      </c>
      <c r="B15" s="93">
        <v>21</v>
      </c>
    </row>
    <row r="16" spans="1:10" x14ac:dyDescent="0.25">
      <c r="A16" s="92" t="s">
        <v>211</v>
      </c>
      <c r="B16" s="93">
        <v>11</v>
      </c>
    </row>
    <row r="17" spans="1:4" x14ac:dyDescent="0.25">
      <c r="A17" s="92" t="s">
        <v>212</v>
      </c>
      <c r="B17" s="93">
        <v>15</v>
      </c>
    </row>
    <row r="18" spans="1:4" x14ac:dyDescent="0.25">
      <c r="A18" s="92" t="s">
        <v>213</v>
      </c>
      <c r="B18" s="93">
        <v>21</v>
      </c>
    </row>
    <row r="19" spans="1:4" x14ac:dyDescent="0.25">
      <c r="A19" s="92" t="s">
        <v>214</v>
      </c>
      <c r="B19" s="93">
        <v>1</v>
      </c>
    </row>
    <row r="20" spans="1:4" x14ac:dyDescent="0.25">
      <c r="A20" s="92" t="s">
        <v>215</v>
      </c>
      <c r="B20" s="93">
        <v>0</v>
      </c>
    </row>
    <row r="21" spans="1:4" x14ac:dyDescent="0.25">
      <c r="A21" s="92" t="s">
        <v>216</v>
      </c>
      <c r="B21" s="93">
        <v>0</v>
      </c>
      <c r="C21" s="9"/>
      <c r="D21" s="9"/>
    </row>
    <row r="22" spans="1:4" x14ac:dyDescent="0.25">
      <c r="A22" s="92" t="s">
        <v>217</v>
      </c>
      <c r="B22" s="93">
        <v>0</v>
      </c>
    </row>
    <row r="23" spans="1:4" ht="15.75" thickBot="1" x14ac:dyDescent="0.3">
      <c r="A23" s="94" t="s">
        <v>97</v>
      </c>
      <c r="B23" s="95">
        <f>SUM(B11:B22)</f>
        <v>69</v>
      </c>
    </row>
    <row r="24" spans="1:4" ht="15.75" thickBot="1" x14ac:dyDescent="0.3">
      <c r="A24" s="49"/>
      <c r="B24" s="49"/>
    </row>
    <row r="25" spans="1:4" ht="15.75" thickBot="1" x14ac:dyDescent="0.3">
      <c r="A25" s="241" t="s">
        <v>119</v>
      </c>
      <c r="B25" s="242">
        <v>3.45</v>
      </c>
    </row>
    <row r="26" spans="1:4" x14ac:dyDescent="0.25">
      <c r="A26" s="49"/>
      <c r="B26" s="49"/>
    </row>
    <row r="27" spans="1:4" x14ac:dyDescent="0.25">
      <c r="A27" s="49"/>
      <c r="B27" s="49"/>
    </row>
    <row r="28" spans="1:4" x14ac:dyDescent="0.25">
      <c r="A28" s="49"/>
      <c r="B28" s="49"/>
    </row>
    <row r="29" spans="1:4" x14ac:dyDescent="0.25">
      <c r="A29" s="376"/>
      <c r="B29" s="376"/>
    </row>
    <row r="30" spans="1:4" x14ac:dyDescent="0.25">
      <c r="A30" s="376"/>
      <c r="B30" s="416"/>
    </row>
    <row r="31" spans="1:4" x14ac:dyDescent="0.25">
      <c r="A31" s="49"/>
      <c r="B31" s="49"/>
    </row>
  </sheetData>
  <mergeCells count="10">
    <mergeCell ref="A9:B9"/>
    <mergeCell ref="A29:B29"/>
    <mergeCell ref="A30:B30"/>
    <mergeCell ref="A5:B5"/>
    <mergeCell ref="A6:B6"/>
    <mergeCell ref="A1:B1"/>
    <mergeCell ref="A2:B2"/>
    <mergeCell ref="A3:B3"/>
    <mergeCell ref="A4:B4"/>
    <mergeCell ref="A8:B8"/>
  </mergeCells>
  <printOptions horizontalCentered="1"/>
  <pageMargins left="0.70866141732283472" right="0.70866141732283472" top="0.74803149606299213" bottom="0.74803149606299213" header="0" footer="0"/>
  <pageSetup paperSize="41"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A21" sqref="A21:B21"/>
    </sheetView>
  </sheetViews>
  <sheetFormatPr baseColWidth="10" defaultColWidth="11.42578125" defaultRowHeight="15" x14ac:dyDescent="0.25"/>
  <cols>
    <col min="1" max="1" width="48.28515625" customWidth="1"/>
    <col min="2" max="2" width="52.28515625" customWidth="1"/>
    <col min="3" max="3" width="39" customWidth="1"/>
  </cols>
  <sheetData>
    <row r="1" spans="1:2" x14ac:dyDescent="0.25">
      <c r="A1" s="376" t="s">
        <v>0</v>
      </c>
      <c r="B1" s="376"/>
    </row>
    <row r="2" spans="1:2" x14ac:dyDescent="0.25">
      <c r="A2" s="376" t="s">
        <v>307</v>
      </c>
      <c r="B2" s="376"/>
    </row>
    <row r="3" spans="1:2" x14ac:dyDescent="0.25">
      <c r="A3" s="376" t="s">
        <v>273</v>
      </c>
      <c r="B3" s="376"/>
    </row>
    <row r="4" spans="1:2" x14ac:dyDescent="0.25">
      <c r="A4" s="376" t="s">
        <v>347</v>
      </c>
      <c r="B4" s="376"/>
    </row>
    <row r="5" spans="1:2" x14ac:dyDescent="0.25">
      <c r="A5" s="49"/>
      <c r="B5" s="49"/>
    </row>
    <row r="6" spans="1:2" ht="15.75" customHeight="1" x14ac:dyDescent="0.25">
      <c r="A6" s="427" t="s">
        <v>354</v>
      </c>
      <c r="B6" s="428"/>
    </row>
    <row r="7" spans="1:2" x14ac:dyDescent="0.25">
      <c r="A7" s="110" t="s">
        <v>219</v>
      </c>
      <c r="B7" s="50" t="s">
        <v>232</v>
      </c>
    </row>
    <row r="8" spans="1:2" x14ac:dyDescent="0.25">
      <c r="A8" s="147" t="s">
        <v>325</v>
      </c>
      <c r="B8" s="225">
        <v>1</v>
      </c>
    </row>
    <row r="9" spans="1:2" x14ac:dyDescent="0.25">
      <c r="A9" s="147" t="s">
        <v>341</v>
      </c>
      <c r="B9" s="225">
        <v>1.5</v>
      </c>
    </row>
    <row r="10" spans="1:2" x14ac:dyDescent="0.25">
      <c r="A10" s="147" t="s">
        <v>233</v>
      </c>
      <c r="B10" s="225">
        <v>2</v>
      </c>
    </row>
    <row r="11" spans="1:2" x14ac:dyDescent="0.25">
      <c r="A11" s="147" t="s">
        <v>326</v>
      </c>
      <c r="B11" s="225">
        <v>4</v>
      </c>
    </row>
    <row r="12" spans="1:2" x14ac:dyDescent="0.25">
      <c r="A12" s="224" t="s">
        <v>434</v>
      </c>
      <c r="B12" s="225">
        <v>0.5</v>
      </c>
    </row>
    <row r="13" spans="1:2" x14ac:dyDescent="0.25">
      <c r="A13" s="147" t="s">
        <v>445</v>
      </c>
      <c r="B13" s="225">
        <v>1</v>
      </c>
    </row>
    <row r="14" spans="1:2" x14ac:dyDescent="0.25">
      <c r="A14" s="147" t="s">
        <v>342</v>
      </c>
      <c r="B14" s="225">
        <v>1</v>
      </c>
    </row>
    <row r="15" spans="1:2" x14ac:dyDescent="0.25">
      <c r="A15" s="147" t="s">
        <v>327</v>
      </c>
      <c r="B15" s="225">
        <v>3.5</v>
      </c>
    </row>
    <row r="16" spans="1:2" x14ac:dyDescent="0.25">
      <c r="A16" s="110" t="s">
        <v>97</v>
      </c>
      <c r="B16" s="50">
        <f>SUM(B8:B15)</f>
        <v>14.5</v>
      </c>
    </row>
    <row r="17" spans="1:2" x14ac:dyDescent="0.25">
      <c r="A17" s="49"/>
      <c r="B17" s="49"/>
    </row>
    <row r="18" spans="1:2" x14ac:dyDescent="0.25">
      <c r="A18" s="49"/>
      <c r="B18" s="49"/>
    </row>
    <row r="19" spans="1:2" x14ac:dyDescent="0.25">
      <c r="A19" s="49"/>
      <c r="B19" s="49"/>
    </row>
    <row r="20" spans="1:2" x14ac:dyDescent="0.25">
      <c r="A20" s="376"/>
      <c r="B20" s="376"/>
    </row>
    <row r="21" spans="1:2" x14ac:dyDescent="0.25">
      <c r="A21" s="376"/>
      <c r="B21" s="376"/>
    </row>
    <row r="22" spans="1:2" x14ac:dyDescent="0.25">
      <c r="A22" s="49"/>
      <c r="B22" s="49"/>
    </row>
  </sheetData>
  <mergeCells count="7">
    <mergeCell ref="A20:B20"/>
    <mergeCell ref="A21:B21"/>
    <mergeCell ref="A1:B1"/>
    <mergeCell ref="A3:B3"/>
    <mergeCell ref="A4:B4"/>
    <mergeCell ref="A2:B2"/>
    <mergeCell ref="A6:B6"/>
  </mergeCells>
  <printOptions horizontalCentered="1"/>
  <pageMargins left="0.70866141732283472" right="0.31496062992125984" top="0.74803149606299213" bottom="0.74803149606299213" header="0" footer="0.31496062992125984"/>
  <pageSetup paperSize="25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4" workbookViewId="0">
      <selection activeCell="A21" sqref="A21:E21"/>
    </sheetView>
  </sheetViews>
  <sheetFormatPr baseColWidth="10" defaultRowHeight="15" x14ac:dyDescent="0.25"/>
  <cols>
    <col min="1" max="1" width="45.5703125" bestFit="1" customWidth="1"/>
    <col min="2" max="4" width="18" customWidth="1"/>
    <col min="5" max="5" width="18.140625" style="6" customWidth="1"/>
  </cols>
  <sheetData>
    <row r="1" spans="1:5" x14ac:dyDescent="0.25">
      <c r="A1" s="391" t="s">
        <v>238</v>
      </c>
      <c r="B1" s="391"/>
      <c r="C1" s="391"/>
      <c r="D1" s="391"/>
      <c r="E1" s="391"/>
    </row>
    <row r="2" spans="1:5" x14ac:dyDescent="0.25">
      <c r="A2" s="391" t="s">
        <v>307</v>
      </c>
      <c r="B2" s="391"/>
      <c r="C2" s="391"/>
      <c r="D2" s="391"/>
      <c r="E2" s="391"/>
    </row>
    <row r="3" spans="1:5" x14ac:dyDescent="0.25">
      <c r="A3" s="391" t="s">
        <v>273</v>
      </c>
      <c r="B3" s="391"/>
      <c r="C3" s="391"/>
      <c r="D3" s="391"/>
      <c r="E3" s="391"/>
    </row>
    <row r="4" spans="1:5" x14ac:dyDescent="0.25">
      <c r="A4" s="391" t="s">
        <v>346</v>
      </c>
      <c r="B4" s="391"/>
      <c r="C4" s="391"/>
      <c r="D4" s="391"/>
      <c r="E4" s="391"/>
    </row>
    <row r="5" spans="1:5" x14ac:dyDescent="0.25">
      <c r="A5" s="6"/>
      <c r="B5" s="6"/>
      <c r="C5" s="6"/>
      <c r="D5" s="6"/>
    </row>
    <row r="6" spans="1:5" x14ac:dyDescent="0.25">
      <c r="A6" s="391" t="s">
        <v>356</v>
      </c>
      <c r="B6" s="391"/>
      <c r="C6" s="391"/>
      <c r="D6" s="391"/>
      <c r="E6" s="391"/>
    </row>
    <row r="8" spans="1:5" x14ac:dyDescent="0.25">
      <c r="A8" s="155" t="s">
        <v>274</v>
      </c>
      <c r="B8" s="129" t="s">
        <v>299</v>
      </c>
      <c r="C8" s="129" t="s">
        <v>300</v>
      </c>
      <c r="D8" s="129" t="s">
        <v>357</v>
      </c>
      <c r="E8" s="129" t="s">
        <v>97</v>
      </c>
    </row>
    <row r="9" spans="1:5" x14ac:dyDescent="0.25">
      <c r="A9" s="26" t="s">
        <v>319</v>
      </c>
      <c r="B9" s="225">
        <v>101</v>
      </c>
      <c r="C9" s="225">
        <f>75+85+59</f>
        <v>219</v>
      </c>
      <c r="D9" s="225">
        <f>94+196</f>
        <v>290</v>
      </c>
      <c r="E9" s="129">
        <f>SUM(B9:D9)</f>
        <v>610</v>
      </c>
    </row>
    <row r="10" spans="1:5" x14ac:dyDescent="0.25">
      <c r="A10" s="26" t="s">
        <v>320</v>
      </c>
      <c r="B10" s="225">
        <v>92</v>
      </c>
      <c r="C10" s="225">
        <f>64+64+58</f>
        <v>186</v>
      </c>
      <c r="D10" s="225">
        <v>50</v>
      </c>
      <c r="E10" s="129">
        <f t="shared" ref="E10:E15" si="0">SUM(B10:D10)</f>
        <v>328</v>
      </c>
    </row>
    <row r="11" spans="1:5" x14ac:dyDescent="0.25">
      <c r="A11" s="26" t="s">
        <v>321</v>
      </c>
      <c r="B11" s="225">
        <v>100</v>
      </c>
      <c r="C11" s="225">
        <f>85+86+62</f>
        <v>233</v>
      </c>
      <c r="D11" s="225">
        <v>69</v>
      </c>
      <c r="E11" s="129">
        <f t="shared" si="0"/>
        <v>402</v>
      </c>
    </row>
    <row r="12" spans="1:5" x14ac:dyDescent="0.25">
      <c r="A12" s="26" t="s">
        <v>435</v>
      </c>
      <c r="B12" s="225">
        <v>0</v>
      </c>
      <c r="C12" s="225">
        <f>24+99+109</f>
        <v>232</v>
      </c>
      <c r="D12" s="225">
        <f>105+113</f>
        <v>218</v>
      </c>
      <c r="E12" s="129">
        <f t="shared" si="0"/>
        <v>450</v>
      </c>
    </row>
    <row r="13" spans="1:5" x14ac:dyDescent="0.25">
      <c r="A13" s="26" t="s">
        <v>322</v>
      </c>
      <c r="B13" s="225">
        <v>24</v>
      </c>
      <c r="C13" s="225">
        <f>32+52+51</f>
        <v>135</v>
      </c>
      <c r="D13" s="225">
        <f>58+68</f>
        <v>126</v>
      </c>
      <c r="E13" s="129">
        <f t="shared" si="0"/>
        <v>285</v>
      </c>
    </row>
    <row r="14" spans="1:5" x14ac:dyDescent="0.25">
      <c r="A14" s="26" t="s">
        <v>323</v>
      </c>
      <c r="B14" s="225">
        <v>162</v>
      </c>
      <c r="C14" s="225">
        <v>94</v>
      </c>
      <c r="D14" s="225">
        <v>0</v>
      </c>
      <c r="E14" s="129">
        <f t="shared" si="0"/>
        <v>256</v>
      </c>
    </row>
    <row r="15" spans="1:5" x14ac:dyDescent="0.25">
      <c r="A15" s="26" t="s">
        <v>324</v>
      </c>
      <c r="B15" s="225">
        <v>29</v>
      </c>
      <c r="C15" s="225">
        <f>28+26+34</f>
        <v>88</v>
      </c>
      <c r="D15" s="225">
        <f>31+26</f>
        <v>57</v>
      </c>
      <c r="E15" s="129">
        <f t="shared" si="0"/>
        <v>174</v>
      </c>
    </row>
    <row r="16" spans="1:5" s="14" customFormat="1" x14ac:dyDescent="0.25">
      <c r="A16" s="129"/>
      <c r="B16" s="129">
        <f>SUM(B9:B15)</f>
        <v>508</v>
      </c>
      <c r="C16" s="129">
        <f t="shared" ref="C16:D16" si="1">SUM(C9:C15)</f>
        <v>1187</v>
      </c>
      <c r="D16" s="129">
        <f t="shared" si="1"/>
        <v>810</v>
      </c>
      <c r="E16" s="129">
        <f>SUM(E9:E15)</f>
        <v>2505</v>
      </c>
    </row>
    <row r="18" spans="1:5" x14ac:dyDescent="0.25">
      <c r="E18" s="14"/>
    </row>
    <row r="19" spans="1:5" x14ac:dyDescent="0.25">
      <c r="E19" s="14"/>
    </row>
    <row r="20" spans="1:5" x14ac:dyDescent="0.25">
      <c r="A20" s="391"/>
      <c r="B20" s="391"/>
      <c r="C20" s="391"/>
      <c r="D20" s="391"/>
      <c r="E20" s="391"/>
    </row>
    <row r="21" spans="1:5" x14ac:dyDescent="0.25">
      <c r="A21" s="391"/>
      <c r="B21" s="391"/>
      <c r="C21" s="391"/>
      <c r="D21" s="391"/>
      <c r="E21" s="391"/>
    </row>
  </sheetData>
  <mergeCells count="7">
    <mergeCell ref="A21:E21"/>
    <mergeCell ref="A1:E1"/>
    <mergeCell ref="A2:E2"/>
    <mergeCell ref="A4:E4"/>
    <mergeCell ref="A6:E6"/>
    <mergeCell ref="A20:E20"/>
    <mergeCell ref="A3:E3"/>
  </mergeCells>
  <pageMargins left="0.7" right="0.7" top="0.75" bottom="0.75" header="0.3" footer="0.3"/>
  <pageSetup orientation="portrait" horizontalDpi="0" verticalDpi="0" r:id="rId1"/>
  <ignoredErrors>
    <ignoredError sqref="D13" formula="1"/>
  </ignoredError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opLeftCell="A10" zoomScaleNormal="100" workbookViewId="0">
      <selection activeCell="A28" sqref="A28:B28"/>
    </sheetView>
  </sheetViews>
  <sheetFormatPr baseColWidth="10" defaultColWidth="11.42578125" defaultRowHeight="15" x14ac:dyDescent="0.25"/>
  <cols>
    <col min="1" max="1" width="58.140625" customWidth="1"/>
    <col min="2" max="2" width="44.7109375" customWidth="1"/>
    <col min="4" max="4" width="0" hidden="1" customWidth="1"/>
  </cols>
  <sheetData>
    <row r="1" spans="1:4" x14ac:dyDescent="0.25">
      <c r="A1" s="376" t="s">
        <v>0</v>
      </c>
      <c r="B1" s="376"/>
    </row>
    <row r="2" spans="1:4" x14ac:dyDescent="0.25">
      <c r="A2" s="376" t="s">
        <v>307</v>
      </c>
      <c r="B2" s="376"/>
    </row>
    <row r="3" spans="1:4" x14ac:dyDescent="0.25">
      <c r="A3" s="376" t="s">
        <v>273</v>
      </c>
      <c r="B3" s="376"/>
    </row>
    <row r="4" spans="1:4" x14ac:dyDescent="0.25">
      <c r="A4" s="376" t="s">
        <v>347</v>
      </c>
      <c r="B4" s="376"/>
    </row>
    <row r="5" spans="1:4" x14ac:dyDescent="0.25">
      <c r="A5" s="49"/>
      <c r="B5" s="49"/>
    </row>
    <row r="6" spans="1:4" x14ac:dyDescent="0.25">
      <c r="A6" s="376" t="s">
        <v>247</v>
      </c>
      <c r="B6" s="376"/>
    </row>
    <row r="7" spans="1:4" ht="15.75" thickBot="1" x14ac:dyDescent="0.3">
      <c r="A7" s="49"/>
      <c r="B7" s="49"/>
    </row>
    <row r="8" spans="1:4" ht="30" customHeight="1" x14ac:dyDescent="0.25">
      <c r="A8" s="429" t="s">
        <v>352</v>
      </c>
      <c r="B8" s="430"/>
    </row>
    <row r="9" spans="1:4" x14ac:dyDescent="0.25">
      <c r="A9" s="431" t="s">
        <v>236</v>
      </c>
      <c r="B9" s="432"/>
    </row>
    <row r="10" spans="1:4" x14ac:dyDescent="0.25">
      <c r="A10" s="433" t="s">
        <v>234</v>
      </c>
      <c r="B10" s="434"/>
    </row>
    <row r="11" spans="1:4" ht="19.5" customHeight="1" x14ac:dyDescent="0.25">
      <c r="A11" s="228" t="s">
        <v>237</v>
      </c>
      <c r="B11" s="115">
        <f>'COMPLEMENTO AM-PM NP GDOS 4-5'!F382</f>
        <v>2621.21</v>
      </c>
      <c r="D11" s="144">
        <f>(B11*100)/B$14</f>
        <v>85.500075022669904</v>
      </c>
    </row>
    <row r="12" spans="1:4" x14ac:dyDescent="0.25">
      <c r="A12" s="229" t="s">
        <v>55</v>
      </c>
      <c r="B12" s="116">
        <f>SUM(B11:B11)</f>
        <v>2621.21</v>
      </c>
      <c r="D12" s="144">
        <f>(B12*100)/B$14</f>
        <v>85.500075022669904</v>
      </c>
    </row>
    <row r="13" spans="1:4" x14ac:dyDescent="0.25">
      <c r="A13" s="230" t="s">
        <v>235</v>
      </c>
      <c r="B13" s="116">
        <v>444.53</v>
      </c>
      <c r="D13" s="144">
        <f>(B13*100)/B$14</f>
        <v>14.499924977330107</v>
      </c>
    </row>
    <row r="14" spans="1:4" ht="15.75" thickBot="1" x14ac:dyDescent="0.3">
      <c r="A14" s="231" t="s">
        <v>97</v>
      </c>
      <c r="B14" s="117">
        <f>SUM(B12:B13)</f>
        <v>3065.74</v>
      </c>
      <c r="D14" s="144">
        <f>(B14*100)/B$14</f>
        <v>100.00000000000001</v>
      </c>
    </row>
    <row r="15" spans="1:4" x14ac:dyDescent="0.25">
      <c r="A15" s="235"/>
      <c r="B15" s="236"/>
      <c r="D15" s="144"/>
    </row>
    <row r="16" spans="1:4" ht="15.75" thickBot="1" x14ac:dyDescent="0.3">
      <c r="A16" s="235"/>
      <c r="B16" s="236"/>
      <c r="D16" s="144"/>
    </row>
    <row r="17" spans="1:4" ht="39.75" customHeight="1" x14ac:dyDescent="0.25">
      <c r="A17" s="429" t="s">
        <v>352</v>
      </c>
      <c r="B17" s="430"/>
      <c r="D17" s="144"/>
    </row>
    <row r="18" spans="1:4" x14ac:dyDescent="0.25">
      <c r="A18" s="431" t="s">
        <v>369</v>
      </c>
      <c r="B18" s="432"/>
      <c r="D18" s="144"/>
    </row>
    <row r="19" spans="1:4" x14ac:dyDescent="0.25">
      <c r="A19" s="433" t="s">
        <v>234</v>
      </c>
      <c r="B19" s="434"/>
      <c r="D19" s="144"/>
    </row>
    <row r="20" spans="1:4" x14ac:dyDescent="0.25">
      <c r="A20" s="228" t="s">
        <v>368</v>
      </c>
      <c r="B20" s="115">
        <f>'COMPLEMENTO RI NP GDOS 4-5'!F110</f>
        <v>3060.12</v>
      </c>
      <c r="D20" s="144"/>
    </row>
    <row r="21" spans="1:4" x14ac:dyDescent="0.25">
      <c r="A21" s="229" t="s">
        <v>55</v>
      </c>
      <c r="B21" s="116">
        <f>SUM(B20:B20)</f>
        <v>3060.12</v>
      </c>
      <c r="D21" s="144"/>
    </row>
    <row r="22" spans="1:4" x14ac:dyDescent="0.25">
      <c r="A22" s="230" t="s">
        <v>235</v>
      </c>
      <c r="B22" s="116">
        <v>518.97</v>
      </c>
      <c r="D22" s="144"/>
    </row>
    <row r="23" spans="1:4" ht="15.75" thickBot="1" x14ac:dyDescent="0.3">
      <c r="A23" s="231" t="s">
        <v>97</v>
      </c>
      <c r="B23" s="117">
        <f>SUM(B21:B22)</f>
        <v>3579.09</v>
      </c>
      <c r="D23" s="144"/>
    </row>
    <row r="24" spans="1:4" x14ac:dyDescent="0.25">
      <c r="A24" s="49"/>
      <c r="B24" s="49"/>
    </row>
    <row r="25" spans="1:4" x14ac:dyDescent="0.25">
      <c r="A25" s="49"/>
      <c r="B25" s="49"/>
    </row>
    <row r="26" spans="1:4" x14ac:dyDescent="0.25">
      <c r="A26" s="49"/>
      <c r="B26" s="49"/>
    </row>
    <row r="27" spans="1:4" x14ac:dyDescent="0.25">
      <c r="A27" s="376"/>
      <c r="B27" s="376"/>
    </row>
    <row r="28" spans="1:4" x14ac:dyDescent="0.25">
      <c r="A28" s="376"/>
      <c r="B28" s="376"/>
    </row>
  </sheetData>
  <mergeCells count="13">
    <mergeCell ref="A8:B8"/>
    <mergeCell ref="A9:B9"/>
    <mergeCell ref="A27:B27"/>
    <mergeCell ref="A28:B28"/>
    <mergeCell ref="A10:B10"/>
    <mergeCell ref="A17:B17"/>
    <mergeCell ref="A18:B18"/>
    <mergeCell ref="A19:B19"/>
    <mergeCell ref="A1:B1"/>
    <mergeCell ref="A2:B2"/>
    <mergeCell ref="A3:B3"/>
    <mergeCell ref="A4:B4"/>
    <mergeCell ref="A6:B6"/>
  </mergeCells>
  <printOptions horizontalCentered="1"/>
  <pageMargins left="0.70866141732283472" right="0.70866141732283472" top="0.74803149606299213" bottom="0.74803149606299213" header="0.31496062992125984" footer="0.31496062992125984"/>
  <pageSetup paperSize="258" scale="80" orientation="portrait" r:id="rId1"/>
  <headerFooter>
    <oddFooter>Página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topLeftCell="A22" zoomScale="90" zoomScaleNormal="90" workbookViewId="0">
      <selection activeCell="F35" sqref="F35"/>
    </sheetView>
  </sheetViews>
  <sheetFormatPr baseColWidth="10" defaultColWidth="10.7109375" defaultRowHeight="15" x14ac:dyDescent="0.25"/>
  <cols>
    <col min="1" max="1" width="43.42578125" customWidth="1"/>
    <col min="2" max="2" width="19.28515625" customWidth="1"/>
    <col min="3" max="3" width="18.28515625" customWidth="1"/>
    <col min="4" max="4" width="17.28515625" customWidth="1"/>
    <col min="5" max="5" width="20.7109375" customWidth="1"/>
    <col min="6" max="6" width="27.140625" customWidth="1"/>
    <col min="7" max="7" width="5.28515625" customWidth="1"/>
    <col min="8" max="8" width="19.7109375" hidden="1" customWidth="1"/>
    <col min="9" max="10" width="5.28515625" customWidth="1"/>
    <col min="11" max="11" width="24.42578125" customWidth="1"/>
  </cols>
  <sheetData>
    <row r="1" spans="1:6" x14ac:dyDescent="0.25">
      <c r="A1" s="376" t="s">
        <v>238</v>
      </c>
      <c r="B1" s="376"/>
      <c r="C1" s="376"/>
      <c r="D1" s="376"/>
      <c r="E1" s="376"/>
      <c r="F1" s="376"/>
    </row>
    <row r="2" spans="1:6" x14ac:dyDescent="0.25">
      <c r="A2" s="376" t="s">
        <v>307</v>
      </c>
      <c r="B2" s="376"/>
      <c r="C2" s="376"/>
      <c r="D2" s="376"/>
      <c r="E2" s="376"/>
      <c r="F2" s="376"/>
    </row>
    <row r="3" spans="1:6" x14ac:dyDescent="0.25">
      <c r="A3" s="376" t="s">
        <v>273</v>
      </c>
      <c r="B3" s="376"/>
      <c r="C3" s="376"/>
      <c r="D3" s="376"/>
      <c r="E3" s="376"/>
      <c r="F3" s="376"/>
    </row>
    <row r="4" spans="1:6" x14ac:dyDescent="0.25">
      <c r="A4" s="376" t="s">
        <v>346</v>
      </c>
      <c r="B4" s="376"/>
      <c r="C4" s="376"/>
      <c r="D4" s="376"/>
      <c r="E4" s="376"/>
      <c r="F4" s="376"/>
    </row>
    <row r="5" spans="1:6" x14ac:dyDescent="0.25">
      <c r="A5" s="46"/>
      <c r="B5" s="46"/>
      <c r="C5" s="46"/>
      <c r="D5" s="46"/>
      <c r="E5" s="46"/>
      <c r="F5" s="46"/>
    </row>
    <row r="6" spans="1:6" x14ac:dyDescent="0.25">
      <c r="A6" s="376" t="s">
        <v>246</v>
      </c>
      <c r="B6" s="376"/>
      <c r="C6" s="376"/>
      <c r="D6" s="376"/>
      <c r="E6" s="376"/>
      <c r="F6" s="376"/>
    </row>
    <row r="7" spans="1:6" x14ac:dyDescent="0.25">
      <c r="A7" s="49"/>
      <c r="B7" s="49"/>
      <c r="C7" s="49"/>
      <c r="D7" s="49"/>
      <c r="E7" s="49"/>
      <c r="F7" s="49"/>
    </row>
    <row r="8" spans="1:6" x14ac:dyDescent="0.25">
      <c r="A8" s="448" t="s">
        <v>355</v>
      </c>
      <c r="B8" s="448"/>
      <c r="C8" s="448"/>
      <c r="D8" s="448"/>
      <c r="E8" s="448"/>
      <c r="F8" s="448"/>
    </row>
    <row r="9" spans="1:6" ht="15.75" customHeight="1" x14ac:dyDescent="0.25">
      <c r="A9" s="449" t="s">
        <v>219</v>
      </c>
      <c r="B9" s="438" t="s">
        <v>443</v>
      </c>
      <c r="C9" s="439"/>
      <c r="D9" s="449" t="s">
        <v>131</v>
      </c>
      <c r="E9" s="449" t="s">
        <v>239</v>
      </c>
      <c r="F9" s="449" t="s">
        <v>240</v>
      </c>
    </row>
    <row r="10" spans="1:6" ht="15.75" customHeight="1" x14ac:dyDescent="0.25">
      <c r="A10" s="449"/>
      <c r="B10" s="440"/>
      <c r="C10" s="441"/>
      <c r="D10" s="449"/>
      <c r="E10" s="449"/>
      <c r="F10" s="449"/>
    </row>
    <row r="11" spans="1:6" x14ac:dyDescent="0.25">
      <c r="A11" s="24" t="s">
        <v>241</v>
      </c>
      <c r="B11" s="442">
        <f>'CALENDARIO 2023'!B23</f>
        <v>69</v>
      </c>
      <c r="C11" s="443"/>
      <c r="D11" s="111">
        <f>+'RESUMEN CUPOS'!E9+'RESUMEN CUPOS'!E10+'RESUMEN CUPOS'!E11+'RESUMEN CUPOS'!E12+'RESUMEN CUPOS'!E13+'RESUMEN CUPOS'!E15</f>
        <v>2249</v>
      </c>
      <c r="E11" s="112">
        <f>'VALOR RACIÓN 2023'!B14</f>
        <v>3065.74</v>
      </c>
      <c r="F11" s="82">
        <f>(E11*D11)*B11</f>
        <v>475744598.94</v>
      </c>
    </row>
    <row r="12" spans="1:6" x14ac:dyDescent="0.25">
      <c r="A12" s="24" t="s">
        <v>358</v>
      </c>
      <c r="B12" s="444"/>
      <c r="C12" s="445"/>
      <c r="D12" s="111">
        <f>+'RESUMEN CUPOS'!E14</f>
        <v>256</v>
      </c>
      <c r="E12" s="112">
        <f>'VALOR RACIÓN 2023'!B23</f>
        <v>3579.09</v>
      </c>
      <c r="F12" s="82">
        <f>(E12*D12)*B11</f>
        <v>63221045.760000005</v>
      </c>
    </row>
    <row r="13" spans="1:6" x14ac:dyDescent="0.25">
      <c r="A13" s="435" t="s">
        <v>242</v>
      </c>
      <c r="B13" s="436"/>
      <c r="C13" s="437"/>
      <c r="D13" s="111">
        <f>+D11+D12</f>
        <v>2505</v>
      </c>
      <c r="E13" s="112"/>
      <c r="F13" s="82"/>
    </row>
    <row r="14" spans="1:6" x14ac:dyDescent="0.25">
      <c r="A14" s="407" t="s">
        <v>243</v>
      </c>
      <c r="B14" s="407"/>
      <c r="C14" s="407"/>
      <c r="D14" s="407"/>
      <c r="E14" s="407"/>
      <c r="F14" s="82">
        <f>+F11+F12</f>
        <v>538965644.70000005</v>
      </c>
    </row>
    <row r="15" spans="1:6" x14ac:dyDescent="0.25">
      <c r="A15" s="450" t="s">
        <v>244</v>
      </c>
      <c r="B15" s="451"/>
      <c r="C15" s="451"/>
      <c r="D15" s="451"/>
      <c r="E15" s="451"/>
      <c r="F15" s="452"/>
    </row>
    <row r="16" spans="1:6" x14ac:dyDescent="0.25">
      <c r="A16" s="435" t="s">
        <v>359</v>
      </c>
      <c r="B16" s="436"/>
      <c r="C16" s="436"/>
      <c r="D16" s="436"/>
      <c r="E16" s="437"/>
      <c r="F16" s="25">
        <f>'SMMLV 2023'!B60</f>
        <v>67057500.960000001</v>
      </c>
    </row>
    <row r="17" spans="1:11" x14ac:dyDescent="0.25">
      <c r="A17" s="435" t="s">
        <v>360</v>
      </c>
      <c r="B17" s="436"/>
      <c r="C17" s="436"/>
      <c r="D17" s="436"/>
      <c r="E17" s="437"/>
      <c r="F17" s="25">
        <f>(TRANSPORTE!C14*'PRESUPUESTO 2023'!B11*'PRESUPUESTO 2023'!D13)+TRANSPORTE!H20</f>
        <v>12734979.25</v>
      </c>
    </row>
    <row r="18" spans="1:11" x14ac:dyDescent="0.25">
      <c r="A18" s="435" t="s">
        <v>361</v>
      </c>
      <c r="B18" s="436"/>
      <c r="C18" s="436"/>
      <c r="D18" s="436"/>
      <c r="E18" s="437"/>
      <c r="F18" s="25">
        <f>'SALARIOS RECURSO HUMANO'!E12</f>
        <v>31923848.57</v>
      </c>
    </row>
    <row r="19" spans="1:11" x14ac:dyDescent="0.25">
      <c r="A19" s="435" t="s">
        <v>362</v>
      </c>
      <c r="B19" s="436"/>
      <c r="C19" s="436"/>
      <c r="D19" s="436"/>
      <c r="E19" s="437"/>
      <c r="F19" s="25">
        <f>+DOTACION!G21</f>
        <v>9778673.8000000007</v>
      </c>
    </row>
    <row r="20" spans="1:11" x14ac:dyDescent="0.25">
      <c r="A20" s="435" t="s">
        <v>363</v>
      </c>
      <c r="B20" s="436"/>
      <c r="C20" s="436"/>
      <c r="D20" s="436"/>
      <c r="E20" s="437"/>
      <c r="F20" s="25">
        <f>+EXAMEN!G20</f>
        <v>1335833.1000000001</v>
      </c>
    </row>
    <row r="21" spans="1:11" x14ac:dyDescent="0.25">
      <c r="A21" s="435" t="s">
        <v>364</v>
      </c>
      <c r="B21" s="436"/>
      <c r="C21" s="436"/>
      <c r="D21" s="436"/>
      <c r="E21" s="437"/>
      <c r="F21" s="25">
        <f>+'ASEO RPS'!L22+'ASEO RI'!L19</f>
        <v>5341826.09</v>
      </c>
    </row>
    <row r="22" spans="1:11" x14ac:dyDescent="0.25">
      <c r="A22" s="435" t="s">
        <v>365</v>
      </c>
      <c r="B22" s="436"/>
      <c r="C22" s="436"/>
      <c r="D22" s="436"/>
      <c r="E22" s="437"/>
      <c r="F22" s="25">
        <f>'COMBUSTIBLE-SEDES'!L20*B11*D11</f>
        <v>3856247.85</v>
      </c>
    </row>
    <row r="23" spans="1:11" x14ac:dyDescent="0.25">
      <c r="A23" s="453" t="s">
        <v>284</v>
      </c>
      <c r="B23" s="454"/>
      <c r="C23" s="454"/>
      <c r="D23" s="454"/>
      <c r="E23" s="455"/>
      <c r="F23" s="82">
        <f>SUM(F16:F22)</f>
        <v>132028909.61999999</v>
      </c>
      <c r="G23" s="11"/>
    </row>
    <row r="24" spans="1:11" x14ac:dyDescent="0.25">
      <c r="A24" s="435" t="s">
        <v>485</v>
      </c>
      <c r="B24" s="436"/>
      <c r="C24" s="436"/>
      <c r="D24" s="436"/>
      <c r="E24" s="437"/>
      <c r="F24" s="113">
        <v>22390867.710000001</v>
      </c>
    </row>
    <row r="25" spans="1:11" x14ac:dyDescent="0.25">
      <c r="A25" s="392" t="s">
        <v>285</v>
      </c>
      <c r="B25" s="393"/>
      <c r="C25" s="393"/>
      <c r="D25" s="393"/>
      <c r="E25" s="394"/>
      <c r="F25" s="82">
        <f>F14+F23+F24</f>
        <v>693385422.03000009</v>
      </c>
      <c r="G25" s="12"/>
    </row>
    <row r="26" spans="1:11" x14ac:dyDescent="0.25">
      <c r="A26" s="435" t="s">
        <v>478</v>
      </c>
      <c r="B26" s="436"/>
      <c r="C26" s="436"/>
      <c r="D26" s="436"/>
      <c r="E26" s="437"/>
      <c r="F26" s="25">
        <f>ROUND(((F25*3)/100),2)</f>
        <v>20801562.66</v>
      </c>
      <c r="G26" s="12"/>
    </row>
    <row r="27" spans="1:11" x14ac:dyDescent="0.25">
      <c r="A27" s="435" t="s">
        <v>489</v>
      </c>
      <c r="B27" s="436"/>
      <c r="C27" s="436"/>
      <c r="D27" s="436"/>
      <c r="E27" s="437"/>
      <c r="F27" s="25">
        <f>ROUND(((F25*1.33909497)/100),2)</f>
        <v>9285089.3100000005</v>
      </c>
    </row>
    <row r="28" spans="1:11" x14ac:dyDescent="0.25">
      <c r="A28" s="392" t="s">
        <v>286</v>
      </c>
      <c r="B28" s="393"/>
      <c r="C28" s="393"/>
      <c r="D28" s="393"/>
      <c r="E28" s="394"/>
      <c r="F28" s="82">
        <f>F27+F26</f>
        <v>30086651.969999999</v>
      </c>
    </row>
    <row r="29" spans="1:11" x14ac:dyDescent="0.25">
      <c r="A29" s="447" t="s">
        <v>287</v>
      </c>
      <c r="B29" s="447"/>
      <c r="C29" s="447"/>
      <c r="D29" s="447"/>
      <c r="E29" s="447"/>
      <c r="F29" s="252">
        <f>+F25+F28</f>
        <v>723472074.00000012</v>
      </c>
      <c r="G29" s="12"/>
      <c r="H29" s="12">
        <v>412032000</v>
      </c>
    </row>
    <row r="30" spans="1:11" x14ac:dyDescent="0.25">
      <c r="A30" s="446" t="s">
        <v>440</v>
      </c>
      <c r="B30" s="419"/>
      <c r="C30" s="419"/>
      <c r="D30" s="419"/>
      <c r="E30" s="420"/>
      <c r="F30" s="192">
        <v>723472074</v>
      </c>
      <c r="G30" s="12"/>
      <c r="H30" s="12"/>
      <c r="K30" s="3">
        <f>+K32-F29</f>
        <v>0</v>
      </c>
    </row>
    <row r="31" spans="1:11" x14ac:dyDescent="0.25">
      <c r="A31" s="435" t="s">
        <v>306</v>
      </c>
      <c r="B31" s="436"/>
      <c r="C31" s="436"/>
      <c r="D31" s="436"/>
      <c r="E31" s="437"/>
      <c r="F31" s="25">
        <f>'EQUIPO PAE'!F10</f>
        <v>20000000</v>
      </c>
      <c r="K31" s="10"/>
    </row>
    <row r="32" spans="1:11" x14ac:dyDescent="0.25">
      <c r="A32" s="407" t="s">
        <v>367</v>
      </c>
      <c r="B32" s="407"/>
      <c r="C32" s="407"/>
      <c r="D32" s="407"/>
      <c r="E32" s="407"/>
      <c r="F32" s="82">
        <f>+F29+F31</f>
        <v>743472074.00000012</v>
      </c>
      <c r="H32" s="3">
        <f>H29-F29</f>
        <v>-311440074.00000012</v>
      </c>
      <c r="K32" s="291">
        <v>723472074</v>
      </c>
    </row>
    <row r="33" spans="1:11" x14ac:dyDescent="0.25">
      <c r="A33" s="49"/>
      <c r="B33" s="49"/>
      <c r="C33" s="49"/>
      <c r="D33" s="49"/>
      <c r="E33" s="49"/>
      <c r="F33" s="49"/>
      <c r="K33" s="3">
        <f>+F30</f>
        <v>723472074</v>
      </c>
    </row>
    <row r="34" spans="1:11" x14ac:dyDescent="0.25">
      <c r="A34" s="49"/>
      <c r="B34" s="49"/>
      <c r="C34" s="49"/>
      <c r="D34" s="49"/>
      <c r="E34" s="49"/>
      <c r="F34" s="114"/>
      <c r="J34" s="114"/>
    </row>
    <row r="35" spans="1:11" x14ac:dyDescent="0.25">
      <c r="A35" s="49"/>
      <c r="B35" s="49"/>
      <c r="C35" s="49"/>
      <c r="D35" s="49"/>
      <c r="E35" s="49"/>
      <c r="F35" s="114"/>
      <c r="J35" s="114"/>
      <c r="K35" s="3">
        <f>K33-K32</f>
        <v>0</v>
      </c>
    </row>
    <row r="36" spans="1:11" x14ac:dyDescent="0.25">
      <c r="A36" s="376"/>
      <c r="B36" s="376"/>
      <c r="C36" s="376"/>
      <c r="D36" s="376"/>
      <c r="E36" s="376"/>
      <c r="F36" s="376"/>
    </row>
    <row r="37" spans="1:11" x14ac:dyDescent="0.25">
      <c r="A37" s="376"/>
      <c r="B37" s="376"/>
      <c r="C37" s="376"/>
      <c r="D37" s="376"/>
      <c r="E37" s="376"/>
      <c r="F37" s="376"/>
      <c r="J37" s="143"/>
    </row>
    <row r="38" spans="1:11" x14ac:dyDescent="0.25">
      <c r="A38" s="48"/>
      <c r="B38" s="48"/>
      <c r="C38" s="48"/>
      <c r="D38" s="48"/>
      <c r="E38" s="48"/>
      <c r="F38" s="47"/>
    </row>
    <row r="39" spans="1:11" x14ac:dyDescent="0.25">
      <c r="F39" s="3"/>
    </row>
    <row r="41" spans="1:11" x14ac:dyDescent="0.25">
      <c r="F41" s="3"/>
    </row>
    <row r="42" spans="1:11" x14ac:dyDescent="0.25">
      <c r="F42" s="3"/>
    </row>
    <row r="43" spans="1:11" x14ac:dyDescent="0.25">
      <c r="F43" s="3"/>
    </row>
    <row r="44" spans="1:11" x14ac:dyDescent="0.25">
      <c r="F44" s="3"/>
    </row>
  </sheetData>
  <mergeCells count="34">
    <mergeCell ref="A36:F36"/>
    <mergeCell ref="A37:F37"/>
    <mergeCell ref="A6:F6"/>
    <mergeCell ref="F9:F10"/>
    <mergeCell ref="A13:C13"/>
    <mergeCell ref="A9:A10"/>
    <mergeCell ref="D9:D10"/>
    <mergeCell ref="E9:E10"/>
    <mergeCell ref="A14:E14"/>
    <mergeCell ref="A15:F15"/>
    <mergeCell ref="A23:E23"/>
    <mergeCell ref="A32:E32"/>
    <mergeCell ref="A18:E18"/>
    <mergeCell ref="A21:E21"/>
    <mergeCell ref="A19:E19"/>
    <mergeCell ref="A20:E20"/>
    <mergeCell ref="A1:F1"/>
    <mergeCell ref="A2:F2"/>
    <mergeCell ref="A3:F3"/>
    <mergeCell ref="A4:F4"/>
    <mergeCell ref="A8:F8"/>
    <mergeCell ref="A31:E31"/>
    <mergeCell ref="B9:C10"/>
    <mergeCell ref="B11:C12"/>
    <mergeCell ref="A16:E16"/>
    <mergeCell ref="A17:E17"/>
    <mergeCell ref="A30:E30"/>
    <mergeCell ref="A22:E22"/>
    <mergeCell ref="A29:E29"/>
    <mergeCell ref="A26:E26"/>
    <mergeCell ref="A27:E27"/>
    <mergeCell ref="A24:E24"/>
    <mergeCell ref="A25:E25"/>
    <mergeCell ref="A28:E28"/>
  </mergeCells>
  <printOptions horizontalCentered="1"/>
  <pageMargins left="0.11811023622047245" right="0.51181102362204722" top="0.39370078740157483" bottom="0.39370078740157483" header="0.31496062992125984" footer="0.31496062992125984"/>
  <pageSetup paperSize="258" fitToHeight="6" orientation="landscape" r:id="rId1"/>
  <headerFooter>
    <oddFooter>Página &amp;P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5" workbookViewId="0">
      <selection activeCell="A26" sqref="A26:C26"/>
    </sheetView>
  </sheetViews>
  <sheetFormatPr baseColWidth="10" defaultRowHeight="15" x14ac:dyDescent="0.25"/>
  <cols>
    <col min="1" max="2" width="43.7109375" customWidth="1"/>
    <col min="3" max="3" width="43.140625" customWidth="1"/>
    <col min="5" max="5" width="19.5703125" hidden="1" customWidth="1"/>
  </cols>
  <sheetData>
    <row r="1" spans="1:5" x14ac:dyDescent="0.25">
      <c r="A1" s="376" t="s">
        <v>0</v>
      </c>
      <c r="B1" s="376"/>
      <c r="C1" s="376"/>
    </row>
    <row r="2" spans="1:5" x14ac:dyDescent="0.25">
      <c r="A2" s="376" t="s">
        <v>307</v>
      </c>
      <c r="B2" s="376"/>
      <c r="C2" s="376"/>
    </row>
    <row r="3" spans="1:5" x14ac:dyDescent="0.25">
      <c r="A3" s="376" t="s">
        <v>273</v>
      </c>
      <c r="B3" s="376"/>
      <c r="C3" s="376"/>
    </row>
    <row r="4" spans="1:5" x14ac:dyDescent="0.25">
      <c r="A4" s="376" t="s">
        <v>347</v>
      </c>
      <c r="B4" s="376"/>
      <c r="C4" s="376"/>
    </row>
    <row r="5" spans="1:5" ht="15.75" thickBot="1" x14ac:dyDescent="0.3"/>
    <row r="6" spans="1:5" x14ac:dyDescent="0.25">
      <c r="A6" s="467" t="s">
        <v>487</v>
      </c>
      <c r="B6" s="468"/>
      <c r="C6" s="469"/>
    </row>
    <row r="7" spans="1:5" x14ac:dyDescent="0.25">
      <c r="A7" s="459"/>
      <c r="B7" s="460"/>
      <c r="C7" s="461"/>
    </row>
    <row r="8" spans="1:5" ht="30" x14ac:dyDescent="0.25">
      <c r="A8" s="145" t="s">
        <v>263</v>
      </c>
      <c r="B8" s="470">
        <v>0.03</v>
      </c>
      <c r="C8" s="473">
        <f>'PRESUPUESTO 2023'!F26</f>
        <v>20801562.66</v>
      </c>
    </row>
    <row r="9" spans="1:5" ht="77.25" customHeight="1" x14ac:dyDescent="0.25">
      <c r="A9" s="146" t="s">
        <v>266</v>
      </c>
      <c r="B9" s="471"/>
      <c r="C9" s="474"/>
      <c r="E9" s="10">
        <f>'PRESUPUESTO 2023'!F26</f>
        <v>20801562.66</v>
      </c>
    </row>
    <row r="10" spans="1:5" ht="91.5" customHeight="1" x14ac:dyDescent="0.25">
      <c r="A10" s="145" t="s">
        <v>288</v>
      </c>
      <c r="B10" s="471"/>
      <c r="C10" s="474"/>
    </row>
    <row r="11" spans="1:5" ht="29.25" customHeight="1" x14ac:dyDescent="0.25">
      <c r="A11" s="145" t="s">
        <v>264</v>
      </c>
      <c r="B11" s="471"/>
      <c r="C11" s="474"/>
      <c r="E11" s="10">
        <f>(E9*1.5)/5</f>
        <v>6240468.7980000004</v>
      </c>
    </row>
    <row r="12" spans="1:5" ht="60" x14ac:dyDescent="0.25">
      <c r="A12" s="145" t="s">
        <v>265</v>
      </c>
      <c r="B12" s="471"/>
      <c r="C12" s="474"/>
      <c r="E12" s="10">
        <f>(E9*0.5)/5</f>
        <v>2080156.2660000001</v>
      </c>
    </row>
    <row r="13" spans="1:5" ht="45" x14ac:dyDescent="0.25">
      <c r="A13" s="145" t="s">
        <v>289</v>
      </c>
      <c r="B13" s="472"/>
      <c r="C13" s="475"/>
    </row>
    <row r="14" spans="1:5" ht="129" customHeight="1" thickBot="1" x14ac:dyDescent="0.3">
      <c r="A14" s="456" t="s">
        <v>488</v>
      </c>
      <c r="B14" s="457"/>
      <c r="C14" s="458"/>
    </row>
    <row r="15" spans="1:5" ht="15.75" thickBot="1" x14ac:dyDescent="0.3"/>
    <row r="16" spans="1:5" x14ac:dyDescent="0.25">
      <c r="A16" s="467" t="s">
        <v>490</v>
      </c>
      <c r="B16" s="468"/>
      <c r="C16" s="469"/>
    </row>
    <row r="17" spans="1:5" x14ac:dyDescent="0.25">
      <c r="A17" s="462"/>
      <c r="B17" s="463"/>
      <c r="C17" s="464"/>
    </row>
    <row r="18" spans="1:5" ht="30" x14ac:dyDescent="0.25">
      <c r="A18" s="145" t="s">
        <v>267</v>
      </c>
      <c r="B18" s="465">
        <v>1.33909497E-2</v>
      </c>
      <c r="C18" s="466">
        <f>'PRESUPUESTO 2023'!F27</f>
        <v>9285089.3100000005</v>
      </c>
      <c r="E18" s="10">
        <f>'PRESUPUESTO 2023'!F27</f>
        <v>9285089.3100000005</v>
      </c>
    </row>
    <row r="19" spans="1:5" ht="45" x14ac:dyDescent="0.25">
      <c r="A19" s="145" t="s">
        <v>268</v>
      </c>
      <c r="B19" s="465"/>
      <c r="C19" s="466"/>
    </row>
    <row r="20" spans="1:5" x14ac:dyDescent="0.25">
      <c r="A20" s="147" t="s">
        <v>269</v>
      </c>
      <c r="B20" s="465"/>
      <c r="C20" s="466"/>
    </row>
    <row r="21" spans="1:5" ht="58.5" customHeight="1" thickBot="1" x14ac:dyDescent="0.3">
      <c r="A21" s="456" t="s">
        <v>270</v>
      </c>
      <c r="B21" s="457"/>
      <c r="C21" s="458"/>
    </row>
    <row r="25" spans="1:5" x14ac:dyDescent="0.25">
      <c r="A25" s="391"/>
      <c r="B25" s="391"/>
      <c r="C25" s="391"/>
      <c r="D25" s="6"/>
      <c r="E25" s="6"/>
    </row>
    <row r="26" spans="1:5" x14ac:dyDescent="0.25">
      <c r="A26" s="391"/>
      <c r="B26" s="391"/>
      <c r="C26" s="391"/>
      <c r="D26" s="6"/>
      <c r="E26" s="6"/>
    </row>
  </sheetData>
  <mergeCells count="16">
    <mergeCell ref="A1:C1"/>
    <mergeCell ref="A2:C2"/>
    <mergeCell ref="A3:C3"/>
    <mergeCell ref="A4:C4"/>
    <mergeCell ref="A6:C6"/>
    <mergeCell ref="A25:C25"/>
    <mergeCell ref="A26:C26"/>
    <mergeCell ref="A21:C21"/>
    <mergeCell ref="A7:C7"/>
    <mergeCell ref="A17:C17"/>
    <mergeCell ref="B18:B20"/>
    <mergeCell ref="C18:C20"/>
    <mergeCell ref="A16:C16"/>
    <mergeCell ref="A14:C14"/>
    <mergeCell ref="B8:B13"/>
    <mergeCell ref="C8:C13"/>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25</vt:i4>
      </vt:variant>
    </vt:vector>
  </HeadingPairs>
  <TitlesOfParts>
    <vt:vector size="49" baseType="lpstr">
      <vt:lpstr>PROMEDIO COTIZACION</vt:lpstr>
      <vt:lpstr>COMPLEMENTO AM-PM NIVEL PREESC</vt:lpstr>
      <vt:lpstr>COMPLEMENTO AM-PM NP GDOS 1-3</vt:lpstr>
      <vt:lpstr>COMPLEMENTO AM-PM NP GDOS 4-5</vt:lpstr>
      <vt:lpstr>COMPLEMENTO RI NI PREESC</vt:lpstr>
      <vt:lpstr>COMPLEMENTO RI NP GDOS 1-3</vt:lpstr>
      <vt:lpstr>COMPLEMENTO RI NP GDOS 4-5</vt:lpstr>
      <vt:lpstr>N° LITROS</vt:lpstr>
      <vt:lpstr>ASEO RPS</vt:lpstr>
      <vt:lpstr>ASEO RI</vt:lpstr>
      <vt:lpstr>COMBUSTIBLE-SEDES</vt:lpstr>
      <vt:lpstr>N°MANIPULADORES</vt:lpstr>
      <vt:lpstr>SMMLV 2023</vt:lpstr>
      <vt:lpstr>TRANSPORTE</vt:lpstr>
      <vt:lpstr>SALARIOS RECURSO HUMANO</vt:lpstr>
      <vt:lpstr>DOTACION</vt:lpstr>
      <vt:lpstr>EXAMEN</vt:lpstr>
      <vt:lpstr>EQUIPO PAE</vt:lpstr>
      <vt:lpstr>CALENDARIO 2023</vt:lpstr>
      <vt:lpstr>IMPUESTO Y ESTAMPILLAS</vt:lpstr>
      <vt:lpstr>RESUMEN CUPOS</vt:lpstr>
      <vt:lpstr>VALOR RACIÓN 2023</vt:lpstr>
      <vt:lpstr>PRESUPUESTO 2023</vt:lpstr>
      <vt:lpstr>GASTOS ADMINISTRATIVOS</vt:lpstr>
      <vt:lpstr>'CALENDARIO 2023'!Área_de_impresión</vt:lpstr>
      <vt:lpstr>'COMBUSTIBLE-SEDES'!Área_de_impresión</vt:lpstr>
      <vt:lpstr>'COMPLEMENTO AM-PM NIVEL PREESC'!Área_de_impresión</vt:lpstr>
      <vt:lpstr>'COMPLEMENTO AM-PM NP GDOS 1-3'!Área_de_impresión</vt:lpstr>
      <vt:lpstr>'COMPLEMENTO AM-PM NP GDOS 4-5'!Área_de_impresión</vt:lpstr>
      <vt:lpstr>'COMPLEMENTO RI NI PREESC'!Área_de_impresión</vt:lpstr>
      <vt:lpstr>'COMPLEMENTO RI NP GDOS 1-3'!Área_de_impresión</vt:lpstr>
      <vt:lpstr>'COMPLEMENTO RI NP GDOS 4-5'!Área_de_impresión</vt:lpstr>
      <vt:lpstr>DOTACION!Área_de_impresión</vt:lpstr>
      <vt:lpstr>EXAMEN!Área_de_impresión</vt:lpstr>
      <vt:lpstr>'N° LITROS'!Área_de_impresión</vt:lpstr>
      <vt:lpstr>N°MANIPULADORES!Área_de_impresión</vt:lpstr>
      <vt:lpstr>'PRESUPUESTO 2023'!Área_de_impresión</vt:lpstr>
      <vt:lpstr>'SALARIOS RECURSO HUMANO'!Área_de_impresión</vt:lpstr>
      <vt:lpstr>TRANSPORTE!Área_de_impresión</vt:lpstr>
      <vt:lpstr>'COMBUSTIBLE-SEDES'!Títulos_a_imprimir</vt:lpstr>
      <vt:lpstr>'COMPLEMENTO AM-PM NIVEL PREESC'!Títulos_a_imprimir</vt:lpstr>
      <vt:lpstr>'COMPLEMENTO AM-PM NP GDOS 1-3'!Títulos_a_imprimir</vt:lpstr>
      <vt:lpstr>'COMPLEMENTO AM-PM NP GDOS 4-5'!Títulos_a_imprimir</vt:lpstr>
      <vt:lpstr>'COMPLEMENTO RI NI PREESC'!Títulos_a_imprimir</vt:lpstr>
      <vt:lpstr>'COMPLEMENTO RI NP GDOS 1-3'!Títulos_a_imprimir</vt:lpstr>
      <vt:lpstr>'COMPLEMENTO RI NP GDOS 4-5'!Títulos_a_imprimir</vt:lpstr>
      <vt:lpstr>'N° LITROS'!Títulos_a_imprimir</vt:lpstr>
      <vt:lpstr>N°MANIPULADORES!Títulos_a_imprimir</vt:lpstr>
      <vt:lpstr>'PROMEDIO COTIZACION'!Títulos_a_imprimir</vt:lpstr>
    </vt:vector>
  </TitlesOfParts>
  <Manager/>
  <Company>HP</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Indira León Posada</dc:creator>
  <cp:keywords/>
  <dc:description/>
  <cp:lastModifiedBy>Usuario</cp:lastModifiedBy>
  <cp:revision/>
  <cp:lastPrinted>2023-03-31T03:04:52Z</cp:lastPrinted>
  <dcterms:created xsi:type="dcterms:W3CDTF">2014-01-14T22:13:01Z</dcterms:created>
  <dcterms:modified xsi:type="dcterms:W3CDTF">2023-04-17T21:06:44Z</dcterms:modified>
  <cp:category/>
  <cp:contentStatus/>
</cp:coreProperties>
</file>