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mc:AlternateContent xmlns:mc="http://schemas.openxmlformats.org/markup-compatibility/2006">
    <mc:Choice Requires="x15">
      <x15ac:absPath xmlns:x15ac="http://schemas.microsoft.com/office/spreadsheetml/2010/11/ac" url="D:\Desktop\IES CINOC\2023\SELECCION ABREVIADA\MENOR CUANTIA\SAMCS-004-2023 OBRA PROYECTO SALUD FISICA E INTEGRAL BIENESTAR INSTITUCIONAL\"/>
    </mc:Choice>
  </mc:AlternateContent>
  <xr:revisionPtr revIDLastSave="0" documentId="13_ncr:1_{3128B711-329C-44F5-8DD2-83300B237D57}" xr6:coauthVersionLast="36" xr6:coauthVersionMax="47" xr10:uidLastSave="{00000000-0000-0000-0000-000000000000}"/>
  <bookViews>
    <workbookView xWindow="0" yWindow="0" windowWidth="28800" windowHeight="11505" firstSheet="1" activeTab="3" xr2:uid="{00000000-000D-0000-FFFF-FFFF00000000}"/>
  </bookViews>
  <sheets>
    <sheet name="RESUMEN" sheetId="1" r:id="rId1"/>
    <sheet name="JUSTIFICACIO AIU%" sheetId="13" r:id="rId2"/>
    <sheet name="P. EXT MARQUETALIA" sheetId="2" state="hidden" r:id="rId3"/>
    <sheet name="BIENESTAR GYM Y SALUD" sheetId="3" r:id="rId4"/>
    <sheet name="BASE SALRIOS" sheetId="21" r:id="rId5"/>
    <sheet name="INVERSION POR SUB PROYECTOS" sheetId="17" r:id="rId6"/>
    <sheet name="GRAFICO SUB P 1" sheetId="15" r:id="rId7"/>
    <sheet name="GRAFICO SUB P 2" sheetId="22" r:id="rId8"/>
    <sheet name="INVERSION POR SUB PROYECTOS (2)" sheetId="19" r:id="rId9"/>
    <sheet name="BIENESTAR GYM Y SALUD alt b" sheetId="18" state="hidden" r:id="rId10"/>
    <sheet name="JUSTIFICACIO AIU% (2)" sheetId="20" state="hidden" r:id="rId11"/>
    <sheet name="APUS" sheetId="7" state="hidden" r:id="rId12"/>
    <sheet name="APUS (2)" sheetId="8" state="hidden" r:id="rId13"/>
    <sheet name="APU" sheetId="11" state="hidden" r:id="rId14"/>
    <sheet name="MANO OBRA" sheetId="12" state="hidden" r:id="rId15"/>
  </sheets>
  <definedNames>
    <definedName name="CBB" localSheetId="11">APUS!$G$13</definedName>
    <definedName name="CBB" localSheetId="12">'APUS (2)'!$G$13</definedName>
    <definedName name="CDD" localSheetId="11">APUS!$G$23</definedName>
    <definedName name="CDD" localSheetId="12">'APUS (2)'!$G$23</definedName>
    <definedName name="CDD" localSheetId="3">'BIENESTAR GYM Y SALUD'!#REF!</definedName>
    <definedName name="CDD" localSheetId="9">'BIENESTAR GYM Y SALUD alt b'!#REF!</definedName>
  </definedNames>
  <calcPr calcId="191029"/>
  <extLst>
    <ext uri="GoogleSheetsCustomDataVersion1">
      <go:sheetsCustomData xmlns:go="http://customooxmlschemas.google.com/" r:id="rId16" roundtripDataSignature="AMtx7mhM+4NBIECEepIJfZoVsj+u447OKA=="/>
    </ext>
  </extLst>
</workbook>
</file>

<file path=xl/calcChain.xml><?xml version="1.0" encoding="utf-8"?>
<calcChain xmlns="http://schemas.openxmlformats.org/spreadsheetml/2006/main">
  <c r="H26" i="3" l="1"/>
  <c r="I26" i="3" s="1"/>
  <c r="H27" i="3"/>
  <c r="I27" i="3"/>
  <c r="H28" i="3"/>
  <c r="I28" i="3"/>
  <c r="H29" i="3"/>
  <c r="I29" i="3" s="1"/>
  <c r="H30" i="3"/>
  <c r="I30" i="3"/>
  <c r="H31" i="3"/>
  <c r="I31" i="3" s="1"/>
  <c r="H32" i="3"/>
  <c r="I32" i="3"/>
  <c r="H33" i="3"/>
  <c r="I33" i="3"/>
  <c r="H9" i="3"/>
  <c r="I9" i="3"/>
  <c r="H10" i="3"/>
  <c r="I10" i="3" s="1"/>
  <c r="H11" i="3"/>
  <c r="I11" i="3" s="1"/>
  <c r="H12" i="3"/>
  <c r="I12" i="3"/>
  <c r="H13" i="3"/>
  <c r="I13" i="3" s="1"/>
  <c r="H14" i="3"/>
  <c r="I14" i="3"/>
  <c r="H15" i="3"/>
  <c r="I15" i="3" s="1"/>
  <c r="H16" i="3"/>
  <c r="I16" i="3"/>
  <c r="H17" i="3"/>
  <c r="I17" i="3"/>
  <c r="H18" i="3"/>
  <c r="I18" i="3"/>
  <c r="F101" i="3" l="1"/>
  <c r="F60" i="3"/>
  <c r="G61" i="3"/>
  <c r="F61" i="3"/>
  <c r="F52" i="3"/>
  <c r="G60" i="3" s="1"/>
  <c r="G59" i="3"/>
  <c r="G58" i="3"/>
  <c r="G57" i="3"/>
  <c r="G56" i="3"/>
  <c r="G55" i="3"/>
  <c r="F32" i="3"/>
  <c r="C32" i="3"/>
  <c r="F31" i="3"/>
  <c r="C31" i="3"/>
  <c r="G161" i="3"/>
  <c r="G160" i="3"/>
  <c r="G159" i="3"/>
  <c r="G158" i="3"/>
  <c r="G157" i="3"/>
  <c r="H54" i="3" l="1"/>
  <c r="H156" i="3"/>
  <c r="C33" i="3"/>
  <c r="F84" i="3"/>
  <c r="G84" i="3" s="1"/>
  <c r="G87" i="3"/>
  <c r="G86" i="3"/>
  <c r="G85" i="3"/>
  <c r="F153" i="3"/>
  <c r="F146" i="3"/>
  <c r="G146" i="3" s="1"/>
  <c r="F147" i="3" s="1"/>
  <c r="G147" i="3" s="1"/>
  <c r="F140" i="3"/>
  <c r="F105" i="3"/>
  <c r="F112" i="3" s="1"/>
  <c r="F119" i="3" s="1"/>
  <c r="F127" i="3" s="1"/>
  <c r="F133" i="3" s="1"/>
  <c r="F79" i="3"/>
  <c r="F88" i="3" s="1"/>
  <c r="G52" i="3"/>
  <c r="F51" i="3" s="1"/>
  <c r="G51" i="3" s="1"/>
  <c r="F43" i="3"/>
  <c r="E43" i="3"/>
  <c r="C10" i="3"/>
  <c r="E42" i="3"/>
  <c r="G42" i="3" s="1"/>
  <c r="I42" i="3" s="1"/>
  <c r="F41" i="3"/>
  <c r="G41" i="3" s="1"/>
  <c r="C43" i="3"/>
  <c r="D43" i="3"/>
  <c r="G152" i="3"/>
  <c r="D153" i="3"/>
  <c r="C153" i="3"/>
  <c r="G151" i="3"/>
  <c r="D150" i="3"/>
  <c r="C18" i="3"/>
  <c r="C17" i="3"/>
  <c r="G138" i="3"/>
  <c r="C146" i="3"/>
  <c r="Q35" i="21"/>
  <c r="G50" i="3"/>
  <c r="G49" i="3"/>
  <c r="G48" i="3"/>
  <c r="G66" i="3"/>
  <c r="E23" i="21"/>
  <c r="D23" i="21"/>
  <c r="D22" i="21"/>
  <c r="D21" i="21"/>
  <c r="E20" i="21"/>
  <c r="D20" i="21"/>
  <c r="E19" i="21"/>
  <c r="D19" i="21"/>
  <c r="D18" i="21"/>
  <c r="F17" i="21"/>
  <c r="E17" i="21"/>
  <c r="D17" i="21"/>
  <c r="E12" i="21"/>
  <c r="F12" i="21" s="1"/>
  <c r="D11" i="21"/>
  <c r="F8" i="21"/>
  <c r="F22" i="21" s="1"/>
  <c r="E8" i="21"/>
  <c r="E21" i="21" s="1"/>
  <c r="G88" i="3" l="1"/>
  <c r="F89" i="3" s="1"/>
  <c r="G89" i="3" s="1"/>
  <c r="H83" i="3" s="1"/>
  <c r="G43" i="3"/>
  <c r="F44" i="3" s="1"/>
  <c r="G44" i="3" s="1"/>
  <c r="F70" i="3"/>
  <c r="G153" i="3"/>
  <c r="H145" i="3"/>
  <c r="H47" i="3"/>
  <c r="F21" i="21"/>
  <c r="D14" i="21"/>
  <c r="D15" i="21" s="1"/>
  <c r="F20" i="21"/>
  <c r="E11" i="21"/>
  <c r="D13" i="21"/>
  <c r="D24" i="21" s="1"/>
  <c r="D26" i="21" s="1"/>
  <c r="E14" i="21"/>
  <c r="E15" i="21" s="1"/>
  <c r="E18" i="21"/>
  <c r="F19" i="21"/>
  <c r="E22" i="21"/>
  <c r="F23" i="21"/>
  <c r="F11" i="21"/>
  <c r="F14" i="21" s="1"/>
  <c r="F15" i="21" s="1"/>
  <c r="D16" i="21"/>
  <c r="F18" i="21"/>
  <c r="H40" i="3" l="1"/>
  <c r="F154" i="3"/>
  <c r="G154" i="3" s="1"/>
  <c r="H150" i="3" s="1"/>
  <c r="E13" i="21"/>
  <c r="E16" i="21"/>
  <c r="E24" i="21" s="1"/>
  <c r="E26" i="21" s="1"/>
  <c r="F24" i="21"/>
  <c r="F26" i="21" s="1"/>
  <c r="F16" i="21"/>
  <c r="F13" i="21"/>
  <c r="F33" i="3" l="1"/>
  <c r="G79" i="3"/>
  <c r="F80" i="3" s="1"/>
  <c r="G80" i="3" s="1"/>
  <c r="G78" i="3"/>
  <c r="G77" i="3"/>
  <c r="G76" i="3"/>
  <c r="G75" i="3"/>
  <c r="G74" i="3"/>
  <c r="F29" i="3"/>
  <c r="C29" i="3"/>
  <c r="G140" i="3"/>
  <c r="F141" i="3" s="1"/>
  <c r="G141" i="3" s="1"/>
  <c r="G139" i="3"/>
  <c r="G111" i="3"/>
  <c r="G112" i="3"/>
  <c r="F113" i="3" s="1"/>
  <c r="G113" i="3" s="1"/>
  <c r="F23" i="1"/>
  <c r="G71" i="3"/>
  <c r="G70" i="3"/>
  <c r="G69" i="3"/>
  <c r="G68" i="3"/>
  <c r="G67" i="3"/>
  <c r="L11" i="13"/>
  <c r="R11" i="13"/>
  <c r="H64" i="3" l="1"/>
  <c r="H73" i="3"/>
  <c r="H137" i="3"/>
  <c r="J21" i="20"/>
  <c r="K32" i="20" s="1"/>
  <c r="L16" i="20"/>
  <c r="K17" i="20" s="1"/>
  <c r="J16" i="20"/>
  <c r="N10" i="20"/>
  <c r="Q10" i="20" s="1"/>
  <c r="L10" i="20"/>
  <c r="M10" i="20" s="1"/>
  <c r="Q9" i="20"/>
  <c r="P9" i="20"/>
  <c r="O9" i="20"/>
  <c r="R9" i="20" s="1"/>
  <c r="L9" i="20"/>
  <c r="R8" i="20"/>
  <c r="F22" i="1"/>
  <c r="F21" i="1"/>
  <c r="I10" i="18"/>
  <c r="G9" i="18"/>
  <c r="G130" i="18"/>
  <c r="F130" i="18"/>
  <c r="G129" i="18"/>
  <c r="G128" i="18"/>
  <c r="H127" i="18"/>
  <c r="H14" i="18" s="1"/>
  <c r="I14" i="18" s="1"/>
  <c r="G124" i="18"/>
  <c r="G123" i="18"/>
  <c r="G122" i="18"/>
  <c r="H121" i="18"/>
  <c r="H25" i="18" s="1"/>
  <c r="I25" i="18" s="1"/>
  <c r="G116" i="18"/>
  <c r="F116" i="18"/>
  <c r="G115" i="18"/>
  <c r="G114" i="18"/>
  <c r="G113" i="18"/>
  <c r="H112" i="18" s="1"/>
  <c r="G109" i="18"/>
  <c r="G108" i="18"/>
  <c r="G107" i="18"/>
  <c r="G106" i="18"/>
  <c r="F106" i="18"/>
  <c r="H105" i="18"/>
  <c r="H11" i="18" s="1"/>
  <c r="I11" i="18" s="1"/>
  <c r="G102" i="18"/>
  <c r="G101" i="18"/>
  <c r="G100" i="18"/>
  <c r="G99" i="18"/>
  <c r="G98" i="18"/>
  <c r="G97" i="18"/>
  <c r="G96" i="18"/>
  <c r="G95" i="18"/>
  <c r="G94" i="18"/>
  <c r="G93" i="18"/>
  <c r="G92" i="18"/>
  <c r="G91" i="18"/>
  <c r="G90" i="18"/>
  <c r="G89" i="18"/>
  <c r="H88" i="18" s="1"/>
  <c r="H9" i="18" s="1"/>
  <c r="G86" i="18"/>
  <c r="F86" i="18"/>
  <c r="G85" i="18"/>
  <c r="G84" i="18"/>
  <c r="G83" i="18"/>
  <c r="G82" i="18"/>
  <c r="G81" i="18"/>
  <c r="H80" i="18" s="1"/>
  <c r="H15" i="18" s="1"/>
  <c r="I15" i="18" s="1"/>
  <c r="G77" i="18"/>
  <c r="G76" i="18"/>
  <c r="G75" i="18"/>
  <c r="G74" i="18"/>
  <c r="G73" i="18"/>
  <c r="H72" i="18" s="1"/>
  <c r="H27" i="18" s="1"/>
  <c r="I27" i="18" s="1"/>
  <c r="G69" i="18"/>
  <c r="G68" i="18"/>
  <c r="G67" i="18"/>
  <c r="G66" i="18"/>
  <c r="G65" i="18"/>
  <c r="H64" i="18" s="1"/>
  <c r="H13" i="18" s="1"/>
  <c r="G61" i="18"/>
  <c r="G60" i="18"/>
  <c r="H59" i="18" s="1"/>
  <c r="G56" i="18"/>
  <c r="G55" i="18"/>
  <c r="G54" i="18"/>
  <c r="G53" i="18"/>
  <c r="G52" i="18"/>
  <c r="G51" i="18"/>
  <c r="G50" i="18"/>
  <c r="H49" i="18" s="1"/>
  <c r="G46" i="18"/>
  <c r="G45" i="18"/>
  <c r="G44" i="18"/>
  <c r="G43" i="18"/>
  <c r="G42" i="18"/>
  <c r="G41" i="18"/>
  <c r="G40" i="18"/>
  <c r="G39" i="18"/>
  <c r="G38" i="18"/>
  <c r="G37" i="18"/>
  <c r="G36" i="18"/>
  <c r="H35" i="18" s="1"/>
  <c r="C28" i="18"/>
  <c r="F27" i="18"/>
  <c r="C27" i="18"/>
  <c r="F26" i="18"/>
  <c r="C25" i="18"/>
  <c r="G24" i="18"/>
  <c r="H16" i="18"/>
  <c r="I16" i="18" s="1"/>
  <c r="G16" i="18"/>
  <c r="G15" i="18"/>
  <c r="C15" i="18"/>
  <c r="F14" i="18"/>
  <c r="C14" i="18"/>
  <c r="C13" i="18"/>
  <c r="C26" i="18" s="1"/>
  <c r="F12" i="18"/>
  <c r="C12" i="18"/>
  <c r="F11" i="18"/>
  <c r="C11" i="18"/>
  <c r="C9" i="18"/>
  <c r="C24" i="18" s="1"/>
  <c r="L22" i="20" l="1"/>
  <c r="M9" i="20"/>
  <c r="O10" i="20"/>
  <c r="R10" i="20" s="1"/>
  <c r="L23" i="20"/>
  <c r="K24" i="20" s="1"/>
  <c r="P10" i="20"/>
  <c r="L21" i="20"/>
  <c r="K28" i="20"/>
  <c r="I17" i="18"/>
  <c r="I13" i="18"/>
  <c r="H26" i="18"/>
  <c r="I26" i="18" s="1"/>
  <c r="H24" i="18"/>
  <c r="I24" i="18" s="1"/>
  <c r="I9" i="18"/>
  <c r="H12" i="18"/>
  <c r="I12" i="18" s="1"/>
  <c r="H28" i="18"/>
  <c r="I28" i="18" s="1"/>
  <c r="G16" i="3"/>
  <c r="F14" i="3"/>
  <c r="C14" i="3"/>
  <c r="G133" i="3"/>
  <c r="G132" i="3"/>
  <c r="G105" i="3"/>
  <c r="F106" i="3" s="1"/>
  <c r="L9" i="13"/>
  <c r="C30" i="3"/>
  <c r="C13" i="3"/>
  <c r="C15" i="3"/>
  <c r="F12" i="3"/>
  <c r="C12" i="3"/>
  <c r="G126" i="3"/>
  <c r="G119" i="3"/>
  <c r="F120" i="3" s="1"/>
  <c r="G120" i="3" s="1"/>
  <c r="G118" i="3"/>
  <c r="G117" i="3"/>
  <c r="G9" i="3"/>
  <c r="F110" i="3"/>
  <c r="G110" i="3" s="1"/>
  <c r="H109" i="3" s="1"/>
  <c r="F134" i="3" l="1"/>
  <c r="G134" i="3" s="1"/>
  <c r="H131" i="3" s="1"/>
  <c r="H116" i="3"/>
  <c r="L29" i="20"/>
  <c r="L28" i="20"/>
  <c r="R11" i="20"/>
  <c r="R12" i="20" s="1"/>
  <c r="J11" i="20"/>
  <c r="F26" i="1"/>
  <c r="H22" i="1"/>
  <c r="F25" i="1"/>
  <c r="F27" i="1" s="1"/>
  <c r="H21" i="1"/>
  <c r="J14" i="18"/>
  <c r="J11" i="18"/>
  <c r="J15" i="18"/>
  <c r="J13" i="18"/>
  <c r="J12" i="18"/>
  <c r="J10" i="18"/>
  <c r="J9" i="18"/>
  <c r="J26" i="18"/>
  <c r="I29" i="18"/>
  <c r="J24" i="18"/>
  <c r="J28" i="18"/>
  <c r="G127" i="3"/>
  <c r="F128" i="3" s="1"/>
  <c r="H23" i="1" l="1"/>
  <c r="L11" i="20"/>
  <c r="K12" i="20" s="1"/>
  <c r="K34" i="20" s="1"/>
  <c r="K11" i="20"/>
  <c r="K30" i="20"/>
  <c r="K33" i="20"/>
  <c r="J27" i="18"/>
  <c r="J25" i="18"/>
  <c r="J16" i="18"/>
  <c r="F28" i="3"/>
  <c r="F30" i="3"/>
  <c r="C28" i="3"/>
  <c r="C27" i="3"/>
  <c r="G128" i="3"/>
  <c r="H125" i="3" s="1"/>
  <c r="F11" i="3"/>
  <c r="C11" i="3"/>
  <c r="C9" i="3"/>
  <c r="C26" i="3" s="1"/>
  <c r="G103" i="3"/>
  <c r="G106" i="3"/>
  <c r="G104" i="3"/>
  <c r="G102" i="3"/>
  <c r="G101" i="3"/>
  <c r="G100" i="3"/>
  <c r="G99" i="3"/>
  <c r="G98" i="3"/>
  <c r="G97" i="3"/>
  <c r="G96" i="3"/>
  <c r="G95" i="3"/>
  <c r="G94" i="3"/>
  <c r="G93" i="3"/>
  <c r="H92" i="3" l="1"/>
  <c r="K35" i="20"/>
  <c r="K36" i="20" s="1"/>
  <c r="K37" i="20" s="1"/>
  <c r="K38" i="20" s="1"/>
  <c r="J34" i="20"/>
  <c r="J35" i="20" s="1"/>
  <c r="C24" i="1" s="1"/>
  <c r="J29" i="18"/>
  <c r="J17" i="18"/>
  <c r="N10" i="13"/>
  <c r="C28" i="1" l="1"/>
  <c r="F24" i="1"/>
  <c r="F28" i="1" s="1"/>
  <c r="F29" i="1" s="1"/>
  <c r="F30" i="1" s="1"/>
  <c r="F31" i="1" s="1"/>
  <c r="F33" i="1" s="1"/>
  <c r="J16" i="13"/>
  <c r="I34" i="3" l="1"/>
  <c r="L16" i="13"/>
  <c r="K17" i="13" s="1"/>
  <c r="L10" i="13"/>
  <c r="Q9" i="13"/>
  <c r="P9" i="13"/>
  <c r="O9" i="13"/>
  <c r="M9" i="13"/>
  <c r="R8" i="13"/>
  <c r="J27" i="3" l="1"/>
  <c r="J32" i="3"/>
  <c r="J31" i="3"/>
  <c r="J29" i="3"/>
  <c r="J30" i="3"/>
  <c r="J33" i="3"/>
  <c r="J28" i="3"/>
  <c r="J26" i="3"/>
  <c r="M10" i="13"/>
  <c r="K12" i="13"/>
  <c r="R9" i="13"/>
  <c r="Q10" i="13"/>
  <c r="P10" i="13"/>
  <c r="O10" i="13"/>
  <c r="J34" i="3" l="1"/>
  <c r="R10" i="13"/>
  <c r="J11" i="13" s="1"/>
  <c r="F6" i="1" l="1"/>
  <c r="R12" i="13"/>
  <c r="K11" i="13" s="1"/>
  <c r="I154" i="7" l="1"/>
  <c r="I152" i="7"/>
  <c r="G40" i="2" l="1"/>
  <c r="V6" i="2"/>
  <c r="G19" i="8" l="1"/>
  <c r="G18" i="8"/>
  <c r="H17" i="8" s="1"/>
  <c r="G15" i="8"/>
  <c r="G14" i="8"/>
  <c r="H13" i="8" s="1"/>
  <c r="G11" i="8"/>
  <c r="H8" i="8" s="1"/>
  <c r="G10" i="8"/>
  <c r="G9" i="8"/>
  <c r="G6" i="8"/>
  <c r="H4" i="8" s="1"/>
  <c r="G5" i="8"/>
  <c r="G189" i="7"/>
  <c r="G188" i="7"/>
  <c r="H184" i="7" s="1"/>
  <c r="F188" i="7"/>
  <c r="D188" i="7"/>
  <c r="C188" i="7"/>
  <c r="G187" i="7"/>
  <c r="G186" i="7"/>
  <c r="G185" i="7"/>
  <c r="G181" i="7"/>
  <c r="G180" i="7"/>
  <c r="G179" i="7"/>
  <c r="G178" i="7"/>
  <c r="H177" i="7" s="1"/>
  <c r="F178" i="7"/>
  <c r="G175" i="7"/>
  <c r="G174" i="7"/>
  <c r="G173" i="7"/>
  <c r="G172" i="7"/>
  <c r="G171" i="7"/>
  <c r="G170" i="7"/>
  <c r="G169" i="7"/>
  <c r="G165" i="7"/>
  <c r="G164" i="7"/>
  <c r="G163" i="7"/>
  <c r="G162" i="7"/>
  <c r="G161" i="7"/>
  <c r="G160" i="7"/>
  <c r="H159" i="7" s="1"/>
  <c r="G156" i="7"/>
  <c r="G155" i="7"/>
  <c r="G154" i="7"/>
  <c r="G153" i="7"/>
  <c r="G152" i="7"/>
  <c r="G151" i="7"/>
  <c r="G150" i="7"/>
  <c r="H149" i="7" s="1"/>
  <c r="G146" i="7"/>
  <c r="G145" i="7"/>
  <c r="G144" i="7"/>
  <c r="G143" i="7"/>
  <c r="G142" i="7"/>
  <c r="G141" i="7"/>
  <c r="H140" i="7" s="1"/>
  <c r="H14" i="2" s="1"/>
  <c r="L14" i="2" s="1"/>
  <c r="O14" i="2" s="1"/>
  <c r="G138" i="7"/>
  <c r="G137" i="7"/>
  <c r="G136" i="7"/>
  <c r="G135" i="7"/>
  <c r="G134" i="7"/>
  <c r="G133" i="7"/>
  <c r="G132" i="7"/>
  <c r="G131" i="7"/>
  <c r="H128" i="7" s="1"/>
  <c r="G130" i="7"/>
  <c r="G129" i="7"/>
  <c r="G125" i="7"/>
  <c r="G124" i="7"/>
  <c r="G123" i="7"/>
  <c r="G122" i="7"/>
  <c r="G121" i="7"/>
  <c r="G102" i="7"/>
  <c r="G101" i="7"/>
  <c r="G100" i="7"/>
  <c r="G99" i="7"/>
  <c r="G98" i="7"/>
  <c r="G97" i="7"/>
  <c r="G96" i="7"/>
  <c r="H95" i="7" s="1"/>
  <c r="G92" i="7"/>
  <c r="G91" i="7"/>
  <c r="G90" i="7"/>
  <c r="G89" i="7"/>
  <c r="G88" i="7"/>
  <c r="G87" i="7"/>
  <c r="G86" i="7"/>
  <c r="G83" i="7"/>
  <c r="G82" i="7"/>
  <c r="G81" i="7"/>
  <c r="G80" i="7"/>
  <c r="G79" i="7"/>
  <c r="G78" i="7"/>
  <c r="H76" i="7"/>
  <c r="G73" i="7"/>
  <c r="G72" i="7"/>
  <c r="G71" i="7"/>
  <c r="G70" i="7"/>
  <c r="H67" i="7" s="1"/>
  <c r="G69" i="7"/>
  <c r="G68" i="7"/>
  <c r="G64" i="7"/>
  <c r="G63" i="7"/>
  <c r="G62" i="7"/>
  <c r="G61" i="7"/>
  <c r="G60" i="7"/>
  <c r="G59" i="7"/>
  <c r="G55" i="7"/>
  <c r="G54" i="7"/>
  <c r="G53" i="7"/>
  <c r="G52" i="7"/>
  <c r="G51" i="7"/>
  <c r="G50" i="7"/>
  <c r="G49" i="7"/>
  <c r="G48" i="7"/>
  <c r="G47" i="7"/>
  <c r="G46" i="7"/>
  <c r="G45" i="7"/>
  <c r="G44" i="7"/>
  <c r="H42" i="7" s="1"/>
  <c r="G43" i="7"/>
  <c r="G39" i="7"/>
  <c r="G38" i="7"/>
  <c r="G37" i="7"/>
  <c r="G36" i="7"/>
  <c r="G33" i="7"/>
  <c r="G32" i="7"/>
  <c r="H31" i="7" s="1"/>
  <c r="G29" i="7"/>
  <c r="G28" i="7"/>
  <c r="G19" i="7"/>
  <c r="G18" i="7"/>
  <c r="H17" i="7" s="1"/>
  <c r="G15" i="7"/>
  <c r="G14" i="7"/>
  <c r="H13" i="7" s="1"/>
  <c r="G11" i="7"/>
  <c r="G10" i="7"/>
  <c r="G9" i="7"/>
  <c r="H8" i="7" s="1"/>
  <c r="G6" i="7"/>
  <c r="G5" i="7"/>
  <c r="H4" i="7"/>
  <c r="G31" i="2"/>
  <c r="V26" i="2"/>
  <c r="C26" i="2"/>
  <c r="V25" i="2"/>
  <c r="S25" i="2"/>
  <c r="H25" i="2"/>
  <c r="H23" i="2"/>
  <c r="V21" i="2"/>
  <c r="N21" i="2"/>
  <c r="L21" i="2"/>
  <c r="K21" i="2"/>
  <c r="I21" i="2"/>
  <c r="O20" i="2"/>
  <c r="N20" i="2"/>
  <c r="K20" i="2"/>
  <c r="L20" i="2" s="1"/>
  <c r="V19" i="2"/>
  <c r="T19" i="2" s="1"/>
  <c r="V18" i="2"/>
  <c r="T18" i="2" s="1"/>
  <c r="U18" i="2" s="1"/>
  <c r="O18" i="2"/>
  <c r="N18" i="2"/>
  <c r="M18" i="2"/>
  <c r="P18" i="2" s="1"/>
  <c r="I18" i="2"/>
  <c r="O17" i="2"/>
  <c r="L17" i="2"/>
  <c r="H17" i="2"/>
  <c r="O16" i="2"/>
  <c r="L16" i="2"/>
  <c r="H16" i="2"/>
  <c r="O15" i="2"/>
  <c r="L15" i="2"/>
  <c r="H15" i="2"/>
  <c r="P13" i="2"/>
  <c r="O13" i="2"/>
  <c r="N13" i="2"/>
  <c r="L13" i="2"/>
  <c r="K13" i="2"/>
  <c r="I13" i="2"/>
  <c r="V12" i="2"/>
  <c r="T12" i="2" s="1"/>
  <c r="U12" i="2" s="1"/>
  <c r="O12" i="2"/>
  <c r="M12" i="2"/>
  <c r="P12" i="2" s="1"/>
  <c r="L12" i="2"/>
  <c r="K12" i="2"/>
  <c r="N12" i="2" s="1"/>
  <c r="I12" i="2"/>
  <c r="V11" i="2"/>
  <c r="Q11" i="2" s="1"/>
  <c r="R11" i="2" s="1"/>
  <c r="P11" i="2"/>
  <c r="K11" i="2"/>
  <c r="L11" i="2" s="1"/>
  <c r="O11" i="2" s="1"/>
  <c r="I11" i="2"/>
  <c r="V10" i="2"/>
  <c r="W10" i="2" s="1"/>
  <c r="N10" i="2"/>
  <c r="L10" i="2"/>
  <c r="O10" i="2" s="1"/>
  <c r="K10" i="2"/>
  <c r="I10" i="2"/>
  <c r="W9" i="2"/>
  <c r="T9" i="2"/>
  <c r="U9" i="2" s="1"/>
  <c r="S9" i="2"/>
  <c r="Q9" i="2"/>
  <c r="R9" i="2" s="1"/>
  <c r="K9" i="2"/>
  <c r="N9" i="2" s="1"/>
  <c r="I9" i="2"/>
  <c r="H9" i="2"/>
  <c r="L9" i="2" s="1"/>
  <c r="O9" i="2" s="1"/>
  <c r="H27" i="7" l="1"/>
  <c r="H35" i="7"/>
  <c r="H168" i="7"/>
  <c r="H22" i="2" s="1"/>
  <c r="H120" i="7"/>
  <c r="H58" i="7"/>
  <c r="H19" i="2" s="1"/>
  <c r="U19" i="2"/>
  <c r="Q12" i="2"/>
  <c r="R12" i="2" s="1"/>
  <c r="T11" i="2"/>
  <c r="U11" i="2" s="1"/>
  <c r="Q19" i="2"/>
  <c r="R19" i="2" s="1"/>
  <c r="H85" i="7"/>
  <c r="H20" i="2" s="1"/>
  <c r="I20" i="2" s="1"/>
  <c r="Q18" i="2"/>
  <c r="R18" i="2" s="1"/>
  <c r="W18" i="2"/>
  <c r="S12" i="2"/>
  <c r="W12" i="2"/>
  <c r="H26" i="2"/>
  <c r="W26" i="2" s="1"/>
  <c r="T10" i="2"/>
  <c r="U10" i="2" s="1"/>
  <c r="N11" i="2"/>
  <c r="I23" i="2"/>
  <c r="L23" i="2"/>
  <c r="O23" i="2" s="1"/>
  <c r="S19" i="2"/>
  <c r="Q21" i="2"/>
  <c r="R21" i="2" s="1"/>
  <c r="W21" i="2"/>
  <c r="S21" i="2"/>
  <c r="T26" i="2"/>
  <c r="M10" i="2"/>
  <c r="P10" i="2" s="1"/>
  <c r="Q10" i="2"/>
  <c r="R10" i="2" s="1"/>
  <c r="S11" i="2"/>
  <c r="W11" i="2"/>
  <c r="M14" i="2"/>
  <c r="P14" i="2" s="1"/>
  <c r="I14" i="2"/>
  <c r="I15" i="2"/>
  <c r="M16" i="2"/>
  <c r="P16" i="2" s="1"/>
  <c r="I16" i="2"/>
  <c r="I17" i="2"/>
  <c r="I22" i="2"/>
  <c r="K22" i="2"/>
  <c r="N22" i="2" s="1"/>
  <c r="K23" i="2"/>
  <c r="N23" i="2" s="1"/>
  <c r="M9" i="2"/>
  <c r="P9" i="2" s="1"/>
  <c r="I25" i="2"/>
  <c r="L25" i="2"/>
  <c r="Q26" i="2"/>
  <c r="S10" i="2"/>
  <c r="K14" i="2"/>
  <c r="N14" i="2" s="1"/>
  <c r="K15" i="2"/>
  <c r="N15" i="2" s="1"/>
  <c r="V15" i="2"/>
  <c r="K16" i="2"/>
  <c r="N16" i="2" s="1"/>
  <c r="K17" i="2"/>
  <c r="N17" i="2" s="1"/>
  <c r="V17" i="2"/>
  <c r="S18" i="2"/>
  <c r="W19" i="2"/>
  <c r="M21" i="2"/>
  <c r="P21" i="2" s="1"/>
  <c r="O21" i="2"/>
  <c r="T21" i="2"/>
  <c r="U21" i="2" s="1"/>
  <c r="L22" i="2"/>
  <c r="O22" i="2" s="1"/>
  <c r="K25" i="2"/>
  <c r="Q25" i="2"/>
  <c r="W25" i="2"/>
  <c r="T25" i="2"/>
  <c r="U25" i="2" s="1"/>
  <c r="S26" i="2"/>
  <c r="I19" i="3"/>
  <c r="J17" i="3" l="1"/>
  <c r="J14" i="3"/>
  <c r="J9" i="3"/>
  <c r="J19" i="3" s="1"/>
  <c r="J18" i="3"/>
  <c r="J11" i="3"/>
  <c r="J13" i="3"/>
  <c r="J12" i="3"/>
  <c r="J16" i="3"/>
  <c r="J10" i="3"/>
  <c r="J15" i="3"/>
  <c r="L19" i="2"/>
  <c r="O19" i="2" s="1"/>
  <c r="K19" i="2"/>
  <c r="I19" i="2"/>
  <c r="X27" i="2"/>
  <c r="M20" i="2"/>
  <c r="P20" i="2" s="1"/>
  <c r="R25" i="2"/>
  <c r="P25" i="2"/>
  <c r="O25" i="2"/>
  <c r="N25" i="2"/>
  <c r="P26" i="2"/>
  <c r="N26" i="2"/>
  <c r="O26" i="2"/>
  <c r="R26" i="2"/>
  <c r="U26" i="2"/>
  <c r="L26" i="2"/>
  <c r="K26" i="2"/>
  <c r="I26" i="2"/>
  <c r="J26" i="2" s="1"/>
  <c r="V20" i="2"/>
  <c r="I27" i="2"/>
  <c r="M23" i="2"/>
  <c r="P23" i="2" s="1"/>
  <c r="V22" i="2"/>
  <c r="V23" i="2"/>
  <c r="J25" i="2"/>
  <c r="M17" i="2"/>
  <c r="P17" i="2" s="1"/>
  <c r="M15" i="2"/>
  <c r="P15" i="2" s="1"/>
  <c r="V16" i="2"/>
  <c r="Q17" i="2"/>
  <c r="R17" i="2" s="1"/>
  <c r="T17" i="2"/>
  <c r="U17" i="2" s="1"/>
  <c r="S17" i="2"/>
  <c r="W17" i="2"/>
  <c r="Q14" i="2"/>
  <c r="R14" i="2" s="1"/>
  <c r="T14" i="2"/>
  <c r="U14" i="2" s="1"/>
  <c r="S14" i="2"/>
  <c r="W14" i="2"/>
  <c r="Q15" i="2"/>
  <c r="R15" i="2" s="1"/>
  <c r="T15" i="2"/>
  <c r="U15" i="2" s="1"/>
  <c r="S15" i="2"/>
  <c r="W15" i="2"/>
  <c r="M25" i="2"/>
  <c r="M22" i="2"/>
  <c r="P22" i="2" s="1"/>
  <c r="F5" i="1" l="1"/>
  <c r="F7" i="1" s="1"/>
  <c r="J21" i="13" s="1"/>
  <c r="M19" i="2"/>
  <c r="P19" i="2" s="1"/>
  <c r="P27" i="2" s="1"/>
  <c r="P29" i="2" s="1"/>
  <c r="N19" i="2"/>
  <c r="N27" i="2"/>
  <c r="N29" i="2" s="1"/>
  <c r="J22" i="2"/>
  <c r="I39" i="2"/>
  <c r="I38" i="2"/>
  <c r="K38" i="2" s="1"/>
  <c r="I36" i="2"/>
  <c r="K36" i="2" s="1"/>
  <c r="I37" i="2"/>
  <c r="K37" i="2" s="1"/>
  <c r="O27" i="2"/>
  <c r="O29" i="2" s="1"/>
  <c r="J14" i="2"/>
  <c r="M26" i="2"/>
  <c r="Q23" i="2"/>
  <c r="R23" i="2" s="1"/>
  <c r="W23" i="2"/>
  <c r="T23" i="2"/>
  <c r="U23" i="2" s="1"/>
  <c r="S23" i="2"/>
  <c r="Q22" i="2"/>
  <c r="R22" i="2" s="1"/>
  <c r="W22" i="2"/>
  <c r="T22" i="2"/>
  <c r="U22" i="2" s="1"/>
  <c r="S22" i="2"/>
  <c r="I29" i="2"/>
  <c r="I28" i="2"/>
  <c r="J20" i="2"/>
  <c r="J13" i="2"/>
  <c r="J10" i="2"/>
  <c r="J21" i="2"/>
  <c r="I30" i="2"/>
  <c r="J11" i="2"/>
  <c r="J18" i="2"/>
  <c r="J9" i="2"/>
  <c r="J19" i="2"/>
  <c r="J12" i="2"/>
  <c r="Q13" i="2"/>
  <c r="R13" i="2" s="1"/>
  <c r="T13" i="2"/>
  <c r="U13" i="2" s="1"/>
  <c r="S13" i="2"/>
  <c r="W13" i="2"/>
  <c r="J23" i="2"/>
  <c r="T20" i="2"/>
  <c r="U20" i="2" s="1"/>
  <c r="W20" i="2"/>
  <c r="Q20" i="2"/>
  <c r="R20" i="2" s="1"/>
  <c r="S20" i="2"/>
  <c r="J16" i="2"/>
  <c r="J15" i="2"/>
  <c r="Q16" i="2"/>
  <c r="R16" i="2" s="1"/>
  <c r="T16" i="2"/>
  <c r="U16" i="2" s="1"/>
  <c r="S16" i="2"/>
  <c r="W16" i="2"/>
  <c r="J17" i="2"/>
  <c r="H6" i="1" l="1"/>
  <c r="H5" i="1"/>
  <c r="I40" i="2"/>
  <c r="K39" i="2"/>
  <c r="F9" i="1"/>
  <c r="F11" i="1" s="1"/>
  <c r="F10" i="1"/>
  <c r="X23" i="2"/>
  <c r="I31" i="2"/>
  <c r="I32" i="2" s="1"/>
  <c r="U27" i="2"/>
  <c r="R27" i="2"/>
  <c r="W27" i="2"/>
  <c r="J27" i="2"/>
  <c r="H7" i="1" l="1"/>
  <c r="I41" i="2"/>
  <c r="K41" i="2" s="1"/>
  <c r="K40" i="2"/>
  <c r="L22" i="13"/>
  <c r="L23" i="13"/>
  <c r="K28" i="13"/>
  <c r="L21" i="13"/>
  <c r="K32" i="13"/>
  <c r="W29" i="2"/>
  <c r="W30" i="2"/>
  <c r="W28" i="2"/>
  <c r="U30" i="2"/>
  <c r="U28" i="2"/>
  <c r="U29" i="2"/>
  <c r="R30" i="2"/>
  <c r="R29" i="2"/>
  <c r="R28" i="2"/>
  <c r="K24" i="13" l="1"/>
  <c r="K34" i="13" s="1"/>
  <c r="L28" i="13"/>
  <c r="L29" i="13"/>
  <c r="U31" i="2"/>
  <c r="U32" i="2" s="1"/>
  <c r="R31" i="2"/>
  <c r="R32" i="2" s="1"/>
  <c r="W31" i="2"/>
  <c r="W32" i="2" s="1"/>
  <c r="W33" i="2" s="1"/>
  <c r="J34" i="13" l="1"/>
  <c r="C8" i="1" s="1"/>
  <c r="K30" i="13"/>
  <c r="K33" i="13"/>
  <c r="K35" i="13" l="1"/>
  <c r="J35" i="13"/>
  <c r="C12" i="1" l="1"/>
  <c r="F8" i="1"/>
  <c r="K36" i="13"/>
  <c r="K37" i="13" s="1"/>
  <c r="K38" i="13" s="1"/>
  <c r="F12" i="1" l="1"/>
  <c r="F13" i="1" l="1"/>
  <c r="F14" i="1" s="1"/>
  <c r="F15" i="1" s="1"/>
  <c r="F17" i="1" s="1"/>
</calcChain>
</file>

<file path=xl/sharedStrings.xml><?xml version="1.0" encoding="utf-8"?>
<sst xmlns="http://schemas.openxmlformats.org/spreadsheetml/2006/main" count="2125" uniqueCount="546">
  <si>
    <t>DESCRIPCION DE AREA:</t>
  </si>
  <si>
    <t>ADMINISTRACION</t>
  </si>
  <si>
    <t>UTILIDAD</t>
  </si>
  <si>
    <t>IMPREVISTOS</t>
  </si>
  <si>
    <t>TOTAL AIU%</t>
  </si>
  <si>
    <t xml:space="preserve">JORGE MARIO SOTO ROMAN                             INGENIERO CIVIL </t>
  </si>
  <si>
    <t>PRESUPUESTO DE OBRA CIVIL</t>
  </si>
  <si>
    <t>CONTRATISTA OPS095-MC043 DEL 2022</t>
  </si>
  <si>
    <t>Obra:</t>
  </si>
  <si>
    <t>EVALUACION FINANCIERA Y TECNICA  A TODO COSTO PARA OBRAS DE ADECUACIONES DE AULA B-LEARNING EN EXTENSION MARQIUETALIA Y MANZANARES DEL IES CINOC AÑO 2022</t>
  </si>
  <si>
    <t>FECHA:</t>
  </si>
  <si>
    <t>23 DE MAYO DE 2022</t>
  </si>
  <si>
    <t>ANALISIS UNITARIOS DEL QUINDIO 2022</t>
  </si>
  <si>
    <t>ADICIÓN</t>
  </si>
  <si>
    <t>MAYORES Y MENORES</t>
  </si>
  <si>
    <t>CAPITULO DE ACTIVIDADES DE OBRA EXTENSION MARQUETALIA</t>
  </si>
  <si>
    <t>%</t>
  </si>
  <si>
    <t>VALORES UNITARIOS</t>
  </si>
  <si>
    <t>VALOR PARCIAL POR ACTIVIDAD Y COMPONENTE</t>
  </si>
  <si>
    <t>MANZANARES</t>
  </si>
  <si>
    <t>MARQUETALIA</t>
  </si>
  <si>
    <t xml:space="preserve">ITEM </t>
  </si>
  <si>
    <t>DESCRIPCION Y ACTIVIDAD</t>
  </si>
  <si>
    <t>UND</t>
  </si>
  <si>
    <t>VALOR. UNITARIO</t>
  </si>
  <si>
    <t>VALOR. PARCIAL</t>
  </si>
  <si>
    <t>PORCETAJE</t>
  </si>
  <si>
    <t>VALOR M.O</t>
  </si>
  <si>
    <t>EQUIPOS</t>
  </si>
  <si>
    <t>MATERIAL</t>
  </si>
  <si>
    <t>CANT</t>
  </si>
  <si>
    <t>V/ TOTAL</t>
  </si>
  <si>
    <t>(+/-)</t>
  </si>
  <si>
    <t>V/TOTAL</t>
  </si>
  <si>
    <t>Suministro e instalación de cielo falso en PCV incluye estructura de soporte de los elementos no estructurales</t>
  </si>
  <si>
    <t>M2</t>
  </si>
  <si>
    <t>Suministro e instalación de lámparas tipo led lampara en panel circular de 8" 24w (cable bajo en halógenos)</t>
  </si>
  <si>
    <t>Desmonte, retiro y adecuación de área existente  de rejas metálicas existente en ventana</t>
  </si>
  <si>
    <t>Suministro e instalación de ventana metálica de dos naves corrediza incluye vidrio de 4mm de espesor no polarizado incluye rejas de protección incluye el suministro de todos los accesorios requeridos para el correcto montaje, así como el suministro e instalación de la silicona que sea requerida para garantizar una perfecta instalación</t>
  </si>
  <si>
    <t>Desmonte de marco y nave de puerta metálica existente incluye retiro</t>
  </si>
  <si>
    <t xml:space="preserve">Suministro e instalación de marco metálico y nave metálico incluye chapas de seguridad tipo yale (1.8x1.2)m </t>
  </si>
  <si>
    <t xml:space="preserve">
Suministro e instalación salida tomacorriente Reguladas  doble pt e, alambre no 12 awg.</t>
  </si>
  <si>
    <t>PTO</t>
  </si>
  <si>
    <t>suministro e instalación salida interruptor sencillo en tubería Conduit PVC 3/4", alambre no 12 awg.</t>
  </si>
  <si>
    <t>suministro e instalación salida  datos y/o audio  cat 6a - cat 6e Puntos con Longitud de 3 Metros para conexión de 24 puntos necesario</t>
  </si>
  <si>
    <t>Canalización en tubería PVC rectangular de 6 a 10 líneas de cables con la finalidad de suministro</t>
  </si>
  <si>
    <t>ML</t>
  </si>
  <si>
    <t>Acometida eléctrica trifásica en cable cobre calibre no 4 Ang para tablero red normal (3fases+1neutro+1tierra)</t>
  </si>
  <si>
    <t>revisión y reposición de puntos eléctricos como conexión a tablero de datos y eléctricos para manejo de voltajes ,  incluye tablero y par de break</t>
  </si>
  <si>
    <t>Suministro e instalación pisos sintéticos, tipo madera antideslizante, sintético y/o similar para mejoramiento de losa contrapiso existente aula</t>
  </si>
  <si>
    <t>Aplicación de pintura Tipo acrílico para exteriores de fachada principal  y posterior a dos (2) manos tipo 1 con garantía a 5 años, incluye de pintura para alfajías en gris basalto</t>
  </si>
  <si>
    <t>Suministro y aplicación de estuco resanes de  blanca como estucos y aplicación de pintura tipo vinilo para interiores de paredes de humedad del aula</t>
  </si>
  <si>
    <t>ITEMS NO PREVISTOS</t>
  </si>
  <si>
    <t>NP-02</t>
  </si>
  <si>
    <t>Suministro e instalación canaleta lisa para cables 100mm x 45mm con separador, incluye todos los accesorios necesarios para su correcta instalación</t>
  </si>
  <si>
    <t>NP-03</t>
  </si>
  <si>
    <t>SUMATORIIA CAPITULO DE ACTIVIADDES B-LEARNING MARQUETALIA</t>
  </si>
  <si>
    <t xml:space="preserve">COSTO TOTAL </t>
  </si>
  <si>
    <t>Desmonte de piso en tableta de pino, incluye acarreo horizontal, carga y retiro de material sobrante</t>
  </si>
  <si>
    <t>TOTAL</t>
  </si>
  <si>
    <t>VALOR UNITARIO</t>
  </si>
  <si>
    <t>Suministro e instalación de piso en laminas board con refuerzo en estructura de apoyo en perfil de madera cuartos de sajo de 20"</t>
  </si>
  <si>
    <t>Desmonte de marco nave de puerta metálica existente incluye retiro</t>
  </si>
  <si>
    <t>Acometida electrica trifasica en cable cobre calibre No. 4 Ang para tablero red normal (3 fases+ 1 neutro+ 1 tierra)</t>
  </si>
  <si>
    <t>Suministro e instalación pisos sinteticos, tipo madera antideslizante, sintetico y/o similar para mejoramiento de losa contrapiso exitente aula</t>
  </si>
  <si>
    <t>DESCRIPCION</t>
  </si>
  <si>
    <t>UNIDAD DE MEDIDA</t>
  </si>
  <si>
    <t>CANTIDAD</t>
  </si>
  <si>
    <t>VALOR TOTAL</t>
  </si>
  <si>
    <t>I</t>
  </si>
  <si>
    <t>CUADRILLAS</t>
  </si>
  <si>
    <t>CUADRILLA AA ALBAÑILERIA (1 OFC + 2 AYD)</t>
  </si>
  <si>
    <t>H/C</t>
  </si>
  <si>
    <t>AYUDANTE DE OBRA</t>
  </si>
  <si>
    <t>HH</t>
  </si>
  <si>
    <t>OFICIAL OBRA</t>
  </si>
  <si>
    <t>CUADRILLA CC PINTURA</t>
  </si>
  <si>
    <t>AYUDANTE PRACTICO</t>
  </si>
  <si>
    <t>CUADRILLA EE - INSTALACIONES ELECTRICAS</t>
  </si>
  <si>
    <t>AYUDANTE ELÉCTRICO</t>
  </si>
  <si>
    <t>OFICIAL ELECTRICO</t>
  </si>
  <si>
    <t>CUADRILLA DD CARPINTERIA</t>
  </si>
  <si>
    <t>AYUDANTE CARP MAD-MET/PINT/HIDRO</t>
  </si>
  <si>
    <t>OFICIAL CARP MAD-MET</t>
  </si>
  <si>
    <t>II</t>
  </si>
  <si>
    <t>APUS VARIOS</t>
  </si>
  <si>
    <t>DESMONTE DE VENTANA</t>
  </si>
  <si>
    <t>HERRAMIENTA MENOR</t>
  </si>
  <si>
    <t>% H/C</t>
  </si>
  <si>
    <t>Piso sintetico tipo madera antideslizante</t>
  </si>
  <si>
    <t>Pegante</t>
  </si>
  <si>
    <t>Gl</t>
  </si>
  <si>
    <t>MURO EN PLACA DE FIBROCEMENTO 6mm - 2 CARAS (INC. PINTURA) - e= 10,6CM</t>
  </si>
  <si>
    <t>CANAL 90MM</t>
  </si>
  <si>
    <t>UN</t>
  </si>
  <si>
    <t>PARAL 89MM</t>
  </si>
  <si>
    <t>LIJA DE AGUA</t>
  </si>
  <si>
    <t>TORNILLO CABEZA AUTO PERF</t>
  </si>
  <si>
    <t>TORNILLOS ESTANDAR No 6X1"</t>
  </si>
  <si>
    <t>TORNILLO CHAZO PUNTILLA</t>
  </si>
  <si>
    <t>CINTA MALLA PARA SUPERBOARD X 90 ML</t>
  </si>
  <si>
    <t>ROLLO</t>
  </si>
  <si>
    <t>MASILLA ACRILICA PARA INTERIORES (SUPERMASTIK)</t>
  </si>
  <si>
    <t>CUÑETE</t>
  </si>
  <si>
    <t>PLACA SUPERBOARD  SEIS  6MM ,   2,44m*1,2m</t>
  </si>
  <si>
    <t>SIKA PANEL</t>
  </si>
  <si>
    <t>KG</t>
  </si>
  <si>
    <t>PINTURA EN VINILO TIPO 1</t>
  </si>
  <si>
    <t>GL</t>
  </si>
  <si>
    <t>TUBERIA EMT 2" X ML</t>
  </si>
  <si>
    <t>CABLE COBRE ANTIFRAUDE  3*4 AWG + 1*6 AWG</t>
  </si>
  <si>
    <t>CABLE COBRE ENCAUCHETADO 1*4 AWG</t>
  </si>
  <si>
    <t>ACCESOSORIOS Y ACOPLES DE FIJACION ACOMETIDA ELECTRICA</t>
  </si>
  <si>
    <t xml:space="preserve">PUNTO TOMA CORRIENTE REGULADO </t>
  </si>
  <si>
    <t>TUBO CONDUIT PVC  1/2"  X 3 ML</t>
  </si>
  <si>
    <t>TUBO</t>
  </si>
  <si>
    <t>ADAPTADOR TERMINAL EMT 1/2"</t>
  </si>
  <si>
    <t>CAJA PVC 4*4 CON SUPLEMENTO</t>
  </si>
  <si>
    <t xml:space="preserve">CABLE COBRE CALIBRE #12  </t>
  </si>
  <si>
    <t xml:space="preserve">TOMA DOBLE </t>
  </si>
  <si>
    <t>16.33</t>
  </si>
  <si>
    <t>suministro e instalación salida datos y/o audio cat 6a - cat 6e Puntos con Longitud de 3 Metros para conexión de 24 puntos necesario</t>
  </si>
  <si>
    <t>CABLE UTP CAT6A 100% COBRE X ML  Amp</t>
  </si>
  <si>
    <t>JACK PLASTICO</t>
  </si>
  <si>
    <t>TOMA DATOS RJ 45 8H</t>
  </si>
  <si>
    <t>SALIDA TV LEGRAND</t>
  </si>
  <si>
    <t>REVISIÓN Y REPOSICION DE PUNTOS ELECTRICOS</t>
  </si>
  <si>
    <t>CINTA AISLANTE  3M TEMFLEX 1700</t>
  </si>
  <si>
    <t>ALAMBRE AISLADO COBRE #10 THW</t>
  </si>
  <si>
    <t>ALAMBRE AISLADO COBRE #12 THW</t>
  </si>
  <si>
    <t>CAJA BREAKER</t>
  </si>
  <si>
    <t>BREAKERS</t>
  </si>
  <si>
    <t>SALIDA DE INTERRUPTOR SENCILLO</t>
  </si>
  <si>
    <t>TUBO  CONDUIT 1/2"</t>
  </si>
  <si>
    <t>ADAPT TERMINAL 1/2 CONDUIT   PVC</t>
  </si>
  <si>
    <t>INTERRUPTOR SENCILLO INC.ABITARE</t>
  </si>
  <si>
    <t>CAJA GALVANIZADA 2X4</t>
  </si>
  <si>
    <t>TABLERO PARCIAL 6 CIRCUITOS</t>
  </si>
  <si>
    <t>ALAMBRE AISLADO COBRE #14 THW</t>
  </si>
  <si>
    <t>TABLERO INDELPA 6 CIRCUITOS</t>
  </si>
  <si>
    <t>AUTOMATICO DE 15 - 60 A</t>
  </si>
  <si>
    <t>TORNILLO D= 1/8"</t>
  </si>
  <si>
    <t xml:space="preserve">SELECTOR DE 3 POSICIONES TIPO BYPASS PARA UPS </t>
  </si>
  <si>
    <t>INTERRUPTOR DE 3 POSICIONES 25A 660V</t>
  </si>
  <si>
    <t>%H/C</t>
  </si>
  <si>
    <t>SUPERBOARD 14 MM</t>
  </si>
  <si>
    <t>CUARTON CHANU 3M</t>
  </si>
  <si>
    <t>TORNILLOS</t>
  </si>
  <si>
    <t xml:space="preserve">CIELO RASO EN PVC  INC. ESTRUCTURA, TORNILLERIA </t>
  </si>
  <si>
    <t>ANGULO PARA EST.  DE CIELO RASO</t>
  </si>
  <si>
    <t>PERFIL PERIMETRAL PARA CIELO RASO</t>
  </si>
  <si>
    <t>TORNILLO CABEZA LENTEJA PUNTA AGUDA</t>
  </si>
  <si>
    <t>VIGUETA C. RASO</t>
  </si>
  <si>
    <t>OMEGAS C. RASO</t>
  </si>
  <si>
    <t>LAMINA PVC 8 MM</t>
  </si>
  <si>
    <t>PUERTA COMPLETA EN LAMINA /C.22 (0,60-0,9*2)  INC. MARCO +PINTURA+CHAPA+PASADOR</t>
  </si>
  <si>
    <t>PUERTA MARCO CHAPA SENCILL/C.22 0.6-0.9 M</t>
  </si>
  <si>
    <t>ANTICORROSIVO</t>
  </si>
  <si>
    <t>PINTURA EN ESMALTE</t>
  </si>
  <si>
    <t>MORTERO 1:3</t>
  </si>
  <si>
    <t>M3</t>
  </si>
  <si>
    <t>CUADRILLA BB INSTALACIONES (1OFC + 1AY ENT + 1AY)</t>
  </si>
  <si>
    <t>VENTANA LAMINA  PINT , CAL 20  ,  INC.VIDRIO 4 MM</t>
  </si>
  <si>
    <t>VENTANA LAMINA CAL 20</t>
  </si>
  <si>
    <t>VIDRIO TRANSLUCIDO  4 MM</t>
  </si>
  <si>
    <t>SILICONA A 1000</t>
  </si>
  <si>
    <t>PINTURA EN VINILO TIPO 1  A  3 MANOS  INC. RESANES, FILOS Y DILATACIONES</t>
  </si>
  <si>
    <t>RODILLO DE FELPA 9"</t>
  </si>
  <si>
    <t>BROCHA</t>
  </si>
  <si>
    <t>PINTURA ACRILICA PARA EXTERIOR A TRES MANOS  2,5 m &lt;=  h &lt; 5 m SOBRE CONCRETO O REVOQUE</t>
  </si>
  <si>
    <t>PINTURA ACRILICA PARA EXTERIORES</t>
  </si>
  <si>
    <t>ANDAMIO TUBULAR DE 1.5 M.(SECCIÓN)</t>
  </si>
  <si>
    <t>DIA</t>
  </si>
  <si>
    <t>CANALETA LISA 100MM X 45MM</t>
  </si>
  <si>
    <t>ACCESORIOS</t>
  </si>
  <si>
    <t xml:space="preserve">CUADRILLA CC </t>
  </si>
  <si>
    <t>Suministro e instalación Switch con capacidad minima de 24 puertos RJ45, capacidad conmutación 48 Gbps</t>
  </si>
  <si>
    <t>SWITCH</t>
  </si>
  <si>
    <t>CABLE UTP CAT 6 100% COBRE X ML</t>
  </si>
  <si>
    <t xml:space="preserve">RJ45 </t>
  </si>
  <si>
    <t xml:space="preserve">ACOMETIDA ELECTRICA TRIFASICA EN CABLE COBRE CALIBRE N° 4 AWG PARA TABLERO RED NORMAL (3FASES+1NEUTRO+1TIERRA) </t>
  </si>
  <si>
    <t>PUNTO TOMA CORRIENTE REGULADO  (CABLE BAJO EN HALOGENOS)</t>
  </si>
  <si>
    <t>TUBO CONDUIT SCH40  1/2"  X 3 ML</t>
  </si>
  <si>
    <t>CABLE COBRE CALIBRE #12  (LIBRE DE HALÓGENOS)</t>
  </si>
  <si>
    <t>TOMA DOBLE TIPO HOSPITALARIO 15 Amp 125 V</t>
  </si>
  <si>
    <t>PUNTO VOZ Y DATOS EN CATEGORIA 6</t>
  </si>
  <si>
    <t>ENTREPISO EN MADERA (INC. ESTRUCTURA)</t>
  </si>
  <si>
    <t>TABLA PARA FORMALETA</t>
  </si>
  <si>
    <t>PUNTILLA CON CABEZA</t>
  </si>
  <si>
    <t>LB</t>
  </si>
  <si>
    <t>FIRMA CONSTRUCTORA</t>
  </si>
  <si>
    <t>ANALISIS  DE  PRECIOS  UNITARIOS</t>
  </si>
  <si>
    <t>EVALUACION FINANCIERA Y TECNICA PARA REHABILITACION DE INMUEBLE TURISTICO AFECTADO POR LLUVIAS DE TIPO TORRENCIAL, PREDIO LA ESPERANZA, VEREDA BUENOS AIRES BAJO, MUNICIPIO DE CALARCA QUINDIO</t>
  </si>
  <si>
    <t>LOCALIZACION-REPLANTEO OBRA ARQUITECTON.</t>
  </si>
  <si>
    <t>Unidad: M2</t>
  </si>
  <si>
    <t xml:space="preserve">ITEM:   </t>
  </si>
  <si>
    <t>CANT.</t>
  </si>
  <si>
    <t>DESP.%</t>
  </si>
  <si>
    <t>PRECIO UNIT</t>
  </si>
  <si>
    <t>EQUIPO</t>
  </si>
  <si>
    <t>SUBTOTAL EQUIPO</t>
  </si>
  <si>
    <t>MATERIALES</t>
  </si>
  <si>
    <t>LISTON 2 x2x3M.</t>
  </si>
  <si>
    <t>PUNTILLA 2 CC</t>
  </si>
  <si>
    <t>LBS</t>
  </si>
  <si>
    <t>PIOLA GRUESA 50 METROS</t>
  </si>
  <si>
    <t>ROL</t>
  </si>
  <si>
    <t>MINERAL ROJO</t>
  </si>
  <si>
    <t>KLS</t>
  </si>
  <si>
    <t>SUBTOTAL MATERIALES</t>
  </si>
  <si>
    <t>MANO DE OBRA</t>
  </si>
  <si>
    <t>Jornal</t>
  </si>
  <si>
    <t>Prestac.</t>
  </si>
  <si>
    <t>Jornal Ttl</t>
  </si>
  <si>
    <t>Rendim/Día</t>
  </si>
  <si>
    <t>Valor-Unit.</t>
  </si>
  <si>
    <t>M.O. ALBANILERIA 2 AYUDANTE-1 OFI</t>
  </si>
  <si>
    <t>SUBTOTAL MANO DE OBRA</t>
  </si>
  <si>
    <t>COSTO DIRECTO</t>
  </si>
  <si>
    <t>COSTOS INDIRECTOS</t>
  </si>
  <si>
    <t>IVA SOBRE LA UTILIDAD</t>
  </si>
  <si>
    <t>TOTAL COSTOS INDIRECTOS</t>
  </si>
  <si>
    <t>VALOR TOTAL ITEM</t>
  </si>
  <si>
    <t>DEMOL.EDIFICACION EXISTENTE + RETIRO</t>
  </si>
  <si>
    <t>VOLQUETA 5 M3</t>
  </si>
  <si>
    <t>VJE</t>
  </si>
  <si>
    <t>TIJERAS O DIAGONALES CORTAS O LARGAS</t>
  </si>
  <si>
    <t>ANDAMIO METALICO TUBULAR</t>
  </si>
  <si>
    <t>U/D</t>
  </si>
  <si>
    <t>TABLONES 3 MTS</t>
  </si>
  <si>
    <t>M.O. ALBANILERIA 5 AYUDANTE-1 OFI</t>
  </si>
  <si>
    <t>CAMPAMENTO TABLA 9 M2</t>
  </si>
  <si>
    <t>Unidad: UND</t>
  </si>
  <si>
    <t>VOLQUETA TRANSPORTE MAT.PETREOS 1-10KMS</t>
  </si>
  <si>
    <t>BALASTRO DE RIO CANTO RODADO-ARENA</t>
  </si>
  <si>
    <t>BISAGRA 3x2" COBRIZ</t>
  </si>
  <si>
    <t>CANDADO YALE 110-30</t>
  </si>
  <si>
    <t>GANCHO P/TEJA ASB. MADERA</t>
  </si>
  <si>
    <t>GUADUA [TACO] 2.50-3M</t>
  </si>
  <si>
    <t xml:space="preserve">TABLA 1x10x3M </t>
  </si>
  <si>
    <t>TEJA ONDULIT #6</t>
  </si>
  <si>
    <t>PORTACANDADO</t>
  </si>
  <si>
    <t>DEMOL.ANDEN/CONTRAPISO CONC.E 7.6 A 12CM</t>
  </si>
  <si>
    <t>PEDESTAL CONCRETO</t>
  </si>
  <si>
    <t>Unidad: M3</t>
  </si>
  <si>
    <t>CONCRETO 2500 PSI</t>
  </si>
  <si>
    <t>TABLA 1X10x3M [2C]</t>
  </si>
  <si>
    <t>M.O. ALBANILERIA 1 AYUDANTE-1 OFI</t>
  </si>
  <si>
    <t>EXCAVACION TIERRA A MANO</t>
  </si>
  <si>
    <t>M.O. ALBANILERIA 1 AYUDANTE</t>
  </si>
  <si>
    <t>PILAR-MADERA Y/O GUADUA DE 20 X 10 CM</t>
  </si>
  <si>
    <t>Unidad:  ML</t>
  </si>
  <si>
    <t xml:space="preserve">TINTILLA MADERA </t>
  </si>
  <si>
    <t>GLN</t>
  </si>
  <si>
    <t>LIJA 150 MADE GRANO 80</t>
  </si>
  <si>
    <t>PLI</t>
  </si>
  <si>
    <t>TORN P/MAD 5"X3/16 GOLOSO</t>
  </si>
  <si>
    <t>VIGA CHANUL 6X6X5M CEPILLADA Y CANTEADA</t>
  </si>
  <si>
    <t xml:space="preserve">LACA MADERA BRILLANTE 7400 </t>
  </si>
  <si>
    <t>PUNTILLA 3"</t>
  </si>
  <si>
    <t>M.O. CARP.MADERA CEPILLADO-CANTEADO</t>
  </si>
  <si>
    <t>VIGA AEREA Y AMARRE CUBIERTA D:0.15CM GUADUA INMUNIZADA</t>
  </si>
  <si>
    <t>Unidad: ML</t>
  </si>
  <si>
    <t>LIJA 180 MADE</t>
  </si>
  <si>
    <t>VIGA GUADUA</t>
  </si>
  <si>
    <t>M.O. CARP.MADERA 1 AYUDANTE-1 OFI</t>
  </si>
  <si>
    <t>VIGA MADERA CHANUL 3x6x4MTS CEPILL-CANT.</t>
  </si>
  <si>
    <t>INSTALACION TEJA ALUMINIO</t>
  </si>
  <si>
    <t>TUBO PVC 1,1/2"</t>
  </si>
  <si>
    <t xml:space="preserve">LIMPIADOR PVC 760-G 1/4 GL </t>
  </si>
  <si>
    <t xml:space="preserve">SOLDADURA PVC 1/ 4 GLN </t>
  </si>
  <si>
    <t xml:space="preserve">TUBO PVC 11/2" X 3 MTS </t>
  </si>
  <si>
    <t>M.O. ELECTRICAS 1 AYUDANTE-1 OFI</t>
  </si>
  <si>
    <t>LAMP ELECTRONICA 2x32 LFS-CIELO FALSO</t>
  </si>
  <si>
    <t>ALAMBRE GALVANIZADO # 18 U</t>
  </si>
  <si>
    <t>LAMP LFS 2x32 ELECTRON ILUMINACIONES TECNIC</t>
  </si>
  <si>
    <t>SAL SWITCHE (C/T)</t>
  </si>
  <si>
    <t xml:space="preserve">TERMINAL PVC 1/2" </t>
  </si>
  <si>
    <t>CURVA PVC 1/2" PLASTIMEC</t>
  </si>
  <si>
    <t xml:space="preserve">TUBO PVC 1/2" X 3 MTS </t>
  </si>
  <si>
    <t xml:space="preserve">CAJA 2x4 PVC </t>
  </si>
  <si>
    <t>EQUIPO SONIDO CON SALIDAS 2 TORRES</t>
  </si>
  <si>
    <t>Unidad:   UND</t>
  </si>
  <si>
    <t>SUBTOTAL- EQUIPO</t>
  </si>
  <si>
    <t>SUBTOTAL- MANO DE OBRA</t>
  </si>
  <si>
    <t>TOTAL COSTOS INDIRECTOS:</t>
  </si>
  <si>
    <t>ENFRIADOR Y/ NEVERA BEBIDAS PUNTO DE VENTA</t>
  </si>
  <si>
    <t>UNIDAD:   UND</t>
  </si>
  <si>
    <t>MANTENIEMTO VARIOS (ESTANTES, MESAS, SILLAS, ENTRE OTROS)</t>
  </si>
  <si>
    <t>LACA MADERA MATE 7402</t>
  </si>
  <si>
    <t>LTS</t>
  </si>
  <si>
    <t>RESUMEN  DE  INSUMOS</t>
  </si>
  <si>
    <t>CODIGO</t>
  </si>
  <si>
    <t>CLASIF</t>
  </si>
  <si>
    <t>VR. UNIT.</t>
  </si>
  <si>
    <t>VR.TOTAL</t>
  </si>
  <si>
    <t>G1</t>
  </si>
  <si>
    <t>ELECTRICOS</t>
  </si>
  <si>
    <t>ALAMBRE GALVANIZADO # 18 UKG</t>
  </si>
  <si>
    <t>1</t>
  </si>
  <si>
    <t>CARP. METALICA</t>
  </si>
  <si>
    <t>BISAGRA 3x2" COBRIZUND</t>
  </si>
  <si>
    <t>CAJA 2x4 PVC UND</t>
  </si>
  <si>
    <t>VARIOS</t>
  </si>
  <si>
    <t>CANDADO YALE 110-30UND</t>
  </si>
  <si>
    <t>CURVA PVC 1/2" PLASTIMECUND</t>
  </si>
  <si>
    <t>CUBIERTA</t>
  </si>
  <si>
    <t>GANCHO P/TEJA ASB. MADERAUND</t>
  </si>
  <si>
    <t>MADERAS</t>
  </si>
  <si>
    <t>GUADUA [TACO] 2.50-3MUND</t>
  </si>
  <si>
    <t>LAMP LFS 2x32 ELECTRON ILUMINACIONES TECNICUND</t>
  </si>
  <si>
    <t>OTROS MATERIALES</t>
  </si>
  <si>
    <t>LIJA 150 MADE GRANO 80PLI</t>
  </si>
  <si>
    <t>LIMPIADOR PVC 760-G 1/4 GL UND</t>
  </si>
  <si>
    <t>AGREGADOS</t>
  </si>
  <si>
    <t>MINERAL ROJOKLS</t>
  </si>
  <si>
    <t>PIOLA GRUESA 50 METROSROL</t>
  </si>
  <si>
    <t>PORTACANDADOUND</t>
  </si>
  <si>
    <t>HIERROS</t>
  </si>
  <si>
    <t>PUNTILLA 2 CCLBS</t>
  </si>
  <si>
    <t>PUNTILLA 3"LBS</t>
  </si>
  <si>
    <t>MAT. DE RIO</t>
  </si>
  <si>
    <t>BALASTRO DE RIO CANTO RODADO-ARENAM3</t>
  </si>
  <si>
    <t>SOLDADURA PVC 1/ 4 GLN UND</t>
  </si>
  <si>
    <t>TABLA 1x10x3M UND</t>
  </si>
  <si>
    <t>TABLA 1X10x3M [2C]UND</t>
  </si>
  <si>
    <t>TEJA ONDULIT #6UND</t>
  </si>
  <si>
    <t>TERMINAL PVC 1/2" UND</t>
  </si>
  <si>
    <t>PINTURAS</t>
  </si>
  <si>
    <t>TINTILLA MADERA GLN</t>
  </si>
  <si>
    <t>TUBO PVC 1/2" X 3 MTS UND</t>
  </si>
  <si>
    <t>TUBO PVC 11/2" X 3 MTS UND</t>
  </si>
  <si>
    <t>VIGA GUADUAUND</t>
  </si>
  <si>
    <t>LACA MADERA BRILLANTE 7400 GLN</t>
  </si>
  <si>
    <t>LIJA 180 MADEPLI</t>
  </si>
  <si>
    <t>VIGA CHANUL 6X6X5M CEPILLADA Y CANTEADAUND</t>
  </si>
  <si>
    <t>LACA MADERA MATE 7402LTS</t>
  </si>
  <si>
    <t>CONCRETO 2500 PSIM3</t>
  </si>
  <si>
    <t>LISTON 2 x2x3M.UND</t>
  </si>
  <si>
    <t>TORN P/MAD 5"X3/16 GOLOSOUND</t>
  </si>
  <si>
    <t>G2</t>
  </si>
  <si>
    <t>Jornal+PS</t>
  </si>
  <si>
    <t>M.O. ALBANILERIA 1 AYUDANTEJornal+PS</t>
  </si>
  <si>
    <t>2</t>
  </si>
  <si>
    <t>M.O. ALBANILERIA 1 AYUDANTE-1 OFIJornal+PS</t>
  </si>
  <si>
    <t>M.O. ALBANILERIA 2 AYUDANTE-1 OFIJornal+PS</t>
  </si>
  <si>
    <t>M.O. ALBANILERIA 5 AYUDANTE-1 OFIJornal+PS</t>
  </si>
  <si>
    <t>M.O. CARP.MADERA 1 AYUDANTE-1 OFIJornal+PS</t>
  </si>
  <si>
    <t>M.O. ELECTRICAS 1 AYUDANTE-1 OFIJornal+PS</t>
  </si>
  <si>
    <t>M.O. CARP.MADERA CEPILLADO-CANTEADOJornal+PS</t>
  </si>
  <si>
    <t>G3</t>
  </si>
  <si>
    <t>ANDAMIO METALICO TUBULARU/D</t>
  </si>
  <si>
    <t>3</t>
  </si>
  <si>
    <t>GLB</t>
  </si>
  <si>
    <t>HERRAMIENTA MENORGLB</t>
  </si>
  <si>
    <t>TABLONES 3 MTSDIA</t>
  </si>
  <si>
    <t>TIJERAS O DIAGONALES CORTAS O LARGASDIA</t>
  </si>
  <si>
    <t>VOLQUETA 5 M3VJE</t>
  </si>
  <si>
    <t>VOLQUETA TRANSPORTE MAT.PETREOS 1-10KMSM3</t>
  </si>
  <si>
    <t>VALOR TOTAL INSUMOS</t>
  </si>
  <si>
    <t>NOTA: Análisis de precios unitarios obtenidos de base de datos dde compra de los insumos sectoriales en marquetalia y manzanares</t>
  </si>
  <si>
    <t>VALOR PARCIAL MARUETALIA</t>
  </si>
  <si>
    <t>COSTOS OFERTA</t>
  </si>
  <si>
    <t>COSTOS MODIFICACION</t>
  </si>
  <si>
    <t>VALOR PARCIAL MARQUETALIA</t>
  </si>
  <si>
    <t>COSTOS DIFERENCIA</t>
  </si>
  <si>
    <t xml:space="preserve">VALORES PROPUESTA </t>
  </si>
  <si>
    <t>CANTIDAD PRESUPUESTADA</t>
  </si>
  <si>
    <t>EVALUACION FINANCIERA Y TECNICA  A TODO COSTO PARA OBRAS DE ADECUACIONES, OBRAS NUEVAS Y OBRAS COMPLEMENTARIAS DE INFRAESTRUCTURA PARA LOS PROYECTOS ACEDEMICOS DE ORDEN AGROPECUARIO EN LA CENTRO DE TRANSFORMACION TECNOLOGICO LA GRANJA CTT DEL IES CINOC PARA EL AÑO 2022</t>
  </si>
  <si>
    <t>JUSTIFICACION AIU (ADMINITRACION, UTILIDAD E IMPREVISTOS)</t>
  </si>
  <si>
    <t xml:space="preserve">1. COSTOS DE PROFESIONAL AREA TECNICA </t>
  </si>
  <si>
    <t>ÍTEM</t>
  </si>
  <si>
    <t>EXPERIENCIA REQUERIDA</t>
  </si>
  <si>
    <t>DEDICACION (%)</t>
  </si>
  <si>
    <t>FACTOR PRESTACIONAL</t>
  </si>
  <si>
    <t>DISCRIMINACION SALARIO</t>
  </si>
  <si>
    <t>SALUD</t>
  </si>
  <si>
    <t>REISGO</t>
  </si>
  <si>
    <t>PENSION</t>
  </si>
  <si>
    <t>Mano de Obra Calificada</t>
  </si>
  <si>
    <t>BASE</t>
  </si>
  <si>
    <t>BASE REAL</t>
  </si>
  <si>
    <t xml:space="preserve">Ingeneiro civil </t>
  </si>
  <si>
    <t>Profesional universitariocon experiencia mayor a 6 meses</t>
  </si>
  <si>
    <t xml:space="preserve">Mes </t>
  </si>
  <si>
    <t>Maestro de obra civil y/o tecnologo en obra civil</t>
  </si>
  <si>
    <t>Tecnólogo o tecnico con experiencia de 3 años de educación superior aprobados</t>
  </si>
  <si>
    <t>Pagos responsabilidad salud, riesgo y pension</t>
  </si>
  <si>
    <t>pago de salud, riesgo y pension en funcion de 40% base de cotizacion del valor total de personal</t>
  </si>
  <si>
    <t>VARIABLE</t>
  </si>
  <si>
    <t>SUMATORIA TOTAL DE PAGO SLUD</t>
  </si>
  <si>
    <t>FACTOR VARIABLE DE PAGO SALUD</t>
  </si>
  <si>
    <t>2. COSTOS PAPELIA Y OTROS  (estimados para el desarrollo de la actividad)</t>
  </si>
  <si>
    <t>DESCRIPCIÓN COSTOS INDIRECTOS</t>
  </si>
  <si>
    <t>UNIDAD</t>
  </si>
  <si>
    <t>MESES</t>
  </si>
  <si>
    <t>COSTO PARCIAL</t>
  </si>
  <si>
    <t xml:space="preserve">Papelería, Copias, plotear de planos , preparación  y entraga de los inforemes tecnicos, cuentas de cobro, preparacion de bitacoras entre otros  profesionales tanto fisicos como digitales </t>
  </si>
  <si>
    <t>Global</t>
  </si>
  <si>
    <t>SUBTOTAL COSTOS INDIRECTOS</t>
  </si>
  <si>
    <t>3. DOCUMENTOS DE LEGALIZACION DEL CONTRATO DE OBRA Y RETENCIONES COMO COSTOS ADMINITRATIVOS</t>
  </si>
  <si>
    <t>COSTO DIRECTO DE OBRA</t>
  </si>
  <si>
    <t xml:space="preserve">Polizas de buen manejo del anticipo (50%) , Cumplimiento (10%) y prestaciones(5%) </t>
  </si>
  <si>
    <t>Impuesto departamental a la contruccion de obra civil</t>
  </si>
  <si>
    <t>Retencion del ICA</t>
  </si>
  <si>
    <t xml:space="preserve">SUBTOTAL COSTOS DE LEGALIZACION E IMPUESTOS </t>
  </si>
  <si>
    <t>4. COSTOS INDIRECTOS GENERALES DEL AIU%</t>
  </si>
  <si>
    <t>SUBTOTAL COSTOS DE INDIRECTOR DEL AIU%</t>
  </si>
  <si>
    <t xml:space="preserve">VALOR DIRECTO DE OBRA </t>
  </si>
  <si>
    <t xml:space="preserve">IVA SOBRE UTIIDAD </t>
  </si>
  <si>
    <t>VALOR Y PORCENTAJE DE ADMINISTRACION DEL AIU%</t>
  </si>
  <si>
    <t>COSTO TOTAL  INDIRECTO AIU%</t>
  </si>
  <si>
    <t>RETENCION 2%</t>
  </si>
  <si>
    <t>COSTO TOTAL  OBRA DIRECTO + INDIRECTA (INCLUYE  AIU%)</t>
  </si>
  <si>
    <r>
      <rPr>
        <b/>
        <i/>
        <sz val="11"/>
        <color theme="1"/>
        <rFont val="Calibri"/>
        <family val="2"/>
        <scheme val="minor"/>
      </rPr>
      <t xml:space="preserve">NOTA NO.1: Los honorarios establecidos en la tabla de costo de personal es obtenido en fundamento a la  RESOLUCIÓN No. 001 IES CINOC: </t>
    </r>
    <r>
      <rPr>
        <i/>
        <sz val="11"/>
        <color theme="1"/>
        <rFont val="Calibri"/>
        <family val="2"/>
        <scheme val="minor"/>
      </rPr>
      <t xml:space="preserve">(De enero 17 de 2022): Por medio del cual se modifica la tabla de honorarios para los contratistas por prestación de servicios profesionales y de apoyo a la gestión de la IES CINOC para la vigencia 2022. segun el </t>
    </r>
    <r>
      <rPr>
        <b/>
        <i/>
        <sz val="11"/>
        <color theme="1"/>
        <rFont val="Calibri"/>
        <family val="2"/>
        <scheme val="minor"/>
      </rPr>
      <t>ARTÍCULO PRIMERO:</t>
    </r>
    <r>
      <rPr>
        <i/>
        <sz val="11"/>
        <color theme="1"/>
        <rFont val="Calibri"/>
        <family val="2"/>
        <scheme val="minor"/>
      </rPr>
      <t xml:space="preserve"> Adoptar para la vigencia 2022, la tabla que fija los honorarios, los cuales no incluyen IVA, para los contratos por prestación de servicios profesionales y de apoyo a la gestión suscritos entre personas naturales y el Colegio Integrado Nacional Oriente de Caldas – IES CINOC, teniendo en cuenta el nivel de formación y experiencia. </t>
    </r>
  </si>
  <si>
    <r>
      <rPr>
        <b/>
        <i/>
        <sz val="11"/>
        <color theme="1"/>
        <rFont val="Calibri"/>
        <family val="2"/>
        <scheme val="minor"/>
      </rPr>
      <t>NOTA NO.2:</t>
    </r>
    <r>
      <rPr>
        <i/>
        <sz val="11"/>
        <color theme="1"/>
        <rFont val="Calibri"/>
        <family val="2"/>
        <scheme val="minor"/>
      </rPr>
      <t xml:space="preserve"> Los</t>
    </r>
    <r>
      <rPr>
        <b/>
        <i/>
        <sz val="11"/>
        <color theme="1"/>
        <rFont val="Calibri"/>
        <family val="2"/>
        <scheme val="minor"/>
      </rPr>
      <t xml:space="preserve"> conceptos, bases y tarifas de retención en la fuente</t>
    </r>
    <r>
      <rPr>
        <i/>
        <sz val="11"/>
        <color theme="1"/>
        <rFont val="Calibri"/>
        <family val="2"/>
        <scheme val="minor"/>
      </rPr>
      <t xml:space="preserve"> segun lo establecido por la DIAN para año agravante es 2022 según lo establecido y el presupuesto asignado a esta contratación comprende todos los costos que se puedan generar. Comprende todos los gastos, impuestos, ganancias, imprevistos, deducciones, y retenciones que legalmente haya lugar (EMPRESA CON RUP-RUT, PESONA JURUIDCA, PERSONA NATURAL Y /O CONSORCIOS); valores generados con la presentación de La oferta, suscripción del contrato y su posterior ejecución. Por lo tanto, el proponente deberá proyectar todos los costos directos e indirectos en que pudiera incurrir durante la ejecución del contrato como se presenta el la tabla y correspondan a su situacion financiera y contable de orden juridco que haya lugar.</t>
    </r>
  </si>
  <si>
    <t>PRESUPUESTO PRELIMINAR A INVERSION</t>
  </si>
  <si>
    <t>PROYECCIÓN DE INVERSION</t>
  </si>
  <si>
    <t>REVISIÓN Y REPOSICION DE PUNTOS ELECTRICOS PARA TABALERO EXISTENTE</t>
  </si>
  <si>
    <t>Suministro e instalación de lámparas tipo lel ampara en panel circular de 8" 24w (cable bajo en halógenos)</t>
  </si>
  <si>
    <t xml:space="preserve">VALOR DIRECTO  DEL PROYECTO </t>
  </si>
  <si>
    <t>Suministro e instalación de cielo falso en PCV incluye estructura de soporte de los elementos no estructurales incluye frescasa</t>
  </si>
  <si>
    <t>CABLE COBRE CALIBRE #14  (LIBRE DE HALÓGENOS)</t>
  </si>
  <si>
    <t>LAMPARA RUBULAR DOBLE DE SOBREPONER 24W 18 LUMINES</t>
  </si>
  <si>
    <t>FRESCASA AILANTE TERMICO Y ACUSTICO</t>
  </si>
  <si>
    <t>Desmonte y adecuación de áreaS existente en paneles de aluminio y vidrio (Utilización d e material existe)</t>
  </si>
  <si>
    <t>APU - SUBPROYECTO 1</t>
  </si>
  <si>
    <t>CONTRATISTA OPS159 DEL 2022</t>
  </si>
  <si>
    <t>IVA SOBRE UTILIDAD</t>
  </si>
  <si>
    <t>SUMATORIA VALOR SUBTOTAL</t>
  </si>
  <si>
    <t>RETENCIONES</t>
  </si>
  <si>
    <t xml:space="preserve">CANTIDAD </t>
  </si>
  <si>
    <t>13 DE MARZO DE 2023</t>
  </si>
  <si>
    <t>PLACA SUPERBOARD   8 MM ,  2,44m*1,2m</t>
  </si>
  <si>
    <t xml:space="preserve">EVALUACION TECNICA Y FINANCIERA PARA ADECUACIONES DE AREA EN GYM, SALUD FISICA Y PSCIOLOGICA DE LINEA ESTRATEGICA DE BIENESTAR UNIVERSITARIO EN LA SEDE CENTRAL DEL IES CINOC </t>
  </si>
  <si>
    <t>MURO EN PLACA DE FIBROCEMENTO 8mm - 2 CARA (INC. ACABADOS - AILASMIENTO ACUSTICO ) - e= 10,6CM</t>
  </si>
  <si>
    <t>VENTANA EN ALUMINIO INC VIDRIO 4MM</t>
  </si>
  <si>
    <t>SUMATORIA COSTO DIRECTO 2</t>
  </si>
  <si>
    <t>SUMATORIA COSTO DIRECTO 1</t>
  </si>
  <si>
    <t xml:space="preserve">SUB PROYECTO.2 AREA SALUD PROGRAMA ENFERMERIA Y PISCOLOGIA Y BIENESTAR UNIVERSITARIO IES CINOC </t>
  </si>
  <si>
    <t xml:space="preserve">SUB PROYECTO.2 AREA SALUD PROGRAMA ENFERMERIA Y PISCOLOGIA Y BIENESTAR  INSTITUCIONAL IES CINOC </t>
  </si>
  <si>
    <t xml:space="preserve">SUMINISTRO E INSTALACION DE PUERTA EN ALUMINIO, INCLUYE VIDRIO 4MM, CERRADURA, MARCO Y NAVE </t>
  </si>
  <si>
    <t>PUERTA EN ALUMINIO F 06  (0,70 - 1,00 M) - VIDRIO OPALIZADO  DE  4MM, MARCO Y CHAPA</t>
  </si>
  <si>
    <t xml:space="preserve">SUMINISTRO E INSTALACION VENTANA DOBEL CORREDIZA EN ALUMINIIO SECC. (1,5*1,5*2UND)  Inc. Perfiles, alfajias,  y herrajes necesarios para su corresta instalación y funcionamiento sobre muro placa fibrocemento </t>
  </si>
  <si>
    <t xml:space="preserve">SUMINISTRO E INSTALACION VENTANA SIMPLE CORREDIZA EN ALUMINIIO SECC. (1,0*1,5*1UND )  Inc. Perfiles, alfajias,  y herrajes necesarios para su corresta instalación y funcionamiento sobre muro placa fibrocemento de 8mm </t>
  </si>
  <si>
    <t>PINTURA TEXTURIZADA HIDROREPELENTE</t>
  </si>
  <si>
    <t xml:space="preserve">Tubo conduit, curva, adaptador, limpiador, soldadura PVC 1/2" </t>
  </si>
  <si>
    <t>und</t>
  </si>
  <si>
    <t xml:space="preserve">TOMA CORRIENTE DOBLE </t>
  </si>
  <si>
    <t>SALIDA DOBLE TOMA CORRIENDO SIMPLE CABLE CU # 12 THHN AWG, TUBERIA PVC 1/2" LONG PROME 6 m</t>
  </si>
  <si>
    <t xml:space="preserve">CABLE UTP CAT6A </t>
  </si>
  <si>
    <t xml:space="preserve">ACESOORIOS </t>
  </si>
  <si>
    <t xml:space="preserve">
SUMINISTRO E INSTALACIÓN SALIDA DATOS Y/O AUDIO CAT 5A – 6 - CAT 6E PUNTOS CON LONGITUD DE 6 METROS </t>
  </si>
  <si>
    <t>BIENESTAR INSTITUCIONAL IES CINOC</t>
  </si>
  <si>
    <t>RAMPA DE ACECSO MOVILIDAD REDUCIDA, PLACA CONTRAPISO E: 10CM  CONCRETO 21MPA</t>
  </si>
  <si>
    <t>SUMINISTRO Y APLICACIÓN DE PINTURA EXTERIOR ACRILICA TEXTURIZADA IMPERMEABILIZADA  PARA EXTERIORES INCLUYE FILOS Y DILATACIONES</t>
  </si>
  <si>
    <t>SUMINITRO MANO DE OBRA ADECUACIONES Y/O INSTALACIONES VARIAS EN MATERIAL LIVIANO</t>
  </si>
  <si>
    <t xml:space="preserve">SUB PROYECTO.1 ALTERNATIVA A. AREA DEPORTIVA SALUD FISICA GYM BIENESTAR UNIVERSITARIO IES CINOC </t>
  </si>
  <si>
    <t>1b</t>
  </si>
  <si>
    <t>2b</t>
  </si>
  <si>
    <t>3b</t>
  </si>
  <si>
    <t>4b</t>
  </si>
  <si>
    <t>5b</t>
  </si>
  <si>
    <t>6b</t>
  </si>
  <si>
    <t>7b</t>
  </si>
  <si>
    <t>8b</t>
  </si>
  <si>
    <t xml:space="preserve">SUMINISTRO E INSTALCION DE VIDRIO TEMPLADO POR DOS EN 6+6 CON LAMINADO DE SEGURIDAD INCLUYE ESTRUCTURA DE SOPORTE EN ALUMINIO MODULADA PARA EXTERIROES NO INCLUYE TRANSPORTE DE MANIZALES A PENSILVANIA </t>
  </si>
  <si>
    <t xml:space="preserve">SUB PROYECTO.1 ALTERNATIVA B AREA DEPORTIVA SALUD FISICA GYM BIENESTAR INSTITUCIONAL IES CINOC </t>
  </si>
  <si>
    <t xml:space="preserve">DIFERENCIA DE MINIMA CUANTIA </t>
  </si>
  <si>
    <t xml:space="preserve"> </t>
  </si>
  <si>
    <t>INVERCRYL - ACRONAL - ENTRE OTROS 500GR</t>
  </si>
  <si>
    <t>I.     ANALISIS SALARIAL Y FACTOR PRESTACIONAL</t>
  </si>
  <si>
    <t xml:space="preserve">ASIGNACIÓN MENSUAL INDIVIDUAL AYUDANTES    </t>
  </si>
  <si>
    <t>ASIGNACIÓN MENSUAL INDIVIDUAL AYUDANTES</t>
  </si>
  <si>
    <t xml:space="preserve">  1 SMMLV</t>
  </si>
  <si>
    <t xml:space="preserve">  1,5  SMMLV</t>
  </si>
  <si>
    <t xml:space="preserve">  2  SMMLV</t>
  </si>
  <si>
    <t>I.     SALARIOS 2023</t>
  </si>
  <si>
    <t>Descripción</t>
  </si>
  <si>
    <t>Ayudante / Operario</t>
  </si>
  <si>
    <t>Ayudante / practico</t>
  </si>
  <si>
    <t>Oficial/ Administrativo</t>
  </si>
  <si>
    <t>SALARIO BASICO AÑO  2023</t>
  </si>
  <si>
    <t>Días Liquidados</t>
  </si>
  <si>
    <t>FACTOR MULTIPLICADOR DE ACUERDO A LA BASE SALARIAL</t>
  </si>
  <si>
    <t>A quienes devengan hasta 1,5  SMMLVM</t>
  </si>
  <si>
    <t>Asignación Básica Mensual</t>
  </si>
  <si>
    <t xml:space="preserve">A quienes devengen mas de 1,5 hasta 2 SMMLVM </t>
  </si>
  <si>
    <t>Auxilio de Transporte</t>
  </si>
  <si>
    <t>A quienes devengen mas de 2 SMMLVM</t>
  </si>
  <si>
    <t>Prima (Salario+auxilio de transporte)</t>
  </si>
  <si>
    <t>Cesantías</t>
  </si>
  <si>
    <t>PERSONAL</t>
  </si>
  <si>
    <t>BASE SALARIAL</t>
  </si>
  <si>
    <t>MES</t>
  </si>
  <si>
    <t>HORA</t>
  </si>
  <si>
    <t>Interés a la cesantías</t>
  </si>
  <si>
    <t>SIN PREST</t>
  </si>
  <si>
    <t>CON PREST</t>
  </si>
  <si>
    <t>Vacaciones</t>
  </si>
  <si>
    <t>Dotación</t>
  </si>
  <si>
    <t>Salud</t>
  </si>
  <si>
    <t>Aportes Parafiscales (Caja compensacion 4%)</t>
  </si>
  <si>
    <t>Aportes Parafiscales (ICBF 3%)</t>
  </si>
  <si>
    <t>Aportes Parafiscales (SENA 2%)</t>
  </si>
  <si>
    <t>Pensiones</t>
  </si>
  <si>
    <t>Riesgos Profesionales</t>
  </si>
  <si>
    <t>OFICIAL HIDROSANITARIO / PINTURA / INSTALACIONES</t>
  </si>
  <si>
    <t>Total Salario Mes</t>
  </si>
  <si>
    <t>TOPOGRAFO CON EQUIPO</t>
  </si>
  <si>
    <t>TOPOGRAFO SIN EQUIPO</t>
  </si>
  <si>
    <t>DIBUJANTE ARQUITECTURA - INGENIERIA</t>
  </si>
  <si>
    <t>CADENERO 1</t>
  </si>
  <si>
    <t>CADENERO 2</t>
  </si>
  <si>
    <t>CUADRILLA BB INSTALACIONES (1 OFC + 1 AYD + 1 ENT)</t>
  </si>
  <si>
    <t>CUADRILLA CC PINTURA  (1 OFC + 1 AYD + 1 ENT)</t>
  </si>
  <si>
    <t>CUADRILLA EE ELECTRICA  (1 ELEC + 2 AYD ELEC)</t>
  </si>
  <si>
    <t>CUADRILLA DE CARPINTERIA (1 CARP + 1 OFC)</t>
  </si>
  <si>
    <t>COMISION TOPOGRAFIA  (1TOP+1CAD1+2CAD2)</t>
  </si>
  <si>
    <t>CUADRILLA AAA ALBAÑILERIA (2 AYD)</t>
  </si>
  <si>
    <t>HERRAMIENTA MENOR Y/O EQUIPO MANUAL DE TRANSPORTE</t>
  </si>
  <si>
    <t>SUMINITRO DE MANO DE OBRA para acarreo horizontal y vertical  de elementos de gimnasio de piso 4 bloque a hasta  piso 1 bloque b</t>
  </si>
  <si>
    <t>SUMINISTRO E INSTALACION de persianas enrollable tipo lockout textura color blanco para ventanas sencilla (100x170)cm y Dobles (130x180)cm</t>
  </si>
  <si>
    <t>PERSIANAS ENROLLABLE TIPO LOCKOUT TEXTURA COLOR BLANCO PARA VENTANAS SENCILLA (100X170)CM INCLUIYE ACCESORIOS DE INSTALACION</t>
  </si>
  <si>
    <t xml:space="preserve">PERSIANAS ENROLLABLE TIPO LOCKOUT TEXTURA COLOR BLANCO PARA VENTANAS DOBLES (130X180)CM INCLUYE ACCESORIOS DE INSTALACION </t>
  </si>
  <si>
    <t xml:space="preserve">
SUMINISTRO E INSTALCION DE VIDRIO TEMPLADO por dos en 6+6 con laminado de seguridad incluye estructura de soporte en aluminio modulada según especificaciones del proveedor, incluye accesorios para correcta instalación y funcionamiento</t>
  </si>
  <si>
    <t xml:space="preserve">TRASNPORTE DE INSMUNOS </t>
  </si>
  <si>
    <t>VIAJE</t>
  </si>
  <si>
    <t>SUMINISTRO DE VIDRIO TEMPLADO POR DOS EN 6+6 CON LAMINADO DE SEGURIDAD INCLUYE ESTRUCTURA DE SOPORTE EN ALUMINIO MODULADA SEGÚN ESPECIFICACIONES DEL PROVEEDOR, INCLUYE ACCESORIOS PARA CORRECTA INSTALACIÓN Y FUNCIONAMIENTO</t>
  </si>
  <si>
    <t>PINTURA EN ACLICA EXTERIOR</t>
  </si>
  <si>
    <t>PINTURA VINILO BLANCO INTERIOR TIPO 1</t>
  </si>
  <si>
    <t xml:space="preserve">
SUMINISTRO Y APLICACIÓN PINTURA ACRÍLICA PARA EXTERIOR a Dos  manos   h menor a 3 m sobre  pintura existente con manejo de humedad y resanes</t>
  </si>
  <si>
    <t xml:space="preserve">
SUMINISTRO Y APLICACIÓN PINTURA VINILICA  PARA INTERIOR a Dos manos   h menor a 2.50 m sobre  pintura y resanes</t>
  </si>
  <si>
    <t>LAMPARA RECTANGULAR EN LED DE 1,20 X 0,30M DE SOBREPONER E INCRUTAR ESTRUCTURA DE SOPORTE</t>
  </si>
  <si>
    <t>SUMINISTRO E INSTALACION DE PUERTA EN ALUMINIO, incluye vidrio 4mm, cerradura, marco y nave</t>
  </si>
  <si>
    <t>SUMINISTRO E INSTALACIÓN DE LÁMPARAS TIPO LED min 46w en panel rectangular de 1,20x0,30 de sobreponer estructura en cielo PVC</t>
  </si>
  <si>
    <t xml:space="preserve">INTERRUPTOR SENCILLO </t>
  </si>
  <si>
    <t>SUMINISTRO E INSTALACION DE PUNTO INTERRUPTOR sencillo para iluminacion de lamapaa led en cielo PVC</t>
  </si>
  <si>
    <t>SUMINISTRO E INSTALACIÓN SALIDA TOMACORRIENTE doble de incrustar sobre canaleta lisa de 100x45mm</t>
  </si>
  <si>
    <t xml:space="preserve">SUMINISTRO E INSTALACIÓN SALIDA DATOS Y/O AUDIO cat 6a - cat 6e Puntos con Longitud de 3 Metros para extensión de conexión incluye accesorios  </t>
  </si>
  <si>
    <t xml:space="preserve">
RAMPA DE ACECSO MOVILIDAD REDUCIDA placa contrapiso e: 10cm concreto 21mpa</t>
  </si>
  <si>
    <t xml:space="preserve">
SUMINISTRO E INSTALACIÓN CANALETA LISA para cables 100mm x 45mm con separador, incluye todos los accesorios necesarios para su correcta instalación</t>
  </si>
  <si>
    <t xml:space="preserve">MURO EN PLACA DE FIBROCEMENTO 6mm - 2 cara (inc. Acabados, detalles, resanes, pinturas y terminados - aislamiento acústico internos de caras) </t>
  </si>
  <si>
    <t>PLACA SUPERBOARD  6 MM ,  2,44m*1,2m</t>
  </si>
  <si>
    <t xml:space="preserve">SUB PROYECTO.1 AREA DEPORTIVA SALUD FISICA, DEPORTE Y RECREACION DE BIENESTAR INSTITUCIONAL IES CINOC </t>
  </si>
  <si>
    <t>SUMINITRO MANO DE OBRA adecuaciones y/o instalaciones varias en material liviano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</si>
</sst>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6" formatCode="&quot;$&quot;\ #,##0;[Red]\-&quot;$&quot;\ #,##0"/>
    <numFmt numFmtId="44" formatCode="_-&quot;$&quot;\ * #,##0.00_-;\-&quot;$&quot;\ * #,##0.00_-;_-&quot;$&quot;\ * &quot;-&quot;??_-;_-@_-"/>
    <numFmt numFmtId="43" formatCode="_-* #,##0.00_-;\-* #,##0.00_-;_-* &quot;-&quot;??_-;_-@_-"/>
    <numFmt numFmtId="164" formatCode="&quot;$&quot;\ #,##0;[Red]&quot;$&quot;\ \-#,##0"/>
    <numFmt numFmtId="165" formatCode="_ * #,##0.00_ ;_ * \-#,##0.00_ ;_ * &quot;-&quot;??_ ;_ @_ "/>
    <numFmt numFmtId="166" formatCode="_(&quot;$&quot;\ * #,##0_);_(&quot;$&quot;\ * \(#,##0\);_(&quot;$&quot;\ * &quot;-&quot;??_);_(@_)"/>
    <numFmt numFmtId="167" formatCode="_(&quot;$&quot;\ * #,##0.00_);_(&quot;$&quot;\ * \(#,##0.00\);_(&quot;$&quot;\ * &quot;-&quot;??_);_(@_)"/>
    <numFmt numFmtId="168" formatCode="_-[$$-240A]\ * #,##0.00_ ;_-[$$-240A]\ * \-#,##0.00\ ;_-[$$-240A]\ * &quot;-&quot;??_ ;_-@_ "/>
    <numFmt numFmtId="169" formatCode="_-[$$-240A]\ * #,##0_ ;_-[$$-240A]\ * \-#,##0\ ;_-[$$-240A]\ * &quot;-&quot;??_ ;_-@_ "/>
    <numFmt numFmtId="170" formatCode="_-[$$-240A]\ * #,##0.0_ ;_-[$$-240A]\ * \-#,##0.0\ ;_-[$$-240A]\ * &quot;-&quot;??_ ;_-@_ "/>
    <numFmt numFmtId="171" formatCode="_-[$$-240A]\ * #,##0_-;\-[$$-240A]\ * #,##0_-;_-[$$-240A]\ * &quot;-&quot;??_-;_-@"/>
    <numFmt numFmtId="172" formatCode="0.000%"/>
    <numFmt numFmtId="173" formatCode="_([$$-240A]\ * #,##0.00_);_([$$-240A]\ * \(#,##0.00\);_([$$-240A]\ * \-??_);_(@_)"/>
    <numFmt numFmtId="174" formatCode="_-* #,##0.000_-;\-* #,##0.000_-;_-* \-??_-;_-@"/>
    <numFmt numFmtId="175" formatCode="_-[$$-240A]\ * #,##0.00_-;\-[$$-240A]\ * #,##0.00_-;_-[$$-240A]\ * &quot;-&quot;??_-;_-@"/>
    <numFmt numFmtId="176" formatCode="d\-mmm\-yyyy"/>
    <numFmt numFmtId="177" formatCode="_(* #,##0.00_);_(* \(#,##0.00\);_(* &quot;-&quot;??_);_(@_)"/>
    <numFmt numFmtId="178" formatCode="_ * #,##0.000_ ;_ * \-#,##0.000_ ;_ * &quot;-&quot;??_ ;_ @_ "/>
    <numFmt numFmtId="179" formatCode="0.0%"/>
    <numFmt numFmtId="180" formatCode="0.0000"/>
    <numFmt numFmtId="181" formatCode="_ * #,##0_ ;_ * \-#,##0_ ;_ * &quot;-&quot;??_ ;_ @_ "/>
    <numFmt numFmtId="182" formatCode="_-&quot;$&quot;\ * #,##0_-;\-&quot;$&quot;\ * #,##0_-;_-&quot;$&quot;\ * &quot;-&quot;??_-;_-@_-"/>
    <numFmt numFmtId="183" formatCode="_-[$$-240A]\ * #,##0.00_-;\-[$$-240A]\ * #,##0.00_-;_-[$$-240A]\ * &quot;-&quot;??_-;_-@_-"/>
    <numFmt numFmtId="184" formatCode="&quot;$&quot;\ #,##0"/>
    <numFmt numFmtId="185" formatCode="_ &quot;$ &quot;* #,##0.00_ ;_ &quot;$ &quot;* \-#,##0.00_ ;_ &quot;$ &quot;* \-??_ ;_ @_ "/>
    <numFmt numFmtId="186" formatCode="_(&quot;$ &quot;* #,##0.00_);_(&quot;$ &quot;* \(#,##0.00\);_(&quot;$ &quot;* \-??_);_(@_)"/>
    <numFmt numFmtId="187" formatCode="#,##0.00_ ;\-#,##0.00\ "/>
    <numFmt numFmtId="188" formatCode="0.000"/>
  </numFmts>
  <fonts count="79">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Calibri"/>
      <family val="2"/>
    </font>
    <font>
      <sz val="11"/>
      <name val="Calibri"/>
      <family val="2"/>
    </font>
    <font>
      <b/>
      <sz val="11"/>
      <color theme="1"/>
      <name val="Arial"/>
      <family val="2"/>
    </font>
    <font>
      <sz val="11"/>
      <color theme="1"/>
      <name val="Calibri"/>
      <family val="2"/>
    </font>
    <font>
      <b/>
      <sz val="12"/>
      <color theme="1"/>
      <name val="Calibri"/>
      <family val="2"/>
    </font>
    <font>
      <b/>
      <sz val="16"/>
      <color theme="1"/>
      <name val="Calibri"/>
      <family val="2"/>
    </font>
    <font>
      <sz val="12"/>
      <color theme="1"/>
      <name val="Arial"/>
      <family val="2"/>
    </font>
    <font>
      <sz val="16"/>
      <color theme="1"/>
      <name val="Calibri"/>
      <family val="2"/>
    </font>
    <font>
      <b/>
      <sz val="12"/>
      <color theme="1"/>
      <name val="Arial"/>
      <family val="2"/>
    </font>
    <font>
      <b/>
      <sz val="11"/>
      <color theme="1"/>
      <name val="Calibri"/>
      <family val="2"/>
    </font>
    <font>
      <sz val="11"/>
      <color theme="1"/>
      <name val="Calibri"/>
      <family val="2"/>
      <scheme val="minor"/>
    </font>
    <font>
      <b/>
      <sz val="14"/>
      <color theme="1"/>
      <name val="Arial"/>
      <family val="2"/>
    </font>
    <font>
      <sz val="10"/>
      <color theme="1"/>
      <name val="Arial"/>
      <family val="2"/>
    </font>
    <font>
      <sz val="14"/>
      <color theme="1"/>
      <name val="Arial"/>
      <family val="2"/>
    </font>
    <font>
      <b/>
      <sz val="12"/>
      <color theme="1"/>
      <name val="Verdana"/>
      <family val="2"/>
    </font>
    <font>
      <b/>
      <sz val="9"/>
      <color theme="1"/>
      <name val="Verdana"/>
      <family val="2"/>
    </font>
    <font>
      <b/>
      <sz val="8"/>
      <color theme="1"/>
      <name val="Verdana"/>
      <family val="2"/>
    </font>
    <font>
      <sz val="8"/>
      <color theme="1"/>
      <name val="Verdana"/>
      <family val="2"/>
    </font>
    <font>
      <b/>
      <sz val="10"/>
      <color theme="1"/>
      <name val="Verdana"/>
      <family val="2"/>
    </font>
    <font>
      <sz val="10"/>
      <color theme="1"/>
      <name val="Verdana"/>
      <family val="2"/>
    </font>
    <font>
      <sz val="8"/>
      <color rgb="FF000000"/>
      <name val="Docs-Calibri"/>
    </font>
    <font>
      <sz val="10"/>
      <color theme="1"/>
      <name val="Arial Narrow"/>
      <family val="2"/>
    </font>
    <font>
      <b/>
      <sz val="9"/>
      <color theme="1"/>
      <name val="Arial"/>
      <family val="2"/>
    </font>
    <font>
      <sz val="9"/>
      <color theme="1"/>
      <name val="Arial"/>
      <family val="2"/>
    </font>
    <font>
      <sz val="14"/>
      <color theme="0"/>
      <name val="Arial"/>
      <family val="2"/>
    </font>
    <font>
      <sz val="9"/>
      <color theme="1"/>
      <name val="Arial Narrow"/>
      <family val="2"/>
    </font>
    <font>
      <b/>
      <sz val="8"/>
      <color theme="1"/>
      <name val="Arial"/>
      <family val="2"/>
    </font>
    <font>
      <b/>
      <sz val="8"/>
      <color theme="0"/>
      <name val="Arial"/>
      <family val="2"/>
    </font>
    <font>
      <b/>
      <sz val="8"/>
      <color rgb="FFFFFFFF"/>
      <name val="Arial"/>
      <family val="2"/>
    </font>
    <font>
      <b/>
      <sz val="13"/>
      <color theme="1"/>
      <name val="Arial"/>
      <family val="2"/>
    </font>
    <font>
      <sz val="8"/>
      <color theme="1"/>
      <name val="Arial"/>
      <family val="2"/>
    </font>
    <font>
      <sz val="8"/>
      <color rgb="FFD8D8D8"/>
      <name val="Arial"/>
      <family val="2"/>
    </font>
    <font>
      <sz val="10"/>
      <color theme="0"/>
      <name val="Arial"/>
      <family val="2"/>
    </font>
    <font>
      <sz val="11"/>
      <color theme="1"/>
      <name val="Calibri"/>
      <family val="2"/>
      <scheme val="minor"/>
    </font>
    <font>
      <b/>
      <sz val="11"/>
      <color theme="1"/>
      <name val="Calibri"/>
      <family val="2"/>
      <scheme val="minor"/>
    </font>
    <font>
      <b/>
      <sz val="12"/>
      <color theme="1"/>
      <name val="Calibri"/>
      <family val="2"/>
      <scheme val="minor"/>
    </font>
    <font>
      <sz val="16"/>
      <color theme="1"/>
      <name val="Arial"/>
      <family val="2"/>
    </font>
    <font>
      <b/>
      <sz val="16"/>
      <name val="Calibri"/>
      <family val="2"/>
    </font>
    <font>
      <b/>
      <sz val="16"/>
      <color theme="1"/>
      <name val="Arial"/>
      <family val="2"/>
    </font>
    <font>
      <sz val="16"/>
      <name val="Calibri"/>
      <family val="2"/>
    </font>
    <font>
      <b/>
      <i/>
      <sz val="16"/>
      <color theme="1"/>
      <name val="Arial"/>
      <family val="2"/>
    </font>
    <font>
      <sz val="16"/>
      <color theme="1"/>
      <name val="Calibri"/>
      <family val="2"/>
      <scheme val="minor"/>
    </font>
    <font>
      <sz val="11"/>
      <color theme="1"/>
      <name val="Calibri"/>
      <scheme val="minor"/>
    </font>
    <font>
      <b/>
      <sz val="16"/>
      <color rgb="FFFF0000"/>
      <name val="Arial"/>
      <family val="2"/>
    </font>
    <font>
      <b/>
      <sz val="10"/>
      <color theme="1"/>
      <name val="Calibri"/>
      <family val="2"/>
      <scheme val="minor"/>
    </font>
    <font>
      <sz val="10"/>
      <color theme="1"/>
      <name val="Calibri"/>
      <family val="2"/>
      <scheme val="minor"/>
    </font>
    <font>
      <b/>
      <sz val="12"/>
      <name val="Calibri"/>
      <family val="2"/>
      <scheme val="minor"/>
    </font>
    <font>
      <b/>
      <sz val="14"/>
      <name val="Calibri"/>
      <family val="2"/>
      <scheme val="minor"/>
    </font>
    <font>
      <i/>
      <sz val="11"/>
      <color theme="1"/>
      <name val="Calibri"/>
      <family val="2"/>
      <scheme val="minor"/>
    </font>
    <font>
      <b/>
      <i/>
      <sz val="11"/>
      <color theme="1"/>
      <name val="Calibri"/>
      <family val="2"/>
      <scheme val="minor"/>
    </font>
    <font>
      <sz val="12"/>
      <name val="Calibri"/>
      <family val="2"/>
    </font>
    <font>
      <sz val="12"/>
      <color theme="1"/>
      <name val="Calibri"/>
      <family val="2"/>
      <scheme val="minor"/>
    </font>
    <font>
      <sz val="12"/>
      <name val="Arial"/>
      <family val="2"/>
    </font>
    <font>
      <b/>
      <sz val="12"/>
      <name val="Calibri"/>
      <family val="2"/>
    </font>
    <font>
      <b/>
      <sz val="12"/>
      <name val="Arial"/>
      <family val="2"/>
    </font>
    <font>
      <sz val="12"/>
      <color theme="1"/>
      <name val="Calibri"/>
      <family val="2"/>
    </font>
    <font>
      <b/>
      <sz val="16"/>
      <color rgb="FFFF0000"/>
      <name val="Calibri"/>
      <family val="2"/>
    </font>
    <font>
      <sz val="18"/>
      <color theme="1"/>
      <name val="Arial"/>
      <family val="2"/>
    </font>
    <font>
      <sz val="18"/>
      <name val="Arial"/>
      <family val="2"/>
    </font>
    <font>
      <b/>
      <sz val="16"/>
      <name val="Arial"/>
      <family val="2"/>
    </font>
    <font>
      <b/>
      <sz val="18"/>
      <name val="Arial"/>
      <family val="2"/>
    </font>
    <font>
      <b/>
      <sz val="20"/>
      <color theme="1"/>
      <name val="Calibri"/>
      <family val="2"/>
    </font>
    <font>
      <b/>
      <sz val="12"/>
      <name val="Verdana"/>
      <family val="2"/>
      <charset val="1"/>
    </font>
    <font>
      <b/>
      <sz val="11"/>
      <name val="Arial"/>
      <family val="2"/>
    </font>
    <font>
      <sz val="11"/>
      <name val="Arial"/>
      <family val="2"/>
    </font>
    <font>
      <b/>
      <sz val="10"/>
      <name val="Arial"/>
      <family val="2"/>
    </font>
    <font>
      <b/>
      <sz val="9"/>
      <name val="Verdana"/>
      <family val="2"/>
      <charset val="1"/>
    </font>
    <font>
      <sz val="8"/>
      <name val="Verdana"/>
      <family val="2"/>
      <charset val="1"/>
    </font>
    <font>
      <b/>
      <sz val="8"/>
      <name val="Verdana"/>
      <family val="2"/>
      <charset val="1"/>
    </font>
    <font>
      <b/>
      <sz val="10"/>
      <name val="Verdana"/>
      <family val="2"/>
      <charset val="1"/>
    </font>
    <font>
      <sz val="10"/>
      <name val="Verdana"/>
      <family val="2"/>
      <charset val="1"/>
    </font>
    <font>
      <b/>
      <sz val="14"/>
      <name val="Arial"/>
      <family val="2"/>
    </font>
    <font>
      <sz val="14"/>
      <name val="Calibri"/>
      <family val="2"/>
    </font>
    <font>
      <sz val="14"/>
      <name val="Arial"/>
      <family val="2"/>
    </font>
    <font>
      <b/>
      <sz val="14"/>
      <name val="Calibri"/>
      <family val="2"/>
    </font>
  </fonts>
  <fills count="13">
    <fill>
      <patternFill patternType="none"/>
    </fill>
    <fill>
      <patternFill patternType="gray125"/>
    </fill>
    <fill>
      <patternFill patternType="solid">
        <fgColor rgb="FFD8D8D8"/>
        <bgColor rgb="FFD8D8D8"/>
      </patternFill>
    </fill>
    <fill>
      <patternFill patternType="solid">
        <fgColor rgb="FFBFBFBF"/>
        <bgColor rgb="FFBFBFBF"/>
      </patternFill>
    </fill>
    <fill>
      <patternFill patternType="solid">
        <fgColor rgb="FFFFFFFF"/>
        <bgColor rgb="FFFFFFFF"/>
      </patternFill>
    </fill>
    <fill>
      <patternFill patternType="solid">
        <fgColor rgb="FFD0CECE"/>
        <bgColor rgb="FFD0CECE"/>
      </patternFill>
    </fill>
    <fill>
      <patternFill patternType="solid">
        <fgColor rgb="FFDEDEDE"/>
        <bgColor rgb="FFDEDEDE"/>
      </patternFill>
    </fill>
    <fill>
      <patternFill patternType="solid">
        <fgColor theme="0" tint="-0.14999847407452621"/>
        <bgColor indexed="64"/>
      </patternFill>
    </fill>
    <fill>
      <patternFill patternType="solid">
        <fgColor theme="0" tint="-0.14999847407452621"/>
        <bgColor rgb="FFD8D8D8"/>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tint="-0.14999847407452621"/>
        <bgColor rgb="FFFF0000"/>
      </patternFill>
    </fill>
    <fill>
      <patternFill patternType="solid">
        <fgColor theme="0" tint="-0.14999847407452621"/>
        <bgColor rgb="FFBFBFBF"/>
      </patternFill>
    </fill>
  </fills>
  <borders count="162">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bottom style="thin">
        <color rgb="FF000000"/>
      </bottom>
      <diagonal/>
    </border>
    <border>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right/>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double">
        <color rgb="FF000000"/>
      </left>
      <right/>
      <top style="double">
        <color rgb="FF000000"/>
      </top>
      <bottom/>
      <diagonal/>
    </border>
    <border>
      <left/>
      <right/>
      <top style="double">
        <color rgb="FF000000"/>
      </top>
      <bottom/>
      <diagonal/>
    </border>
    <border>
      <left/>
      <right style="thin">
        <color rgb="FF000000"/>
      </right>
      <top style="double">
        <color rgb="FF000000"/>
      </top>
      <bottom/>
      <diagonal/>
    </border>
    <border>
      <left style="thin">
        <color rgb="FF000000"/>
      </left>
      <right/>
      <top style="double">
        <color rgb="FF000000"/>
      </top>
      <bottom/>
      <diagonal/>
    </border>
    <border>
      <left/>
      <right style="double">
        <color rgb="FF000000"/>
      </right>
      <top style="double">
        <color rgb="FF000000"/>
      </top>
      <bottom/>
      <diagonal/>
    </border>
    <border>
      <left style="double">
        <color rgb="FF000000"/>
      </left>
      <right/>
      <top/>
      <bottom style="thin">
        <color rgb="FF000000"/>
      </bottom>
      <diagonal/>
    </border>
    <border>
      <left/>
      <right style="double">
        <color rgb="FF000000"/>
      </right>
      <top/>
      <bottom style="thin">
        <color rgb="FF000000"/>
      </bottom>
      <diagonal/>
    </border>
    <border>
      <left style="double">
        <color rgb="FF000000"/>
      </left>
      <right/>
      <top style="thin">
        <color rgb="FF000000"/>
      </top>
      <bottom/>
      <diagonal/>
    </border>
    <border>
      <left/>
      <right style="double">
        <color rgb="FF000000"/>
      </right>
      <top style="thin">
        <color rgb="FF000000"/>
      </top>
      <bottom style="thin">
        <color rgb="FF000000"/>
      </bottom>
      <diagonal/>
    </border>
    <border>
      <left style="double">
        <color rgb="FF000000"/>
      </left>
      <right/>
      <top/>
      <bottom style="double">
        <color rgb="FF000000"/>
      </bottom>
      <diagonal/>
    </border>
    <border>
      <left/>
      <right/>
      <top/>
      <bottom style="double">
        <color rgb="FF000000"/>
      </bottom>
      <diagonal/>
    </border>
    <border>
      <left/>
      <right style="thin">
        <color rgb="FF000000"/>
      </right>
      <top/>
      <bottom style="double">
        <color rgb="FF000000"/>
      </bottom>
      <diagonal/>
    </border>
    <border>
      <left style="thin">
        <color rgb="FF000000"/>
      </left>
      <right/>
      <top/>
      <bottom style="double">
        <color rgb="FF000000"/>
      </bottom>
      <diagonal/>
    </border>
    <border>
      <left/>
      <right style="double">
        <color rgb="FF000000"/>
      </right>
      <top/>
      <bottom style="double">
        <color rgb="FF000000"/>
      </bottom>
      <diagonal/>
    </border>
    <border>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style="hair">
        <color rgb="FF000000"/>
      </bottom>
      <diagonal/>
    </border>
    <border>
      <left/>
      <right/>
      <top/>
      <bottom style="hair">
        <color rgb="FF000000"/>
      </bottom>
      <diagonal/>
    </border>
    <border>
      <left/>
      <right/>
      <top/>
      <bottom style="hair">
        <color rgb="FF000000"/>
      </bottom>
      <diagonal/>
    </border>
    <border>
      <left/>
      <right style="double">
        <color rgb="FF000000"/>
      </right>
      <top/>
      <bottom/>
      <diagonal/>
    </border>
    <border>
      <left style="double">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double">
        <color rgb="FF000000"/>
      </right>
      <top style="hair">
        <color rgb="FF000000"/>
      </top>
      <bottom style="hair">
        <color rgb="FF000000"/>
      </bottom>
      <diagonal/>
    </border>
    <border>
      <left style="double">
        <color rgb="FF000000"/>
      </left>
      <right/>
      <top/>
      <bottom/>
      <diagonal/>
    </border>
    <border>
      <left/>
      <right style="double">
        <color rgb="FF000000"/>
      </right>
      <top/>
      <bottom/>
      <diagonal/>
    </border>
    <border>
      <left style="hair">
        <color rgb="FF000000"/>
      </left>
      <right style="double">
        <color rgb="FF000000"/>
      </right>
      <top/>
      <bottom style="hair">
        <color rgb="FF000000"/>
      </bottom>
      <diagonal/>
    </border>
    <border>
      <left style="double">
        <color rgb="FF000000"/>
      </left>
      <right/>
      <top/>
      <bottom style="double">
        <color rgb="FF000000"/>
      </bottom>
      <diagonal/>
    </border>
    <border>
      <left style="hair">
        <color rgb="FF000000"/>
      </left>
      <right/>
      <top style="hair">
        <color rgb="FF000000"/>
      </top>
      <bottom style="double">
        <color rgb="FF000000"/>
      </bottom>
      <diagonal/>
    </border>
    <border>
      <left/>
      <right/>
      <top style="hair">
        <color rgb="FF000000"/>
      </top>
      <bottom style="double">
        <color rgb="FF000000"/>
      </bottom>
      <diagonal/>
    </border>
    <border>
      <left/>
      <right style="double">
        <color rgb="FF000000"/>
      </right>
      <top style="hair">
        <color rgb="FF000000"/>
      </top>
      <bottom style="double">
        <color rgb="FF000000"/>
      </bottom>
      <diagonal/>
    </border>
    <border>
      <left style="double">
        <color rgb="FF000000"/>
      </left>
      <right/>
      <top style="double">
        <color rgb="FF000000"/>
      </top>
      <bottom style="hair">
        <color rgb="FF000000"/>
      </bottom>
      <diagonal/>
    </border>
    <border>
      <left/>
      <right/>
      <top style="double">
        <color rgb="FF000000"/>
      </top>
      <bottom style="hair">
        <color rgb="FF000000"/>
      </bottom>
      <diagonal/>
    </border>
    <border>
      <left/>
      <right style="double">
        <color rgb="FF000000"/>
      </right>
      <top style="double">
        <color rgb="FF000000"/>
      </top>
      <bottom style="hair">
        <color rgb="FF000000"/>
      </bottom>
      <diagonal/>
    </border>
    <border>
      <left style="double">
        <color rgb="FF000000"/>
      </left>
      <right/>
      <top style="hair">
        <color rgb="FF000000"/>
      </top>
      <bottom style="hair">
        <color rgb="FF000000"/>
      </bottom>
      <diagonal/>
    </border>
    <border>
      <left/>
      <right/>
      <top style="hair">
        <color rgb="FF000000"/>
      </top>
      <bottom style="hair">
        <color rgb="FF000000"/>
      </bottom>
      <diagonal/>
    </border>
    <border>
      <left/>
      <right style="double">
        <color rgb="FF000000"/>
      </right>
      <top style="hair">
        <color rgb="FF000000"/>
      </top>
      <bottom style="hair">
        <color rgb="FF000000"/>
      </bottom>
      <diagonal/>
    </border>
    <border>
      <left style="double">
        <color rgb="FF000000"/>
      </left>
      <right/>
      <top style="hair">
        <color rgb="FF000000"/>
      </top>
      <bottom style="double">
        <color rgb="FF000000"/>
      </bottom>
      <diagonal/>
    </border>
    <border>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double">
        <color rgb="FF000000"/>
      </left>
      <right style="double">
        <color rgb="FF000000"/>
      </right>
      <top style="double">
        <color rgb="FF000000"/>
      </top>
      <bottom/>
      <diagonal/>
    </border>
    <border>
      <left style="double">
        <color rgb="FF000000"/>
      </left>
      <right style="double">
        <color rgb="FF000000"/>
      </right>
      <top/>
      <bottom/>
      <diagonal/>
    </border>
    <border>
      <left style="double">
        <color rgb="FF000000"/>
      </left>
      <right style="double">
        <color rgb="FF000000"/>
      </right>
      <top/>
      <bottom style="double">
        <color rgb="FF000000"/>
      </bottom>
      <diagonal/>
    </border>
    <border>
      <left style="thin">
        <color rgb="FF000000"/>
      </left>
      <right/>
      <top style="thin">
        <color rgb="FF000000"/>
      </top>
      <bottom style="double">
        <color rgb="FF000000"/>
      </bottom>
      <diagonal/>
    </border>
    <border>
      <left/>
      <right style="double">
        <color rgb="FF000000"/>
      </right>
      <top style="thin">
        <color rgb="FF000000"/>
      </top>
      <bottom style="double">
        <color rgb="FF000000"/>
      </bottom>
      <diagonal/>
    </border>
    <border>
      <left style="hair">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thin">
        <color rgb="FF000000"/>
      </right>
      <top/>
      <bottom style="medium">
        <color rgb="FF000000"/>
      </bottom>
      <diagonal/>
    </border>
    <border>
      <left/>
      <right/>
      <top style="medium">
        <color indexed="64"/>
      </top>
      <bottom/>
      <diagonal/>
    </border>
    <border>
      <left/>
      <right style="medium">
        <color indexed="64"/>
      </right>
      <top style="medium">
        <color indexed="64"/>
      </top>
      <bottom/>
      <diagonal/>
    </border>
    <border>
      <left/>
      <right style="medium">
        <color rgb="FF000000"/>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bottom style="medium">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thin">
        <color indexed="64"/>
      </left>
      <right/>
      <top style="thin">
        <color indexed="64"/>
      </top>
      <bottom style="thin">
        <color indexed="64"/>
      </bottom>
      <diagonal/>
    </border>
  </borders>
  <cellStyleXfs count="10">
    <xf numFmtId="0" fontId="0" fillId="0" borderId="0"/>
    <xf numFmtId="9" fontId="37" fillId="0" borderId="0" applyFont="0" applyFill="0" applyBorder="0" applyAlignment="0" applyProtection="0"/>
    <xf numFmtId="44" fontId="46" fillId="0" borderId="0" applyFont="0" applyFill="0" applyBorder="0" applyAlignment="0" applyProtection="0"/>
    <xf numFmtId="0" fontId="3" fillId="0" borderId="50"/>
    <xf numFmtId="44" fontId="3" fillId="0" borderId="50" applyFont="0" applyFill="0" applyBorder="0" applyAlignment="0" applyProtection="0"/>
    <xf numFmtId="167" fontId="3" fillId="0" borderId="50" applyFont="0" applyFill="0" applyBorder="0" applyAlignment="0" applyProtection="0"/>
    <xf numFmtId="9" fontId="3" fillId="0" borderId="50" applyFont="0" applyFill="0" applyBorder="0" applyAlignment="0" applyProtection="0"/>
    <xf numFmtId="0" fontId="1" fillId="0" borderId="50"/>
    <xf numFmtId="43" fontId="1" fillId="0" borderId="50" applyFont="0" applyFill="0" applyBorder="0" applyAlignment="0" applyProtection="0"/>
    <xf numFmtId="43" fontId="46" fillId="0" borderId="0" applyFont="0" applyFill="0" applyBorder="0" applyAlignment="0" applyProtection="0"/>
  </cellStyleXfs>
  <cellXfs count="932">
    <xf numFmtId="0" fontId="0" fillId="0" borderId="0" xfId="0" applyFont="1" applyAlignment="1"/>
    <xf numFmtId="0" fontId="7" fillId="0" borderId="0" xfId="0" applyFont="1" applyAlignment="1">
      <alignment horizontal="center" vertical="center"/>
    </xf>
    <xf numFmtId="9" fontId="7" fillId="0" borderId="0" xfId="0" applyNumberFormat="1" applyFont="1" applyAlignment="1">
      <alignment horizontal="center" vertical="center"/>
    </xf>
    <xf numFmtId="10" fontId="7" fillId="0" borderId="0" xfId="0" applyNumberFormat="1" applyFont="1" applyAlignment="1">
      <alignment horizontal="center" vertical="center"/>
    </xf>
    <xf numFmtId="0" fontId="14" fillId="0" borderId="0" xfId="0" applyFont="1" applyAlignment="1">
      <alignment wrapText="1"/>
    </xf>
    <xf numFmtId="167" fontId="7" fillId="0" borderId="0" xfId="0" applyNumberFormat="1" applyFont="1" applyAlignment="1">
      <alignment wrapText="1"/>
    </xf>
    <xf numFmtId="164" fontId="7" fillId="0" borderId="0" xfId="0" applyNumberFormat="1" applyFont="1" applyAlignment="1">
      <alignment wrapText="1"/>
    </xf>
    <xf numFmtId="0" fontId="17" fillId="0" borderId="0" xfId="0" applyFont="1"/>
    <xf numFmtId="167" fontId="17" fillId="0" borderId="0" xfId="0" applyNumberFormat="1" applyFont="1"/>
    <xf numFmtId="172" fontId="17" fillId="0" borderId="0" xfId="0" applyNumberFormat="1" applyFont="1"/>
    <xf numFmtId="171" fontId="17" fillId="0" borderId="0" xfId="0" applyNumberFormat="1" applyFont="1"/>
    <xf numFmtId="167" fontId="7" fillId="0" borderId="0" xfId="0" applyNumberFormat="1" applyFont="1"/>
    <xf numFmtId="0" fontId="13" fillId="0" borderId="0" xfId="0" applyFont="1" applyAlignment="1">
      <alignment horizontal="center" vertical="center" wrapText="1"/>
    </xf>
    <xf numFmtId="0" fontId="8" fillId="0" borderId="0" xfId="0" applyFont="1" applyAlignment="1">
      <alignment horizontal="center" wrapText="1"/>
    </xf>
    <xf numFmtId="169" fontId="17" fillId="0" borderId="0" xfId="0" applyNumberFormat="1" applyFont="1"/>
    <xf numFmtId="2" fontId="7" fillId="0" borderId="0" xfId="0" applyNumberFormat="1" applyFont="1"/>
    <xf numFmtId="2" fontId="18" fillId="5" borderId="47" xfId="0" applyNumberFormat="1" applyFont="1" applyFill="1" applyBorder="1" applyAlignment="1">
      <alignment horizontal="center" vertical="center"/>
    </xf>
    <xf numFmtId="0" fontId="18" fillId="5" borderId="48" xfId="0" applyFont="1" applyFill="1" applyBorder="1" applyAlignment="1">
      <alignment vertical="center" wrapText="1"/>
    </xf>
    <xf numFmtId="173" fontId="18" fillId="5" borderId="48" xfId="0" applyNumberFormat="1" applyFont="1" applyFill="1" applyBorder="1" applyAlignment="1">
      <alignment vertical="center" wrapText="1"/>
    </xf>
    <xf numFmtId="0" fontId="18" fillId="5" borderId="49" xfId="0" applyFont="1" applyFill="1" applyBorder="1" applyAlignment="1">
      <alignment vertical="center" wrapText="1"/>
    </xf>
    <xf numFmtId="2" fontId="16" fillId="0" borderId="0" xfId="0" applyNumberFormat="1" applyFont="1"/>
    <xf numFmtId="0" fontId="16" fillId="0" borderId="0" xfId="0" applyFont="1"/>
    <xf numFmtId="2" fontId="19" fillId="0" borderId="15" xfId="0" applyNumberFormat="1" applyFont="1" applyBorder="1" applyAlignment="1">
      <alignment horizontal="center" vertical="center"/>
    </xf>
    <xf numFmtId="0" fontId="19" fillId="0" borderId="16" xfId="0" applyFont="1" applyBorder="1" applyAlignment="1">
      <alignment horizontal="left" vertical="center" wrapText="1"/>
    </xf>
    <xf numFmtId="0" fontId="19" fillId="0" borderId="16" xfId="0" applyFont="1" applyBorder="1" applyAlignment="1">
      <alignment horizontal="center" vertical="center"/>
    </xf>
    <xf numFmtId="174" fontId="19" fillId="0" borderId="16" xfId="0" applyNumberFormat="1" applyFont="1" applyBorder="1" applyAlignment="1">
      <alignment vertical="center"/>
    </xf>
    <xf numFmtId="173" fontId="19" fillId="0" borderId="16" xfId="0" applyNumberFormat="1" applyFont="1" applyBorder="1" applyAlignment="1">
      <alignment horizontal="right" vertical="center"/>
    </xf>
    <xf numFmtId="173" fontId="19" fillId="0" borderId="16" xfId="0" applyNumberFormat="1" applyFont="1" applyBorder="1" applyAlignment="1">
      <alignment vertical="center"/>
    </xf>
    <xf numFmtId="173" fontId="19" fillId="0" borderId="17" xfId="0" applyNumberFormat="1" applyFont="1" applyBorder="1" applyAlignment="1">
      <alignment vertical="center"/>
    </xf>
    <xf numFmtId="175" fontId="7" fillId="0" borderId="0" xfId="0" applyNumberFormat="1" applyFont="1"/>
    <xf numFmtId="2" fontId="20" fillId="0" borderId="38" xfId="0" applyNumberFormat="1" applyFont="1" applyBorder="1" applyAlignment="1">
      <alignment horizontal="center" vertical="center"/>
    </xf>
    <xf numFmtId="0" fontId="21" fillId="0" borderId="0" xfId="0" applyFont="1" applyAlignment="1">
      <alignment vertical="center" wrapText="1"/>
    </xf>
    <xf numFmtId="0" fontId="21" fillId="0" borderId="0" xfId="0" applyFont="1" applyAlignment="1">
      <alignment horizontal="center" vertical="center"/>
    </xf>
    <xf numFmtId="2" fontId="21" fillId="0" borderId="0" xfId="0" applyNumberFormat="1" applyFont="1" applyAlignment="1">
      <alignment horizontal="center" vertical="center"/>
    </xf>
    <xf numFmtId="173" fontId="21" fillId="0" borderId="0" xfId="0" applyNumberFormat="1" applyFont="1" applyAlignment="1">
      <alignment horizontal="right" vertical="center"/>
    </xf>
    <xf numFmtId="173" fontId="21" fillId="0" borderId="0" xfId="0" applyNumberFormat="1" applyFont="1" applyAlignment="1">
      <alignment vertical="center"/>
    </xf>
    <xf numFmtId="173" fontId="21" fillId="0" borderId="39" xfId="0" applyNumberFormat="1" applyFont="1" applyBorder="1" applyAlignment="1">
      <alignment vertical="center"/>
    </xf>
    <xf numFmtId="2" fontId="20" fillId="0" borderId="19" xfId="0" applyNumberFormat="1" applyFont="1" applyBorder="1" applyAlignment="1">
      <alignment horizontal="center" vertical="center"/>
    </xf>
    <xf numFmtId="0" fontId="21" fillId="0" borderId="4" xfId="0" applyFont="1" applyBorder="1" applyAlignment="1">
      <alignment vertical="center" wrapText="1"/>
    </xf>
    <xf numFmtId="0" fontId="21" fillId="0" borderId="4" xfId="0" applyFont="1" applyBorder="1" applyAlignment="1">
      <alignment horizontal="center" vertical="center"/>
    </xf>
    <xf numFmtId="2" fontId="21" fillId="0" borderId="4" xfId="0" applyNumberFormat="1" applyFont="1" applyBorder="1" applyAlignment="1">
      <alignment horizontal="center" vertical="center"/>
    </xf>
    <xf numFmtId="173" fontId="21" fillId="0" borderId="4" xfId="0" applyNumberFormat="1" applyFont="1" applyBorder="1" applyAlignment="1">
      <alignment horizontal="right" vertical="center"/>
    </xf>
    <xf numFmtId="173" fontId="21" fillId="0" borderId="4" xfId="0" applyNumberFormat="1" applyFont="1" applyBorder="1" applyAlignment="1">
      <alignment vertical="center"/>
    </xf>
    <xf numFmtId="173" fontId="21" fillId="0" borderId="20" xfId="0" applyNumberFormat="1" applyFont="1" applyBorder="1" applyAlignment="1">
      <alignment vertical="center"/>
    </xf>
    <xf numFmtId="2" fontId="22" fillId="0" borderId="38" xfId="0" applyNumberFormat="1" applyFont="1" applyBorder="1" applyAlignment="1">
      <alignment horizontal="center" vertical="center"/>
    </xf>
    <xf numFmtId="174" fontId="21" fillId="0" borderId="0" xfId="0" applyNumberFormat="1" applyFont="1" applyAlignment="1">
      <alignment vertical="center"/>
    </xf>
    <xf numFmtId="0" fontId="23" fillId="0" borderId="39" xfId="0" applyFont="1" applyBorder="1" applyAlignment="1">
      <alignment vertical="center"/>
    </xf>
    <xf numFmtId="2" fontId="21" fillId="0" borderId="16" xfId="0" applyNumberFormat="1" applyFont="1" applyBorder="1" applyAlignment="1">
      <alignment horizontal="center" vertical="center"/>
    </xf>
    <xf numFmtId="2" fontId="22" fillId="0" borderId="0" xfId="0" applyNumberFormat="1" applyFont="1" applyAlignment="1">
      <alignment horizontal="center" vertical="center"/>
    </xf>
    <xf numFmtId="0" fontId="23" fillId="0" borderId="0" xfId="0" applyFont="1" applyAlignment="1">
      <alignment vertical="center"/>
    </xf>
    <xf numFmtId="0" fontId="21" fillId="0" borderId="0" xfId="0" applyFont="1" applyAlignment="1">
      <alignment vertical="center"/>
    </xf>
    <xf numFmtId="0" fontId="21" fillId="0" borderId="39" xfId="0" applyFont="1" applyBorder="1" applyAlignment="1">
      <alignment vertical="center" wrapText="1"/>
    </xf>
    <xf numFmtId="2" fontId="22" fillId="0" borderId="19" xfId="0" applyNumberFormat="1" applyFont="1" applyBorder="1" applyAlignment="1">
      <alignment horizontal="center" vertical="center"/>
    </xf>
    <xf numFmtId="0" fontId="23" fillId="0" borderId="20" xfId="0" applyFont="1" applyBorder="1" applyAlignment="1">
      <alignment vertical="center"/>
    </xf>
    <xf numFmtId="0" fontId="21" fillId="0" borderId="4" xfId="0" applyFont="1" applyBorder="1" applyAlignment="1">
      <alignment vertical="center"/>
    </xf>
    <xf numFmtId="2" fontId="20" fillId="0" borderId="0" xfId="0" applyNumberFormat="1" applyFont="1" applyAlignment="1">
      <alignment horizontal="center" vertical="center"/>
    </xf>
    <xf numFmtId="2" fontId="21" fillId="0" borderId="0" xfId="0" applyNumberFormat="1" applyFont="1" applyAlignment="1">
      <alignment horizontal="center" vertical="center"/>
    </xf>
    <xf numFmtId="173" fontId="21" fillId="0" borderId="0" xfId="0" applyNumberFormat="1" applyFont="1" applyAlignment="1">
      <alignment horizontal="right" vertical="center"/>
    </xf>
    <xf numFmtId="2" fontId="21" fillId="0" borderId="4" xfId="0" applyNumberFormat="1" applyFont="1" applyBorder="1" applyAlignment="1">
      <alignment horizontal="center" vertical="center"/>
    </xf>
    <xf numFmtId="2" fontId="19" fillId="0" borderId="16" xfId="0" applyNumberFormat="1" applyFont="1" applyBorder="1" applyAlignment="1">
      <alignment horizontal="left" vertical="center" wrapText="1"/>
    </xf>
    <xf numFmtId="2" fontId="19" fillId="0" borderId="16" xfId="0" applyNumberFormat="1" applyFont="1" applyBorder="1" applyAlignment="1">
      <alignment horizontal="center" vertical="center"/>
    </xf>
    <xf numFmtId="173" fontId="21" fillId="0" borderId="16" xfId="0" applyNumberFormat="1" applyFont="1" applyBorder="1" applyAlignment="1">
      <alignment vertical="center"/>
    </xf>
    <xf numFmtId="0" fontId="20" fillId="0" borderId="16" xfId="0" applyFont="1" applyBorder="1" applyAlignment="1">
      <alignment vertical="center" wrapText="1"/>
    </xf>
    <xf numFmtId="0" fontId="20" fillId="0" borderId="16" xfId="0" applyFont="1" applyBorder="1" applyAlignment="1">
      <alignment horizontal="center" vertical="center"/>
    </xf>
    <xf numFmtId="173" fontId="21" fillId="0" borderId="16" xfId="0" applyNumberFormat="1" applyFont="1" applyBorder="1" applyAlignment="1">
      <alignment horizontal="right" vertical="center"/>
    </xf>
    <xf numFmtId="2" fontId="7" fillId="0" borderId="15" xfId="0" applyNumberFormat="1" applyFont="1" applyBorder="1"/>
    <xf numFmtId="0" fontId="7" fillId="0" borderId="16" xfId="0" applyFont="1" applyBorder="1"/>
    <xf numFmtId="2" fontId="7" fillId="0" borderId="16" xfId="0" applyNumberFormat="1" applyFont="1" applyBorder="1"/>
    <xf numFmtId="173" fontId="7" fillId="0" borderId="16" xfId="0" applyNumberFormat="1" applyFont="1" applyBorder="1"/>
    <xf numFmtId="173" fontId="7" fillId="0" borderId="17" xfId="0" applyNumberFormat="1" applyFont="1" applyBorder="1"/>
    <xf numFmtId="2" fontId="7" fillId="0" borderId="38" xfId="0" applyNumberFormat="1" applyFont="1" applyBorder="1"/>
    <xf numFmtId="0" fontId="7" fillId="0" borderId="0" xfId="0" applyFont="1"/>
    <xf numFmtId="173" fontId="7" fillId="0" borderId="0" xfId="0" applyNumberFormat="1" applyFont="1"/>
    <xf numFmtId="173" fontId="7" fillId="0" borderId="39" xfId="0" applyNumberFormat="1" applyFont="1" applyBorder="1"/>
    <xf numFmtId="0" fontId="7" fillId="0" borderId="39" xfId="0" applyFont="1" applyBorder="1"/>
    <xf numFmtId="2" fontId="7" fillId="0" borderId="19" xfId="0" applyNumberFormat="1" applyFont="1" applyBorder="1"/>
    <xf numFmtId="0" fontId="7" fillId="0" borderId="4" xfId="0" applyFont="1" applyBorder="1"/>
    <xf numFmtId="2" fontId="7" fillId="0" borderId="4" xfId="0" applyNumberFormat="1" applyFont="1" applyBorder="1"/>
    <xf numFmtId="173" fontId="7" fillId="0" borderId="4" xfId="0" applyNumberFormat="1" applyFont="1" applyBorder="1"/>
    <xf numFmtId="0" fontId="7" fillId="0" borderId="20" xfId="0" applyFont="1" applyBorder="1"/>
    <xf numFmtId="0" fontId="24" fillId="4" borderId="0" xfId="0" applyFont="1" applyFill="1" applyAlignment="1">
      <alignment horizontal="left"/>
    </xf>
    <xf numFmtId="0" fontId="19" fillId="0" borderId="16" xfId="0" applyFont="1" applyBorder="1" applyAlignment="1">
      <alignment horizontal="left" vertical="center" wrapText="1"/>
    </xf>
    <xf numFmtId="0" fontId="19" fillId="0" borderId="16" xfId="0"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1" fillId="0" borderId="0" xfId="0" applyFont="1" applyAlignment="1">
      <alignment vertical="center" wrapText="1"/>
    </xf>
    <xf numFmtId="0" fontId="16" fillId="0" borderId="6" xfId="0" applyFont="1" applyBorder="1" applyAlignment="1">
      <alignment horizontal="right" vertical="top"/>
    </xf>
    <xf numFmtId="15" fontId="16" fillId="0" borderId="59" xfId="0" applyNumberFormat="1" applyFont="1" applyBorder="1" applyAlignment="1">
      <alignment horizontal="center" vertical="top"/>
    </xf>
    <xf numFmtId="0" fontId="16" fillId="6" borderId="66" xfId="0" applyFont="1" applyFill="1" applyBorder="1" applyAlignment="1">
      <alignment horizontal="center"/>
    </xf>
    <xf numFmtId="165" fontId="26" fillId="6" borderId="67" xfId="0" applyNumberFormat="1" applyFont="1" applyFill="1" applyBorder="1" applyAlignment="1">
      <alignment horizontal="right" vertical="center"/>
    </xf>
    <xf numFmtId="0" fontId="16" fillId="6" borderId="41" xfId="0" applyFont="1" applyFill="1" applyBorder="1" applyAlignment="1">
      <alignment horizontal="center"/>
    </xf>
    <xf numFmtId="165" fontId="26" fillId="6" borderId="71" xfId="0" applyNumberFormat="1" applyFont="1" applyFill="1" applyBorder="1" applyAlignment="1">
      <alignment horizontal="right" vertical="center"/>
    </xf>
    <xf numFmtId="0" fontId="27" fillId="0" borderId="72" xfId="0" applyFont="1" applyBorder="1" applyAlignment="1">
      <alignment horizontal="left" vertical="top"/>
    </xf>
    <xf numFmtId="0" fontId="27" fillId="0" borderId="73" xfId="0" applyFont="1" applyBorder="1" applyAlignment="1">
      <alignment horizontal="center"/>
    </xf>
    <xf numFmtId="0" fontId="27" fillId="0" borderId="73" xfId="0" applyFont="1" applyBorder="1"/>
    <xf numFmtId="165" fontId="27" fillId="0" borderId="73" xfId="0" applyNumberFormat="1" applyFont="1" applyBorder="1" applyAlignment="1">
      <alignment horizontal="right"/>
    </xf>
    <xf numFmtId="177" fontId="27" fillId="0" borderId="74" xfId="0" applyNumberFormat="1" applyFont="1" applyBorder="1" applyAlignment="1">
      <alignment horizontal="right" vertical="center"/>
    </xf>
    <xf numFmtId="0" fontId="27" fillId="0" borderId="75" xfId="0" applyFont="1" applyBorder="1" applyAlignment="1">
      <alignment horizontal="left" vertical="top"/>
    </xf>
    <xf numFmtId="0" fontId="27" fillId="0" borderId="0" xfId="0" applyFont="1" applyAlignment="1">
      <alignment horizontal="center"/>
    </xf>
    <xf numFmtId="0" fontId="27" fillId="0" borderId="0" xfId="0" applyFont="1"/>
    <xf numFmtId="165" fontId="27" fillId="0" borderId="0" xfId="0" applyNumberFormat="1" applyFont="1" applyAlignment="1">
      <alignment horizontal="right"/>
    </xf>
    <xf numFmtId="177" fontId="27" fillId="0" borderId="76" xfId="0" applyNumberFormat="1" applyFont="1" applyBorder="1" applyAlignment="1">
      <alignment horizontal="right" vertical="center"/>
    </xf>
    <xf numFmtId="0" fontId="26" fillId="0" borderId="75" xfId="0" quotePrefix="1" applyFont="1" applyBorder="1" applyAlignment="1">
      <alignment horizontal="left" vertical="top"/>
    </xf>
    <xf numFmtId="9" fontId="27" fillId="0" borderId="73" xfId="0" applyNumberFormat="1" applyFont="1" applyBorder="1" applyAlignment="1">
      <alignment horizontal="center"/>
    </xf>
    <xf numFmtId="177" fontId="26" fillId="0" borderId="77" xfId="0" applyNumberFormat="1" applyFont="1" applyBorder="1" applyAlignment="1">
      <alignment horizontal="right" vertical="center"/>
    </xf>
    <xf numFmtId="0" fontId="26" fillId="0" borderId="75" xfId="0" applyFont="1" applyBorder="1" applyAlignment="1">
      <alignment horizontal="left" vertical="top"/>
    </xf>
    <xf numFmtId="0" fontId="26" fillId="0" borderId="75" xfId="0" applyFont="1" applyBorder="1" applyAlignment="1">
      <alignment horizontal="left"/>
    </xf>
    <xf numFmtId="165" fontId="27" fillId="0" borderId="0" xfId="0" applyNumberFormat="1" applyFont="1" applyAlignment="1">
      <alignment horizontal="center"/>
    </xf>
    <xf numFmtId="177" fontId="27" fillId="0" borderId="76" xfId="0" applyNumberFormat="1" applyFont="1" applyBorder="1" applyAlignment="1">
      <alignment horizontal="center"/>
    </xf>
    <xf numFmtId="4" fontId="27" fillId="0" borderId="73" xfId="0" applyNumberFormat="1" applyFont="1" applyBorder="1" applyAlignment="1">
      <alignment horizontal="right"/>
    </xf>
    <xf numFmtId="4" fontId="27" fillId="0" borderId="73" xfId="0" applyNumberFormat="1" applyFont="1" applyBorder="1"/>
    <xf numFmtId="178" fontId="27" fillId="0" borderId="73" xfId="0" applyNumberFormat="1" applyFont="1" applyBorder="1" applyAlignment="1">
      <alignment horizontal="right"/>
    </xf>
    <xf numFmtId="4" fontId="27" fillId="6" borderId="78" xfId="0" applyNumberFormat="1" applyFont="1" applyFill="1" applyBorder="1" applyAlignment="1">
      <alignment horizontal="left" vertical="top"/>
    </xf>
    <xf numFmtId="0" fontId="27" fillId="6" borderId="79" xfId="0" applyFont="1" applyFill="1" applyBorder="1" applyAlignment="1">
      <alignment horizontal="center"/>
    </xf>
    <xf numFmtId="0" fontId="27" fillId="6" borderId="80" xfId="0" applyFont="1" applyFill="1" applyBorder="1"/>
    <xf numFmtId="0" fontId="26" fillId="6" borderId="80" xfId="0" applyFont="1" applyFill="1" applyBorder="1" applyAlignment="1">
      <alignment horizontal="right"/>
    </xf>
    <xf numFmtId="177" fontId="27" fillId="6" borderId="80" xfId="0" applyNumberFormat="1" applyFont="1" applyFill="1" applyBorder="1" applyAlignment="1">
      <alignment horizontal="right"/>
    </xf>
    <xf numFmtId="165" fontId="26" fillId="6" borderId="81" xfId="0" applyNumberFormat="1" applyFont="1" applyFill="1" applyBorder="1" applyAlignment="1">
      <alignment horizontal="right"/>
    </xf>
    <xf numFmtId="0" fontId="26" fillId="0" borderId="82" xfId="0" applyFont="1" applyBorder="1" applyAlignment="1">
      <alignment horizontal="left" vertical="top"/>
    </xf>
    <xf numFmtId="0" fontId="27" fillId="0" borderId="83" xfId="0" applyFont="1" applyBorder="1" applyAlignment="1">
      <alignment horizontal="center"/>
    </xf>
    <xf numFmtId="0" fontId="27" fillId="0" borderId="83" xfId="0" applyFont="1" applyBorder="1"/>
    <xf numFmtId="165" fontId="27" fillId="0" borderId="83" xfId="0" applyNumberFormat="1" applyFont="1" applyBorder="1" applyAlignment="1">
      <alignment horizontal="right"/>
    </xf>
    <xf numFmtId="177" fontId="27" fillId="0" borderId="84" xfId="0" applyNumberFormat="1" applyFont="1" applyBorder="1" applyAlignment="1">
      <alignment horizontal="right" vertical="center"/>
    </xf>
    <xf numFmtId="0" fontId="27" fillId="0" borderId="85" xfId="0" applyFont="1" applyBorder="1" applyAlignment="1">
      <alignment horizontal="left" vertical="top"/>
    </xf>
    <xf numFmtId="0" fontId="27" fillId="0" borderId="86" xfId="0" applyFont="1" applyBorder="1" applyAlignment="1">
      <alignment horizontal="center"/>
    </xf>
    <xf numFmtId="0" fontId="27" fillId="0" borderId="86" xfId="0" applyFont="1" applyBorder="1"/>
    <xf numFmtId="179" fontId="27" fillId="0" borderId="73" xfId="0" applyNumberFormat="1" applyFont="1" applyBorder="1"/>
    <xf numFmtId="165" fontId="27" fillId="0" borderId="86" xfId="0" applyNumberFormat="1" applyFont="1" applyBorder="1" applyAlignment="1">
      <alignment horizontal="right"/>
    </xf>
    <xf numFmtId="177" fontId="27" fillId="0" borderId="87" xfId="0" applyNumberFormat="1" applyFont="1" applyBorder="1" applyAlignment="1">
      <alignment horizontal="right" vertical="center"/>
    </xf>
    <xf numFmtId="165" fontId="26" fillId="0" borderId="0" xfId="0" applyNumberFormat="1" applyFont="1" applyAlignment="1">
      <alignment horizontal="right"/>
    </xf>
    <xf numFmtId="177" fontId="26" fillId="0" borderId="76" xfId="0" applyNumberFormat="1" applyFont="1" applyBorder="1" applyAlignment="1">
      <alignment horizontal="right" vertical="center"/>
    </xf>
    <xf numFmtId="0" fontId="27" fillId="6" borderId="88" xfId="0" applyFont="1" applyFill="1" applyBorder="1" applyAlignment="1">
      <alignment horizontal="left" vertical="top"/>
    </xf>
    <xf numFmtId="0" fontId="27" fillId="6" borderId="80" xfId="0" applyFont="1" applyFill="1" applyBorder="1" applyAlignment="1">
      <alignment horizontal="center"/>
    </xf>
    <xf numFmtId="165" fontId="27" fillId="6" borderId="80" xfId="0" applyNumberFormat="1" applyFont="1" applyFill="1" applyBorder="1" applyAlignment="1">
      <alignment horizontal="right"/>
    </xf>
    <xf numFmtId="0" fontId="27" fillId="0" borderId="72" xfId="0" applyFont="1" applyBorder="1" applyAlignment="1">
      <alignment horizontal="left"/>
    </xf>
    <xf numFmtId="177" fontId="27" fillId="0" borderId="74" xfId="0" applyNumberFormat="1" applyFont="1" applyBorder="1" applyAlignment="1">
      <alignment horizontal="center"/>
    </xf>
    <xf numFmtId="0" fontId="27" fillId="0" borderId="72" xfId="0" quotePrefix="1" applyFont="1" applyBorder="1" applyAlignment="1">
      <alignment horizontal="left" vertical="top"/>
    </xf>
    <xf numFmtId="180" fontId="27" fillId="0" borderId="73" xfId="0" applyNumberFormat="1" applyFont="1" applyBorder="1" applyAlignment="1">
      <alignment horizontal="right"/>
    </xf>
    <xf numFmtId="9" fontId="27" fillId="0" borderId="73" xfId="0" applyNumberFormat="1" applyFont="1" applyBorder="1"/>
    <xf numFmtId="177" fontId="27" fillId="0" borderId="73" xfId="0" applyNumberFormat="1" applyFont="1" applyBorder="1"/>
    <xf numFmtId="10" fontId="27" fillId="0" borderId="73" xfId="0" applyNumberFormat="1" applyFont="1" applyBorder="1" applyAlignment="1">
      <alignment horizontal="center"/>
    </xf>
    <xf numFmtId="165" fontId="27" fillId="0" borderId="73" xfId="0" applyNumberFormat="1" applyFont="1" applyBorder="1" applyAlignment="1">
      <alignment horizontal="center"/>
    </xf>
    <xf numFmtId="165" fontId="27" fillId="0" borderId="74" xfId="0" applyNumberFormat="1" applyFont="1" applyBorder="1" applyAlignment="1">
      <alignment horizontal="center" vertical="center"/>
    </xf>
    <xf numFmtId="165" fontId="27" fillId="0" borderId="76" xfId="0" applyNumberFormat="1" applyFont="1" applyBorder="1" applyAlignment="1">
      <alignment horizontal="right" vertical="center"/>
    </xf>
    <xf numFmtId="165" fontId="27" fillId="0" borderId="74" xfId="0" applyNumberFormat="1" applyFont="1" applyBorder="1" applyAlignment="1">
      <alignment horizontal="right" vertical="center"/>
    </xf>
    <xf numFmtId="0" fontId="26" fillId="0" borderId="51" xfId="0" applyFont="1" applyBorder="1" applyAlignment="1">
      <alignment horizontal="left" vertical="top"/>
    </xf>
    <xf numFmtId="0" fontId="27" fillId="0" borderId="52" xfId="0" applyFont="1" applyBorder="1" applyAlignment="1">
      <alignment horizontal="center"/>
    </xf>
    <xf numFmtId="0" fontId="27" fillId="0" borderId="52" xfId="0" applyFont="1" applyBorder="1"/>
    <xf numFmtId="165" fontId="27" fillId="0" borderId="52" xfId="0" applyNumberFormat="1" applyFont="1" applyBorder="1" applyAlignment="1">
      <alignment horizontal="right"/>
    </xf>
    <xf numFmtId="165" fontId="27" fillId="0" borderId="55" xfId="0" applyNumberFormat="1" applyFont="1" applyBorder="1" applyAlignment="1">
      <alignment horizontal="right" vertical="center"/>
    </xf>
    <xf numFmtId="0" fontId="27" fillId="0" borderId="89" xfId="0" applyFont="1" applyBorder="1"/>
    <xf numFmtId="165" fontId="27" fillId="0" borderId="90" xfId="0" applyNumberFormat="1" applyFont="1" applyBorder="1" applyAlignment="1">
      <alignment horizontal="right"/>
    </xf>
    <xf numFmtId="165" fontId="27" fillId="0" borderId="87" xfId="0" applyNumberFormat="1" applyFont="1" applyBorder="1" applyAlignment="1">
      <alignment horizontal="right" vertical="center"/>
    </xf>
    <xf numFmtId="4" fontId="26" fillId="0" borderId="75" xfId="0" applyNumberFormat="1" applyFont="1" applyBorder="1" applyAlignment="1">
      <alignment horizontal="left" vertical="top"/>
    </xf>
    <xf numFmtId="165" fontId="26" fillId="0" borderId="76" xfId="0" applyNumberFormat="1" applyFont="1" applyBorder="1" applyAlignment="1">
      <alignment horizontal="right" vertical="center"/>
    </xf>
    <xf numFmtId="165" fontId="27" fillId="0" borderId="77" xfId="0" applyNumberFormat="1" applyFont="1" applyBorder="1" applyAlignment="1">
      <alignment horizontal="right" vertical="center"/>
    </xf>
    <xf numFmtId="0" fontId="26" fillId="0" borderId="91" xfId="0" applyFont="1" applyBorder="1" applyAlignment="1">
      <alignment horizontal="center"/>
    </xf>
    <xf numFmtId="0" fontId="26" fillId="0" borderId="0" xfId="0" applyFont="1" applyAlignment="1">
      <alignment horizontal="left"/>
    </xf>
    <xf numFmtId="0" fontId="28" fillId="0" borderId="54" xfId="0" applyFont="1" applyBorder="1" applyAlignment="1">
      <alignment vertical="center" wrapText="1"/>
    </xf>
    <xf numFmtId="0" fontId="17" fillId="0" borderId="52" xfId="0" applyFont="1" applyBorder="1" applyAlignment="1">
      <alignment vertical="center" wrapText="1"/>
    </xf>
    <xf numFmtId="0" fontId="26" fillId="0" borderId="92" xfId="0" applyFont="1" applyBorder="1" applyAlignment="1">
      <alignment horizontal="center"/>
    </xf>
    <xf numFmtId="0" fontId="28" fillId="0" borderId="19" xfId="0" applyFont="1" applyBorder="1" applyAlignment="1">
      <alignment vertical="center" wrapText="1"/>
    </xf>
    <xf numFmtId="0" fontId="17" fillId="0" borderId="4" xfId="0" applyFont="1" applyBorder="1" applyAlignment="1">
      <alignment vertical="center" wrapText="1"/>
    </xf>
    <xf numFmtId="167" fontId="16" fillId="0" borderId="6" xfId="0" applyNumberFormat="1" applyFont="1" applyBorder="1" applyAlignment="1">
      <alignment horizontal="right" vertical="top"/>
    </xf>
    <xf numFmtId="167" fontId="25" fillId="0" borderId="59" xfId="0" applyNumberFormat="1" applyFont="1" applyBorder="1" applyAlignment="1">
      <alignment horizontal="center" vertical="top"/>
    </xf>
    <xf numFmtId="0" fontId="26" fillId="0" borderId="93" xfId="0" applyFont="1" applyBorder="1" applyAlignment="1">
      <alignment horizontal="center"/>
    </xf>
    <xf numFmtId="167" fontId="16" fillId="0" borderId="0" xfId="0" applyNumberFormat="1" applyFont="1"/>
    <xf numFmtId="181" fontId="27" fillId="0" borderId="73" xfId="0" applyNumberFormat="1" applyFont="1" applyBorder="1" applyAlignment="1">
      <alignment horizontal="center" vertical="center"/>
    </xf>
    <xf numFmtId="181" fontId="30" fillId="0" borderId="73" xfId="0" applyNumberFormat="1" applyFont="1" applyBorder="1" applyAlignment="1">
      <alignment horizontal="center" vertical="center" wrapText="1"/>
    </xf>
    <xf numFmtId="181" fontId="30" fillId="0" borderId="90" xfId="0" applyNumberFormat="1" applyFont="1" applyBorder="1" applyAlignment="1">
      <alignment horizontal="center" vertical="center" wrapText="1"/>
    </xf>
    <xf numFmtId="181" fontId="31" fillId="0" borderId="89" xfId="0" applyNumberFormat="1" applyFont="1" applyBorder="1" applyAlignment="1">
      <alignment vertical="top"/>
    </xf>
    <xf numFmtId="181" fontId="32" fillId="0" borderId="73" xfId="0" applyNumberFormat="1" applyFont="1" applyBorder="1" applyAlignment="1">
      <alignment horizontal="center" vertical="center" wrapText="1"/>
    </xf>
    <xf numFmtId="167" fontId="30" fillId="0" borderId="73" xfId="0" applyNumberFormat="1" applyFont="1" applyBorder="1" applyAlignment="1">
      <alignment horizontal="center" vertical="center" wrapText="1"/>
    </xf>
    <xf numFmtId="181" fontId="27" fillId="0" borderId="69" xfId="0" applyNumberFormat="1" applyFont="1" applyBorder="1" applyAlignment="1">
      <alignment horizontal="center"/>
    </xf>
    <xf numFmtId="0" fontId="33" fillId="0" borderId="0" xfId="0" applyFont="1"/>
    <xf numFmtId="167" fontId="6" fillId="0" borderId="0" xfId="0" applyNumberFormat="1" applyFont="1"/>
    <xf numFmtId="181" fontId="27" fillId="2" borderId="73" xfId="0" applyNumberFormat="1" applyFont="1" applyFill="1" applyBorder="1" applyAlignment="1">
      <alignment horizontal="center"/>
    </xf>
    <xf numFmtId="181" fontId="34" fillId="2" borderId="73" xfId="0" applyNumberFormat="1" applyFont="1" applyFill="1" applyBorder="1" applyAlignment="1">
      <alignment horizontal="center" vertical="center" wrapText="1"/>
    </xf>
    <xf numFmtId="181" fontId="34" fillId="2" borderId="96" xfId="0" applyNumberFormat="1" applyFont="1" applyFill="1" applyBorder="1" applyAlignment="1">
      <alignment horizontal="center" vertical="center" wrapText="1"/>
    </xf>
    <xf numFmtId="181" fontId="35" fillId="2" borderId="97" xfId="0" applyNumberFormat="1" applyFont="1" applyFill="1" applyBorder="1" applyAlignment="1">
      <alignment horizontal="center" vertical="center" wrapText="1"/>
    </xf>
    <xf numFmtId="181" fontId="35" fillId="2" borderId="73" xfId="0" applyNumberFormat="1" applyFont="1" applyFill="1" applyBorder="1" applyAlignment="1">
      <alignment horizontal="center" vertical="center" wrapText="1"/>
    </xf>
    <xf numFmtId="167" fontId="34" fillId="2" borderId="73" xfId="0" applyNumberFormat="1" applyFont="1" applyFill="1" applyBorder="1" applyAlignment="1">
      <alignment horizontal="center" vertical="center" wrapText="1"/>
    </xf>
    <xf numFmtId="0" fontId="16" fillId="0" borderId="73" xfId="0" applyFont="1" applyBorder="1" applyAlignment="1">
      <alignment horizontal="center"/>
    </xf>
    <xf numFmtId="0" fontId="16" fillId="0" borderId="73" xfId="0" applyFont="1" applyBorder="1"/>
    <xf numFmtId="0" fontId="16" fillId="0" borderId="90" xfId="0" applyFont="1" applyBorder="1" applyAlignment="1">
      <alignment horizontal="center"/>
    </xf>
    <xf numFmtId="0" fontId="36" fillId="0" borderId="89" xfId="0" applyFont="1" applyBorder="1"/>
    <xf numFmtId="181" fontId="16" fillId="0" borderId="73" xfId="0" applyNumberFormat="1" applyFont="1" applyBorder="1"/>
    <xf numFmtId="167" fontId="16" fillId="0" borderId="73" xfId="0" applyNumberFormat="1" applyFont="1" applyBorder="1" applyAlignment="1">
      <alignment horizontal="right"/>
    </xf>
    <xf numFmtId="167" fontId="16" fillId="0" borderId="73" xfId="0" applyNumberFormat="1" applyFont="1" applyBorder="1"/>
    <xf numFmtId="0" fontId="16" fillId="2" borderId="96" xfId="0" applyFont="1" applyFill="1" applyBorder="1"/>
    <xf numFmtId="0" fontId="16" fillId="2" borderId="98" xfId="0" applyFont="1" applyFill="1" applyBorder="1"/>
    <xf numFmtId="0" fontId="6" fillId="2" borderId="98" xfId="0" applyFont="1" applyFill="1" applyBorder="1" applyAlignment="1">
      <alignment horizontal="center"/>
    </xf>
    <xf numFmtId="181" fontId="6" fillId="2" borderId="98" xfId="0" applyNumberFormat="1" applyFont="1" applyFill="1" applyBorder="1"/>
    <xf numFmtId="167" fontId="6" fillId="2" borderId="97" xfId="0" applyNumberFormat="1" applyFont="1" applyFill="1" applyBorder="1" applyAlignment="1">
      <alignment horizontal="right"/>
    </xf>
    <xf numFmtId="167" fontId="6" fillId="2" borderId="96" xfId="0" applyNumberFormat="1" applyFont="1" applyFill="1" applyBorder="1"/>
    <xf numFmtId="0" fontId="0" fillId="0" borderId="0" xfId="0" applyFont="1" applyAlignment="1"/>
    <xf numFmtId="0" fontId="0" fillId="0" borderId="50" xfId="0" applyFont="1" applyBorder="1" applyAlignment="1"/>
    <xf numFmtId="2" fontId="11" fillId="0" borderId="29" xfId="0" applyNumberFormat="1" applyFont="1" applyBorder="1" applyAlignment="1">
      <alignment horizontal="center" vertical="center" wrapText="1"/>
    </xf>
    <xf numFmtId="167" fontId="11" fillId="0" borderId="29" xfId="0" applyNumberFormat="1" applyFont="1" applyBorder="1" applyAlignment="1">
      <alignment horizontal="center" vertical="center" wrapText="1"/>
    </xf>
    <xf numFmtId="0" fontId="11" fillId="0" borderId="29" xfId="0" applyFont="1" applyBorder="1" applyAlignment="1">
      <alignment horizontal="center" vertical="center" wrapText="1"/>
    </xf>
    <xf numFmtId="6" fontId="11" fillId="0" borderId="29" xfId="0" applyNumberFormat="1" applyFont="1" applyBorder="1" applyAlignment="1">
      <alignment horizontal="center" vertical="center" wrapText="1"/>
    </xf>
    <xf numFmtId="164" fontId="11" fillId="0" borderId="29" xfId="0" applyNumberFormat="1" applyFont="1" applyBorder="1" applyAlignment="1">
      <alignment horizontal="center" vertical="center" wrapText="1"/>
    </xf>
    <xf numFmtId="2" fontId="11" fillId="0" borderId="23" xfId="0" applyNumberFormat="1" applyFont="1" applyBorder="1" applyAlignment="1">
      <alignment horizontal="center" vertical="center" wrapText="1"/>
    </xf>
    <xf numFmtId="167" fontId="11" fillId="0" borderId="23" xfId="0" applyNumberFormat="1" applyFont="1" applyBorder="1" applyAlignment="1">
      <alignment horizontal="center" vertical="center" wrapText="1"/>
    </xf>
    <xf numFmtId="0" fontId="11" fillId="0" borderId="23" xfId="0" applyFont="1" applyBorder="1" applyAlignment="1">
      <alignment horizontal="center" vertical="center" wrapText="1"/>
    </xf>
    <xf numFmtId="6" fontId="11" fillId="0" borderId="23" xfId="0" applyNumberFormat="1" applyFont="1" applyBorder="1" applyAlignment="1">
      <alignment horizontal="center" vertical="center" wrapText="1"/>
    </xf>
    <xf numFmtId="164" fontId="11" fillId="0" borderId="23" xfId="0" applyNumberFormat="1" applyFont="1" applyBorder="1" applyAlignment="1">
      <alignment horizontal="center" vertical="center" wrapText="1"/>
    </xf>
    <xf numFmtId="2" fontId="21" fillId="0" borderId="50" xfId="0" applyNumberFormat="1" applyFont="1" applyBorder="1" applyAlignment="1">
      <alignment horizontal="center" vertical="center"/>
    </xf>
    <xf numFmtId="0" fontId="21" fillId="0" borderId="50" xfId="0" applyFont="1" applyBorder="1" applyAlignment="1">
      <alignment vertical="center"/>
    </xf>
    <xf numFmtId="0" fontId="21" fillId="0" borderId="50" xfId="0" applyFont="1" applyBorder="1" applyAlignment="1">
      <alignment horizontal="center" vertical="center"/>
    </xf>
    <xf numFmtId="173" fontId="21" fillId="0" borderId="50" xfId="0" applyNumberFormat="1" applyFont="1" applyBorder="1" applyAlignment="1">
      <alignment horizontal="right" vertical="center"/>
    </xf>
    <xf numFmtId="173" fontId="21" fillId="0" borderId="50" xfId="0" applyNumberFormat="1" applyFont="1" applyBorder="1" applyAlignment="1">
      <alignment vertical="center"/>
    </xf>
    <xf numFmtId="2" fontId="19" fillId="0" borderId="107" xfId="0" applyNumberFormat="1" applyFont="1" applyBorder="1" applyAlignment="1">
      <alignment horizontal="center" vertical="center"/>
    </xf>
    <xf numFmtId="0" fontId="19" fillId="0" borderId="108" xfId="0" applyFont="1" applyBorder="1" applyAlignment="1">
      <alignment horizontal="left" vertical="center" wrapText="1"/>
    </xf>
    <xf numFmtId="0" fontId="19" fillId="0" borderId="108" xfId="0" applyFont="1" applyBorder="1" applyAlignment="1">
      <alignment horizontal="center" vertical="center"/>
    </xf>
    <xf numFmtId="2" fontId="21" fillId="0" borderId="108" xfId="0" applyNumberFormat="1" applyFont="1" applyBorder="1" applyAlignment="1">
      <alignment horizontal="center" vertical="center"/>
    </xf>
    <xf numFmtId="173" fontId="19" fillId="0" borderId="108" xfId="0" applyNumberFormat="1" applyFont="1" applyBorder="1" applyAlignment="1">
      <alignment horizontal="right" vertical="center"/>
    </xf>
    <xf numFmtId="173" fontId="19" fillId="0" borderId="108" xfId="0" applyNumberFormat="1" applyFont="1" applyBorder="1" applyAlignment="1">
      <alignment vertical="center"/>
    </xf>
    <xf numFmtId="173" fontId="19" fillId="0" borderId="109" xfId="0" applyNumberFormat="1" applyFont="1" applyBorder="1" applyAlignment="1">
      <alignment vertical="center"/>
    </xf>
    <xf numFmtId="2" fontId="22" fillId="0" borderId="110" xfId="0" applyNumberFormat="1" applyFont="1" applyBorder="1" applyAlignment="1">
      <alignment horizontal="center" vertical="center"/>
    </xf>
    <xf numFmtId="0" fontId="21" fillId="0" borderId="111" xfId="0" applyFont="1" applyBorder="1" applyAlignment="1">
      <alignment vertical="center" wrapText="1"/>
    </xf>
    <xf numFmtId="2" fontId="22" fillId="0" borderId="112" xfId="0" applyNumberFormat="1" applyFont="1" applyBorder="1" applyAlignment="1">
      <alignment horizontal="center" vertical="center"/>
    </xf>
    <xf numFmtId="0" fontId="21" fillId="0" borderId="113" xfId="0" applyFont="1" applyBorder="1" applyAlignment="1">
      <alignment vertical="center" wrapText="1"/>
    </xf>
    <xf numFmtId="0" fontId="21" fillId="0" borderId="113" xfId="0" applyFont="1" applyBorder="1" applyAlignment="1">
      <alignment horizontal="center" vertical="center"/>
    </xf>
    <xf numFmtId="2" fontId="21" fillId="0" borderId="113" xfId="0" applyNumberFormat="1" applyFont="1" applyBorder="1" applyAlignment="1">
      <alignment horizontal="center" vertical="center"/>
    </xf>
    <xf numFmtId="173" fontId="21" fillId="0" borderId="113" xfId="0" applyNumberFormat="1" applyFont="1" applyBorder="1" applyAlignment="1">
      <alignment horizontal="right" vertical="center"/>
    </xf>
    <xf numFmtId="173" fontId="21" fillId="0" borderId="113" xfId="0" applyNumberFormat="1" applyFont="1" applyBorder="1" applyAlignment="1">
      <alignment vertical="center"/>
    </xf>
    <xf numFmtId="0" fontId="23" fillId="0" borderId="114" xfId="0" applyFont="1" applyBorder="1" applyAlignment="1">
      <alignment vertical="center"/>
    </xf>
    <xf numFmtId="164" fontId="0" fillId="0" borderId="0" xfId="0" applyNumberFormat="1" applyFont="1" applyAlignment="1"/>
    <xf numFmtId="167" fontId="7" fillId="0" borderId="50" xfId="0" applyNumberFormat="1" applyFont="1" applyBorder="1"/>
    <xf numFmtId="0" fontId="39" fillId="7" borderId="115" xfId="0" applyFont="1" applyFill="1" applyBorder="1" applyAlignment="1">
      <alignment horizontal="center" vertical="center"/>
    </xf>
    <xf numFmtId="0" fontId="17" fillId="0" borderId="50" xfId="0" applyFont="1" applyBorder="1"/>
    <xf numFmtId="0" fontId="15" fillId="3" borderId="36" xfId="0" applyFont="1" applyFill="1" applyBorder="1" applyAlignment="1">
      <alignment horizontal="center" vertical="center" wrapText="1"/>
    </xf>
    <xf numFmtId="169" fontId="15" fillId="3" borderId="36" xfId="0" applyNumberFormat="1" applyFont="1" applyFill="1" applyBorder="1" applyAlignment="1">
      <alignment horizontal="center" vertical="center"/>
    </xf>
    <xf numFmtId="169" fontId="15" fillId="2" borderId="99" xfId="0" applyNumberFormat="1" applyFont="1" applyFill="1" applyBorder="1" applyAlignment="1">
      <alignment horizontal="center" vertical="center"/>
    </xf>
    <xf numFmtId="9" fontId="17" fillId="0" borderId="99" xfId="0" applyNumberFormat="1" applyFont="1" applyBorder="1" applyAlignment="1">
      <alignment horizontal="center" vertical="center"/>
    </xf>
    <xf numFmtId="0" fontId="17" fillId="0" borderId="99" xfId="0" applyFont="1" applyBorder="1" applyAlignment="1">
      <alignment horizontal="center"/>
    </xf>
    <xf numFmtId="169" fontId="17" fillId="0" borderId="99" xfId="0" applyNumberFormat="1" applyFont="1" applyBorder="1"/>
    <xf numFmtId="9" fontId="15" fillId="0" borderId="99" xfId="0" applyNumberFormat="1" applyFont="1" applyBorder="1" applyAlignment="1">
      <alignment horizontal="center"/>
    </xf>
    <xf numFmtId="0" fontId="15" fillId="0" borderId="99" xfId="0" applyFont="1" applyBorder="1" applyAlignment="1">
      <alignment horizontal="center"/>
    </xf>
    <xf numFmtId="169" fontId="15" fillId="0" borderId="99" xfId="0" applyNumberFormat="1" applyFont="1" applyBorder="1" applyAlignment="1">
      <alignment horizontal="center"/>
    </xf>
    <xf numFmtId="0" fontId="40" fillId="0" borderId="0" xfId="0" applyFont="1" applyAlignment="1">
      <alignment vertical="top" wrapText="1"/>
    </xf>
    <xf numFmtId="0" fontId="40" fillId="0" borderId="0" xfId="0" applyFont="1" applyAlignment="1">
      <alignment horizontal="center" vertical="top" wrapText="1"/>
    </xf>
    <xf numFmtId="0" fontId="40" fillId="0" borderId="0" xfId="0" applyFont="1" applyAlignment="1">
      <alignment horizontal="right" vertical="top" wrapText="1"/>
    </xf>
    <xf numFmtId="167" fontId="40" fillId="0" borderId="0" xfId="0" applyNumberFormat="1" applyFont="1" applyAlignment="1">
      <alignment vertical="top" wrapText="1"/>
    </xf>
    <xf numFmtId="0" fontId="42" fillId="8" borderId="27" xfId="0" applyFont="1" applyFill="1" applyBorder="1" applyAlignment="1">
      <alignment horizontal="center" vertical="center" wrapText="1"/>
    </xf>
    <xf numFmtId="0" fontId="42" fillId="2" borderId="5" xfId="0" applyFont="1" applyFill="1" applyBorder="1" applyAlignment="1">
      <alignment horizontal="center" vertical="center" wrapText="1"/>
    </xf>
    <xf numFmtId="0" fontId="42" fillId="2" borderId="29" xfId="0" applyFont="1" applyFill="1" applyBorder="1" applyAlignment="1">
      <alignment horizontal="center" vertical="center" wrapText="1"/>
    </xf>
    <xf numFmtId="0" fontId="42" fillId="2" borderId="30" xfId="0" applyFont="1" applyFill="1" applyBorder="1" applyAlignment="1">
      <alignment horizontal="center" vertical="center" wrapText="1"/>
    </xf>
    <xf numFmtId="0" fontId="42" fillId="8" borderId="31" xfId="0" applyFont="1" applyFill="1" applyBorder="1" applyAlignment="1">
      <alignment horizontal="center" vertical="center" wrapText="1"/>
    </xf>
    <xf numFmtId="0" fontId="42" fillId="8" borderId="5" xfId="0" applyFont="1" applyFill="1" applyBorder="1" applyAlignment="1">
      <alignment horizontal="center" vertical="center" wrapText="1"/>
    </xf>
    <xf numFmtId="0" fontId="42" fillId="8" borderId="29" xfId="0" applyFont="1" applyFill="1" applyBorder="1" applyAlignment="1">
      <alignment horizontal="center" vertical="center" wrapText="1"/>
    </xf>
    <xf numFmtId="0" fontId="42" fillId="8" borderId="30" xfId="0" applyFont="1" applyFill="1" applyBorder="1" applyAlignment="1">
      <alignment horizontal="center" vertical="center" wrapText="1"/>
    </xf>
    <xf numFmtId="2" fontId="9" fillId="7" borderId="29" xfId="0" applyNumberFormat="1" applyFont="1" applyFill="1" applyBorder="1" applyAlignment="1">
      <alignment horizontal="center" vertical="center" wrapText="1"/>
    </xf>
    <xf numFmtId="167" fontId="9" fillId="7" borderId="29" xfId="0" applyNumberFormat="1" applyFont="1" applyFill="1" applyBorder="1" applyAlignment="1">
      <alignment horizontal="center" vertical="center" wrapText="1"/>
    </xf>
    <xf numFmtId="0" fontId="9" fillId="7" borderId="29" xfId="0" applyFont="1" applyFill="1" applyBorder="1" applyAlignment="1">
      <alignment horizontal="center" vertical="center" wrapText="1"/>
    </xf>
    <xf numFmtId="164" fontId="9" fillId="7" borderId="29" xfId="0" applyNumberFormat="1" applyFont="1" applyFill="1" applyBorder="1" applyAlignment="1">
      <alignment horizontal="center" vertical="center" wrapText="1"/>
    </xf>
    <xf numFmtId="0" fontId="42" fillId="0" borderId="5" xfId="0" applyFont="1" applyBorder="1" applyAlignment="1">
      <alignment horizontal="center" vertical="center"/>
    </xf>
    <xf numFmtId="0" fontId="40" fillId="0" borderId="29" xfId="0" applyFont="1" applyBorder="1" applyAlignment="1">
      <alignment horizontal="center" vertical="center"/>
    </xf>
    <xf numFmtId="1" fontId="40" fillId="0" borderId="29" xfId="0" applyNumberFormat="1" applyFont="1" applyBorder="1" applyAlignment="1">
      <alignment horizontal="center" vertical="center"/>
    </xf>
    <xf numFmtId="168" fontId="40" fillId="0" borderId="29" xfId="0" applyNumberFormat="1" applyFont="1" applyBorder="1" applyAlignment="1">
      <alignment horizontal="center" vertical="center"/>
    </xf>
    <xf numFmtId="169" fontId="40" fillId="0" borderId="6" xfId="0" applyNumberFormat="1" applyFont="1" applyBorder="1" applyAlignment="1">
      <alignment horizontal="center" vertical="center"/>
    </xf>
    <xf numFmtId="10" fontId="40" fillId="0" borderId="31" xfId="0" applyNumberFormat="1" applyFont="1" applyBorder="1" applyAlignment="1">
      <alignment horizontal="center" vertical="center"/>
    </xf>
    <xf numFmtId="169" fontId="40" fillId="0" borderId="5" xfId="0" applyNumberFormat="1" applyFont="1" applyBorder="1" applyAlignment="1">
      <alignment horizontal="center" vertical="center"/>
    </xf>
    <xf numFmtId="169" fontId="40" fillId="0" borderId="29" xfId="0" applyNumberFormat="1" applyFont="1" applyBorder="1" applyAlignment="1">
      <alignment horizontal="center" vertical="center"/>
    </xf>
    <xf numFmtId="169" fontId="40" fillId="0" borderId="31" xfId="0" applyNumberFormat="1" applyFont="1" applyBorder="1" applyAlignment="1">
      <alignment horizontal="center" vertical="center"/>
    </xf>
    <xf numFmtId="0" fontId="42" fillId="0" borderId="42" xfId="0" applyFont="1" applyBorder="1" applyAlignment="1">
      <alignment horizontal="center" vertical="center"/>
    </xf>
    <xf numFmtId="0" fontId="40" fillId="0" borderId="23" xfId="0" applyFont="1" applyBorder="1" applyAlignment="1">
      <alignment horizontal="center" vertical="center"/>
    </xf>
    <xf numFmtId="1" fontId="40" fillId="0" borderId="23" xfId="0" applyNumberFormat="1" applyFont="1" applyBorder="1" applyAlignment="1">
      <alignment horizontal="center" vertical="center"/>
    </xf>
    <xf numFmtId="169" fontId="40" fillId="0" borderId="23" xfId="0" applyNumberFormat="1" applyFont="1" applyBorder="1" applyAlignment="1">
      <alignment horizontal="center" vertical="center"/>
    </xf>
    <xf numFmtId="169" fontId="40" fillId="0" borderId="24" xfId="0" applyNumberFormat="1" applyFont="1" applyBorder="1" applyAlignment="1">
      <alignment horizontal="center" vertical="center"/>
    </xf>
    <xf numFmtId="10" fontId="40" fillId="0" borderId="44" xfId="0" applyNumberFormat="1" applyFont="1" applyBorder="1" applyAlignment="1">
      <alignment horizontal="center" vertical="center"/>
    </xf>
    <xf numFmtId="169" fontId="40" fillId="0" borderId="42" xfId="0" applyNumberFormat="1" applyFont="1" applyBorder="1" applyAlignment="1">
      <alignment horizontal="center" vertical="center"/>
    </xf>
    <xf numFmtId="169" fontId="40" fillId="0" borderId="44" xfId="0" applyNumberFormat="1" applyFont="1" applyBorder="1" applyAlignment="1">
      <alignment horizontal="center" vertical="center"/>
    </xf>
    <xf numFmtId="0" fontId="42" fillId="0" borderId="43" xfId="0" applyFont="1" applyBorder="1" applyAlignment="1">
      <alignment horizontal="center" vertical="center"/>
    </xf>
    <xf numFmtId="0" fontId="40" fillId="0" borderId="36" xfId="0" applyFont="1" applyBorder="1" applyAlignment="1">
      <alignment horizontal="center" vertical="center"/>
    </xf>
    <xf numFmtId="2" fontId="40" fillId="0" borderId="36" xfId="0" applyNumberFormat="1" applyFont="1" applyBorder="1" applyAlignment="1">
      <alignment horizontal="center" vertical="center"/>
    </xf>
    <xf numFmtId="169" fontId="40" fillId="0" borderId="36" xfId="0" applyNumberFormat="1" applyFont="1" applyBorder="1" applyAlignment="1">
      <alignment horizontal="center" vertical="center"/>
    </xf>
    <xf numFmtId="10" fontId="40" fillId="0" borderId="34" xfId="0" applyNumberFormat="1" applyFont="1" applyBorder="1" applyAlignment="1">
      <alignment horizontal="center" vertical="center"/>
    </xf>
    <xf numFmtId="169" fontId="40" fillId="0" borderId="103" xfId="0" applyNumberFormat="1" applyFont="1" applyBorder="1" applyAlignment="1">
      <alignment horizontal="center" vertical="center"/>
    </xf>
    <xf numFmtId="169" fontId="40" fillId="0" borderId="40" xfId="0" applyNumberFormat="1" applyFont="1" applyBorder="1" applyAlignment="1">
      <alignment horizontal="center" vertical="center"/>
    </xf>
    <xf numFmtId="2" fontId="11" fillId="0" borderId="36" xfId="0" applyNumberFormat="1" applyFont="1" applyBorder="1" applyAlignment="1">
      <alignment horizontal="right" wrapText="1"/>
    </xf>
    <xf numFmtId="167" fontId="11" fillId="0" borderId="36" xfId="0" applyNumberFormat="1" applyFont="1" applyBorder="1" applyAlignment="1">
      <alignment horizontal="right" wrapText="1"/>
    </xf>
    <xf numFmtId="0" fontId="11" fillId="0" borderId="36" xfId="0" applyFont="1" applyBorder="1" applyAlignment="1">
      <alignment wrapText="1"/>
    </xf>
    <xf numFmtId="2" fontId="11" fillId="0" borderId="36" xfId="0" applyNumberFormat="1" applyFont="1" applyBorder="1" applyAlignment="1">
      <alignment wrapText="1"/>
    </xf>
    <xf numFmtId="6" fontId="11" fillId="0" borderId="36" xfId="0" applyNumberFormat="1" applyFont="1" applyBorder="1" applyAlignment="1">
      <alignment wrapText="1"/>
    </xf>
    <xf numFmtId="164" fontId="11" fillId="0" borderId="36" xfId="0" applyNumberFormat="1" applyFont="1" applyBorder="1" applyAlignment="1">
      <alignment wrapText="1"/>
    </xf>
    <xf numFmtId="2" fontId="40" fillId="0" borderId="29" xfId="0" applyNumberFormat="1" applyFont="1" applyBorder="1" applyAlignment="1">
      <alignment horizontal="center" vertical="center"/>
    </xf>
    <xf numFmtId="10" fontId="40" fillId="0" borderId="6" xfId="0" applyNumberFormat="1" applyFont="1" applyBorder="1" applyAlignment="1">
      <alignment horizontal="center" vertical="center"/>
    </xf>
    <xf numFmtId="169" fontId="40" fillId="0" borderId="8" xfId="0" applyNumberFormat="1" applyFont="1" applyBorder="1" applyAlignment="1">
      <alignment horizontal="center" vertical="center"/>
    </xf>
    <xf numFmtId="169" fontId="40" fillId="0" borderId="32" xfId="0" applyNumberFormat="1" applyFont="1" applyBorder="1" applyAlignment="1">
      <alignment horizontal="center" vertical="center"/>
    </xf>
    <xf numFmtId="2" fontId="11" fillId="0" borderId="29" xfId="0" applyNumberFormat="1" applyFont="1" applyBorder="1" applyAlignment="1">
      <alignment horizontal="right" wrapText="1"/>
    </xf>
    <xf numFmtId="167" fontId="11" fillId="0" borderId="29" xfId="0" applyNumberFormat="1" applyFont="1" applyBorder="1" applyAlignment="1">
      <alignment horizontal="right" wrapText="1"/>
    </xf>
    <xf numFmtId="0" fontId="11" fillId="0" borderId="29" xfId="0" applyFont="1" applyBorder="1" applyAlignment="1">
      <alignment wrapText="1"/>
    </xf>
    <xf numFmtId="2" fontId="11" fillId="0" borderId="29" xfId="0" applyNumberFormat="1" applyFont="1" applyBorder="1" applyAlignment="1">
      <alignment wrapText="1"/>
    </xf>
    <xf numFmtId="6" fontId="11" fillId="0" borderId="29" xfId="0" applyNumberFormat="1" applyFont="1" applyBorder="1" applyAlignment="1">
      <alignment wrapText="1"/>
    </xf>
    <xf numFmtId="164" fontId="11" fillId="0" borderId="29" xfId="0" applyNumberFormat="1" applyFont="1" applyBorder="1" applyAlignment="1">
      <alignment wrapText="1"/>
    </xf>
    <xf numFmtId="170" fontId="42" fillId="2" borderId="36" xfId="0" applyNumberFormat="1" applyFont="1" applyFill="1" applyBorder="1" applyAlignment="1">
      <alignment horizontal="center" vertical="center"/>
    </xf>
    <xf numFmtId="10" fontId="42" fillId="2" borderId="36" xfId="0" applyNumberFormat="1" applyFont="1" applyFill="1" applyBorder="1" applyAlignment="1">
      <alignment horizontal="center" vertical="center"/>
    </xf>
    <xf numFmtId="0" fontId="40" fillId="0" borderId="0" xfId="0" applyFont="1"/>
    <xf numFmtId="171" fontId="42" fillId="2" borderId="37" xfId="0" applyNumberFormat="1" applyFont="1" applyFill="1" applyBorder="1" applyAlignment="1">
      <alignment horizontal="center" vertical="center"/>
    </xf>
    <xf numFmtId="168" fontId="42" fillId="2" borderId="29" xfId="0" applyNumberFormat="1" applyFont="1" applyFill="1" applyBorder="1" applyAlignment="1">
      <alignment horizontal="center" vertical="center"/>
    </xf>
    <xf numFmtId="9" fontId="40" fillId="0" borderId="29" xfId="0" applyNumberFormat="1" applyFont="1" applyBorder="1" applyAlignment="1">
      <alignment horizontal="center" vertical="center"/>
    </xf>
    <xf numFmtId="0" fontId="40" fillId="0" borderId="29" xfId="0" applyFont="1" applyBorder="1" applyAlignment="1">
      <alignment horizontal="center"/>
    </xf>
    <xf numFmtId="169" fontId="40" fillId="0" borderId="29" xfId="0" applyNumberFormat="1" applyFont="1" applyBorder="1"/>
    <xf numFmtId="0" fontId="42" fillId="2" borderId="5" xfId="0" applyFont="1" applyFill="1" applyBorder="1" applyAlignment="1">
      <alignment horizontal="center" vertical="center"/>
    </xf>
    <xf numFmtId="0" fontId="42" fillId="2" borderId="29" xfId="0" applyFont="1" applyFill="1" applyBorder="1" applyAlignment="1">
      <alignment horizontal="center" vertical="center"/>
    </xf>
    <xf numFmtId="0" fontId="42" fillId="2" borderId="31" xfId="0" applyFont="1" applyFill="1" applyBorder="1" applyAlignment="1">
      <alignment horizontal="center" vertical="center"/>
    </xf>
    <xf numFmtId="10" fontId="42" fillId="2" borderId="8" xfId="0" applyNumberFormat="1" applyFont="1" applyFill="1" applyBorder="1" applyAlignment="1">
      <alignment horizontal="center" vertical="center"/>
    </xf>
    <xf numFmtId="10" fontId="42" fillId="2" borderId="32" xfId="0" applyNumberFormat="1" applyFont="1" applyFill="1" applyBorder="1" applyAlignment="1">
      <alignment horizontal="center" vertical="center"/>
    </xf>
    <xf numFmtId="10" fontId="42" fillId="2" borderId="33" xfId="0" applyNumberFormat="1" applyFont="1" applyFill="1" applyBorder="1" applyAlignment="1">
      <alignment horizontal="center" vertical="center"/>
    </xf>
    <xf numFmtId="9" fontId="42" fillId="0" borderId="29" xfId="0" applyNumberFormat="1" applyFont="1" applyBorder="1" applyAlignment="1">
      <alignment horizontal="center"/>
    </xf>
    <xf numFmtId="0" fontId="42" fillId="0" borderId="29" xfId="0" applyFont="1" applyBorder="1" applyAlignment="1">
      <alignment horizontal="center"/>
    </xf>
    <xf numFmtId="169" fontId="42" fillId="0" borderId="29" xfId="0" applyNumberFormat="1" applyFont="1" applyBorder="1" applyAlignment="1">
      <alignment horizontal="center"/>
    </xf>
    <xf numFmtId="167" fontId="40" fillId="0" borderId="0" xfId="0" applyNumberFormat="1" applyFont="1"/>
    <xf numFmtId="0" fontId="42" fillId="3" borderId="29" xfId="0" applyFont="1" applyFill="1" applyBorder="1" applyAlignment="1">
      <alignment horizontal="center" vertical="center" wrapText="1"/>
    </xf>
    <xf numFmtId="168" fontId="42" fillId="3" borderId="29" xfId="0" applyNumberFormat="1" applyFont="1" applyFill="1" applyBorder="1" applyAlignment="1">
      <alignment horizontal="center" vertical="center"/>
    </xf>
    <xf numFmtId="169" fontId="42" fillId="3" borderId="29" xfId="0" applyNumberFormat="1" applyFont="1" applyFill="1" applyBorder="1" applyAlignment="1">
      <alignment horizontal="center" vertical="center"/>
    </xf>
    <xf numFmtId="0" fontId="0" fillId="0" borderId="0" xfId="0" applyFont="1" applyAlignment="1"/>
    <xf numFmtId="0" fontId="0" fillId="0" borderId="0" xfId="0" applyFont="1" applyAlignment="1"/>
    <xf numFmtId="44" fontId="40" fillId="0" borderId="0" xfId="2" applyFont="1"/>
    <xf numFmtId="182" fontId="40" fillId="0" borderId="0" xfId="2" applyNumberFormat="1" applyFont="1"/>
    <xf numFmtId="182" fontId="40" fillId="0" borderId="0" xfId="0" applyNumberFormat="1" applyFont="1"/>
    <xf numFmtId="169" fontId="0" fillId="0" borderId="0" xfId="0" applyNumberFormat="1" applyFont="1" applyAlignment="1"/>
    <xf numFmtId="169" fontId="40" fillId="0" borderId="0" xfId="0" applyNumberFormat="1" applyFont="1"/>
    <xf numFmtId="171" fontId="47" fillId="2" borderId="37" xfId="0" applyNumberFormat="1" applyFont="1" applyFill="1" applyBorder="1" applyAlignment="1">
      <alignment horizontal="center" vertical="center"/>
    </xf>
    <xf numFmtId="183" fontId="0" fillId="0" borderId="0" xfId="0" applyNumberFormat="1" applyFont="1" applyAlignment="1"/>
    <xf numFmtId="0" fontId="3" fillId="0" borderId="50" xfId="3"/>
    <xf numFmtId="0" fontId="3" fillId="0" borderId="50" xfId="3" applyAlignment="1">
      <alignment vertical="center" wrapText="1"/>
    </xf>
    <xf numFmtId="0" fontId="48" fillId="9" borderId="131" xfId="3" applyFont="1" applyFill="1" applyBorder="1" applyAlignment="1">
      <alignment horizontal="center" vertical="center" wrapText="1"/>
    </xf>
    <xf numFmtId="0" fontId="48" fillId="9" borderId="105" xfId="3" applyFont="1" applyFill="1" applyBorder="1" applyAlignment="1">
      <alignment horizontal="center" vertical="center" wrapText="1"/>
    </xf>
    <xf numFmtId="0" fontId="48" fillId="9" borderId="104" xfId="3" applyFont="1" applyFill="1" applyBorder="1" applyAlignment="1">
      <alignment horizontal="center" vertical="center" wrapText="1"/>
    </xf>
    <xf numFmtId="0" fontId="48" fillId="9" borderId="124" xfId="3" applyFont="1" applyFill="1" applyBorder="1" applyAlignment="1">
      <alignment horizontal="center" vertical="center" wrapText="1"/>
    </xf>
    <xf numFmtId="0" fontId="38" fillId="7" borderId="130" xfId="3" applyFont="1" applyFill="1" applyBorder="1" applyAlignment="1">
      <alignment horizontal="center" vertical="center"/>
    </xf>
    <xf numFmtId="0" fontId="38" fillId="7" borderId="99" xfId="3" applyFont="1" applyFill="1" applyBorder="1" applyAlignment="1">
      <alignment vertical="center"/>
    </xf>
    <xf numFmtId="0" fontId="48" fillId="9" borderId="104" xfId="3" applyFont="1" applyFill="1" applyBorder="1" applyAlignment="1">
      <alignment vertical="center"/>
    </xf>
    <xf numFmtId="0" fontId="38" fillId="7" borderId="132" xfId="3" applyFont="1" applyFill="1" applyBorder="1" applyAlignment="1">
      <alignment horizontal="center" vertical="center" wrapText="1"/>
    </xf>
    <xf numFmtId="10" fontId="38" fillId="7" borderId="99" xfId="3" applyNumberFormat="1" applyFont="1" applyFill="1" applyBorder="1"/>
    <xf numFmtId="9" fontId="38" fillId="7" borderId="99" xfId="3" applyNumberFormat="1" applyFont="1" applyFill="1" applyBorder="1"/>
    <xf numFmtId="167" fontId="0" fillId="0" borderId="130" xfId="5" applyFont="1" applyBorder="1" applyAlignment="1">
      <alignment vertical="center" wrapText="1"/>
    </xf>
    <xf numFmtId="167" fontId="0" fillId="0" borderId="99" xfId="5" applyFont="1" applyBorder="1" applyAlignment="1">
      <alignment vertical="center" wrapText="1"/>
    </xf>
    <xf numFmtId="182" fontId="3" fillId="0" borderId="99" xfId="3" applyNumberFormat="1" applyBorder="1"/>
    <xf numFmtId="0" fontId="49" fillId="0" borderId="99" xfId="3" applyFont="1" applyBorder="1" applyAlignment="1">
      <alignment horizontal="center" vertical="center" wrapText="1"/>
    </xf>
    <xf numFmtId="9" fontId="49" fillId="0" borderId="99" xfId="3" applyNumberFormat="1" applyFont="1" applyBorder="1" applyAlignment="1">
      <alignment horizontal="center" vertical="center" wrapText="1"/>
    </xf>
    <xf numFmtId="0" fontId="49" fillId="0" borderId="99" xfId="3" applyFont="1" applyBorder="1" applyAlignment="1">
      <alignment horizontal="center" vertical="center"/>
    </xf>
    <xf numFmtId="182" fontId="49" fillId="0" borderId="99" xfId="4" applyNumberFormat="1" applyFont="1" applyBorder="1" applyAlignment="1">
      <alignment horizontal="right" vertical="center"/>
    </xf>
    <xf numFmtId="0" fontId="49" fillId="0" borderId="122" xfId="3" applyFont="1" applyBorder="1" applyAlignment="1">
      <alignment horizontal="center" vertical="center" wrapText="1"/>
    </xf>
    <xf numFmtId="182" fontId="38" fillId="7" borderId="99" xfId="3" applyNumberFormat="1" applyFont="1" applyFill="1" applyBorder="1" applyAlignment="1">
      <alignment horizontal="center" vertical="center"/>
    </xf>
    <xf numFmtId="10" fontId="38" fillId="7" borderId="99" xfId="6" applyNumberFormat="1" applyFont="1" applyFill="1" applyBorder="1" applyAlignment="1">
      <alignment horizontal="center" vertical="center"/>
    </xf>
    <xf numFmtId="0" fontId="48" fillId="9" borderId="133" xfId="3" applyFont="1" applyFill="1" applyBorder="1" applyAlignment="1">
      <alignment horizontal="center" vertical="center" wrapText="1"/>
    </xf>
    <xf numFmtId="0" fontId="49" fillId="0" borderId="132" xfId="3" applyFont="1" applyBorder="1" applyAlignment="1">
      <alignment horizontal="center" vertical="center" wrapText="1"/>
    </xf>
    <xf numFmtId="0" fontId="49" fillId="0" borderId="132" xfId="3" applyFont="1" applyBorder="1" applyAlignment="1">
      <alignment horizontal="center" vertical="center"/>
    </xf>
    <xf numFmtId="182" fontId="49" fillId="0" borderId="132" xfId="4" applyNumberFormat="1" applyFont="1" applyFill="1" applyBorder="1" applyAlignment="1">
      <alignment horizontal="justify" vertical="center" wrapText="1"/>
    </xf>
    <xf numFmtId="182" fontId="49" fillId="0" borderId="135" xfId="4" applyNumberFormat="1" applyFont="1" applyFill="1" applyBorder="1" applyAlignment="1">
      <alignment horizontal="justify" vertical="center"/>
    </xf>
    <xf numFmtId="0" fontId="48" fillId="9" borderId="106" xfId="3" applyFont="1" applyFill="1" applyBorder="1" applyAlignment="1">
      <alignment horizontal="center" vertical="center" wrapText="1"/>
    </xf>
    <xf numFmtId="0" fontId="48" fillId="9" borderId="102" xfId="3" applyFont="1" applyFill="1" applyBorder="1" applyAlignment="1">
      <alignment horizontal="center" vertical="center" wrapText="1"/>
    </xf>
    <xf numFmtId="10" fontId="49" fillId="0" borderId="132" xfId="3" applyNumberFormat="1" applyFont="1" applyBorder="1" applyAlignment="1">
      <alignment horizontal="center" vertical="center"/>
    </xf>
    <xf numFmtId="9" fontId="49" fillId="0" borderId="99" xfId="3" applyNumberFormat="1" applyFont="1" applyBorder="1" applyAlignment="1">
      <alignment horizontal="center" vertical="center"/>
    </xf>
    <xf numFmtId="182" fontId="49" fillId="0" borderId="120" xfId="4" applyNumberFormat="1" applyFont="1" applyFill="1" applyBorder="1" applyAlignment="1">
      <alignment horizontal="justify" vertical="center"/>
    </xf>
    <xf numFmtId="172" fontId="49" fillId="0" borderId="122" xfId="3" applyNumberFormat="1" applyFont="1" applyBorder="1" applyAlignment="1">
      <alignment horizontal="center" vertical="center"/>
    </xf>
    <xf numFmtId="182" fontId="49" fillId="0" borderId="123" xfId="4" applyNumberFormat="1" applyFont="1" applyFill="1" applyBorder="1" applyAlignment="1">
      <alignment horizontal="justify" vertical="center"/>
    </xf>
    <xf numFmtId="182" fontId="3" fillId="0" borderId="50" xfId="3" applyNumberFormat="1"/>
    <xf numFmtId="0" fontId="48" fillId="9" borderId="117" xfId="3" applyFont="1" applyFill="1" applyBorder="1" applyAlignment="1">
      <alignment horizontal="center" vertical="center" wrapText="1"/>
    </xf>
    <xf numFmtId="0" fontId="48" fillId="9" borderId="118" xfId="3" applyFont="1" applyFill="1" applyBorder="1" applyAlignment="1">
      <alignment horizontal="center" vertical="center" wrapText="1"/>
    </xf>
    <xf numFmtId="0" fontId="48" fillId="0" borderId="99" xfId="3" applyFont="1" applyBorder="1" applyAlignment="1">
      <alignment horizontal="center" vertical="center"/>
    </xf>
    <xf numFmtId="9" fontId="48" fillId="0" borderId="99" xfId="3" applyNumberFormat="1" applyFont="1" applyBorder="1" applyAlignment="1">
      <alignment horizontal="center" vertical="center"/>
    </xf>
    <xf numFmtId="167" fontId="48" fillId="0" borderId="120" xfId="5" applyFont="1" applyBorder="1" applyAlignment="1">
      <alignment horizontal="center" vertical="center"/>
    </xf>
    <xf numFmtId="0" fontId="48" fillId="0" borderId="115" xfId="3" applyFont="1" applyBorder="1" applyAlignment="1">
      <alignment horizontal="center" vertical="center"/>
    </xf>
    <xf numFmtId="9" fontId="48" fillId="0" borderId="115" xfId="3" applyNumberFormat="1" applyFont="1" applyBorder="1" applyAlignment="1">
      <alignment horizontal="center" vertical="center"/>
    </xf>
    <xf numFmtId="167" fontId="48" fillId="0" borderId="147" xfId="5" applyFont="1" applyBorder="1" applyAlignment="1">
      <alignment horizontal="center" vertical="center"/>
    </xf>
    <xf numFmtId="179" fontId="49" fillId="0" borderId="99" xfId="3" applyNumberFormat="1" applyFont="1" applyBorder="1" applyAlignment="1">
      <alignment horizontal="center" vertical="center"/>
    </xf>
    <xf numFmtId="179" fontId="49" fillId="0" borderId="132" xfId="3" applyNumberFormat="1" applyFont="1" applyBorder="1" applyAlignment="1">
      <alignment horizontal="center" vertical="center"/>
    </xf>
    <xf numFmtId="179" fontId="49" fillId="9" borderId="132" xfId="3" applyNumberFormat="1" applyFont="1" applyFill="1" applyBorder="1" applyAlignment="1">
      <alignment horizontal="center" vertical="center"/>
    </xf>
    <xf numFmtId="0" fontId="3" fillId="0" borderId="50" xfId="3" applyAlignment="1">
      <alignment horizontal="center" vertical="center" wrapText="1"/>
    </xf>
    <xf numFmtId="0" fontId="5" fillId="0" borderId="50" xfId="0" applyFont="1" applyBorder="1"/>
    <xf numFmtId="0" fontId="55" fillId="0" borderId="0" xfId="0" applyFont="1" applyAlignment="1"/>
    <xf numFmtId="0" fontId="56" fillId="0" borderId="50" xfId="0" applyFont="1" applyBorder="1" applyAlignment="1">
      <alignment vertical="top"/>
    </xf>
    <xf numFmtId="0" fontId="56" fillId="0" borderId="50" xfId="0" applyFont="1" applyBorder="1" applyAlignment="1">
      <alignment vertical="top" wrapText="1"/>
    </xf>
    <xf numFmtId="0" fontId="56" fillId="0" borderId="50" xfId="0" applyFont="1" applyBorder="1" applyAlignment="1">
      <alignment horizontal="center" vertical="top"/>
    </xf>
    <xf numFmtId="0" fontId="56" fillId="0" borderId="50" xfId="0" applyFont="1" applyBorder="1" applyAlignment="1">
      <alignment horizontal="right" vertical="top"/>
    </xf>
    <xf numFmtId="167" fontId="56" fillId="0" borderId="50" xfId="0" applyNumberFormat="1" applyFont="1" applyBorder="1" applyAlignment="1">
      <alignment vertical="top"/>
    </xf>
    <xf numFmtId="0" fontId="58" fillId="2" borderId="158" xfId="0" applyFont="1" applyFill="1" applyBorder="1" applyAlignment="1">
      <alignment horizontal="center" vertical="center"/>
    </xf>
    <xf numFmtId="0" fontId="58" fillId="2" borderId="159" xfId="0" applyFont="1" applyFill="1" applyBorder="1" applyAlignment="1">
      <alignment horizontal="center" vertical="center"/>
    </xf>
    <xf numFmtId="0" fontId="58" fillId="2" borderId="23" xfId="0" applyFont="1" applyFill="1" applyBorder="1" applyAlignment="1">
      <alignment horizontal="center" vertical="center"/>
    </xf>
    <xf numFmtId="0" fontId="58" fillId="2" borderId="160" xfId="0" applyFont="1" applyFill="1" applyBorder="1" applyAlignment="1">
      <alignment horizontal="center" vertical="center"/>
    </xf>
    <xf numFmtId="167" fontId="59" fillId="0" borderId="0" xfId="0" applyNumberFormat="1" applyFont="1"/>
    <xf numFmtId="2" fontId="39" fillId="0" borderId="15" xfId="0" applyNumberFormat="1" applyFont="1" applyBorder="1" applyAlignment="1">
      <alignment horizontal="center" vertical="center"/>
    </xf>
    <xf numFmtId="2" fontId="39" fillId="0" borderId="16" xfId="0" applyNumberFormat="1" applyFont="1" applyBorder="1" applyAlignment="1">
      <alignment horizontal="left" vertical="center" wrapText="1"/>
    </xf>
    <xf numFmtId="2" fontId="39" fillId="0" borderId="16" xfId="0" applyNumberFormat="1" applyFont="1" applyBorder="1" applyAlignment="1">
      <alignment horizontal="center" vertical="center"/>
    </xf>
    <xf numFmtId="173" fontId="55" fillId="0" borderId="16" xfId="0" applyNumberFormat="1" applyFont="1" applyBorder="1" applyAlignment="1">
      <alignment vertical="center"/>
    </xf>
    <xf numFmtId="173" fontId="39" fillId="0" borderId="17" xfId="0" applyNumberFormat="1" applyFont="1" applyBorder="1" applyAlignment="1">
      <alignment vertical="center"/>
    </xf>
    <xf numFmtId="2" fontId="39" fillId="0" borderId="38" xfId="0" applyNumberFormat="1" applyFont="1" applyBorder="1" applyAlignment="1">
      <alignment horizontal="center" vertical="center"/>
    </xf>
    <xf numFmtId="0" fontId="55" fillId="0" borderId="0" xfId="0" applyFont="1" applyAlignment="1">
      <alignment vertical="center"/>
    </xf>
    <xf numFmtId="0" fontId="55" fillId="0" borderId="0" xfId="0" applyFont="1" applyAlignment="1">
      <alignment horizontal="center" vertical="center"/>
    </xf>
    <xf numFmtId="2" fontId="55" fillId="0" borderId="0" xfId="0" applyNumberFormat="1" applyFont="1" applyAlignment="1">
      <alignment horizontal="center" vertical="center"/>
    </xf>
    <xf numFmtId="173" fontId="55" fillId="0" borderId="0" xfId="0" applyNumberFormat="1" applyFont="1" applyAlignment="1">
      <alignment horizontal="right" vertical="center"/>
    </xf>
    <xf numFmtId="173" fontId="55" fillId="0" borderId="0" xfId="0" applyNumberFormat="1" applyFont="1" applyAlignment="1">
      <alignment vertical="center"/>
    </xf>
    <xf numFmtId="173" fontId="55" fillId="0" borderId="39" xfId="0" applyNumberFormat="1" applyFont="1" applyBorder="1" applyAlignment="1">
      <alignment vertical="center"/>
    </xf>
    <xf numFmtId="0" fontId="55" fillId="0" borderId="0" xfId="0" applyFont="1" applyAlignment="1">
      <alignment vertical="center" wrapText="1"/>
    </xf>
    <xf numFmtId="2" fontId="39" fillId="0" borderId="19" xfId="0" applyNumberFormat="1" applyFont="1" applyBorder="1" applyAlignment="1">
      <alignment horizontal="center" vertical="center"/>
    </xf>
    <xf numFmtId="0" fontId="55" fillId="0" borderId="4" xfId="0" applyFont="1" applyBorder="1" applyAlignment="1">
      <alignment vertical="center" wrapText="1"/>
    </xf>
    <xf numFmtId="0" fontId="55" fillId="0" borderId="4" xfId="0" applyFont="1" applyBorder="1" applyAlignment="1">
      <alignment horizontal="center" vertical="center"/>
    </xf>
    <xf numFmtId="2" fontId="55" fillId="0" borderId="4" xfId="0" applyNumberFormat="1" applyFont="1" applyBorder="1" applyAlignment="1">
      <alignment horizontal="center" vertical="center"/>
    </xf>
    <xf numFmtId="173" fontId="55" fillId="0" borderId="4" xfId="0" applyNumberFormat="1" applyFont="1" applyBorder="1" applyAlignment="1">
      <alignment horizontal="right" vertical="center"/>
    </xf>
    <xf numFmtId="173" fontId="55" fillId="0" borderId="4" xfId="0" applyNumberFormat="1" applyFont="1" applyBorder="1" applyAlignment="1">
      <alignment vertical="center"/>
    </xf>
    <xf numFmtId="0" fontId="55" fillId="0" borderId="20" xfId="0" applyFont="1" applyBorder="1" applyAlignment="1">
      <alignment vertical="center"/>
    </xf>
    <xf numFmtId="167" fontId="55" fillId="0" borderId="0" xfId="0" applyNumberFormat="1" applyFont="1"/>
    <xf numFmtId="0" fontId="55" fillId="0" borderId="107" xfId="0" applyFont="1" applyBorder="1" applyAlignment="1"/>
    <xf numFmtId="0" fontId="39" fillId="0" borderId="108" xfId="0" applyFont="1" applyBorder="1" applyAlignment="1">
      <alignment vertical="center" wrapText="1"/>
    </xf>
    <xf numFmtId="0" fontId="39" fillId="0" borderId="108" xfId="0" applyFont="1" applyBorder="1" applyAlignment="1">
      <alignment horizontal="center" vertical="center"/>
    </xf>
    <xf numFmtId="0" fontId="55" fillId="0" borderId="108" xfId="0" applyFont="1" applyBorder="1" applyAlignment="1"/>
    <xf numFmtId="167" fontId="55" fillId="0" borderId="108" xfId="0" applyNumberFormat="1" applyFont="1" applyBorder="1"/>
    <xf numFmtId="183" fontId="39" fillId="0" borderId="109" xfId="0" applyNumberFormat="1" applyFont="1" applyBorder="1" applyAlignment="1">
      <alignment horizontal="center" vertical="center"/>
    </xf>
    <xf numFmtId="0" fontId="55" fillId="0" borderId="110" xfId="0" applyFont="1" applyBorder="1" applyAlignment="1"/>
    <xf numFmtId="0" fontId="55" fillId="0" borderId="50" xfId="0" applyFont="1" applyBorder="1" applyAlignment="1"/>
    <xf numFmtId="167" fontId="55" fillId="0" borderId="50" xfId="0" applyNumberFormat="1" applyFont="1" applyBorder="1"/>
    <xf numFmtId="173" fontId="55" fillId="0" borderId="50" xfId="0" applyNumberFormat="1" applyFont="1" applyBorder="1" applyAlignment="1">
      <alignment vertical="center"/>
    </xf>
    <xf numFmtId="0" fontId="55" fillId="0" borderId="111" xfId="0" applyFont="1" applyBorder="1" applyAlignment="1"/>
    <xf numFmtId="0" fontId="55" fillId="0" borderId="50" xfId="0" applyFont="1" applyBorder="1" applyAlignment="1">
      <alignment wrapText="1"/>
    </xf>
    <xf numFmtId="0" fontId="55" fillId="0" borderId="112" xfId="0" applyFont="1" applyBorder="1" applyAlignment="1"/>
    <xf numFmtId="0" fontId="55" fillId="0" borderId="113" xfId="0" applyFont="1" applyBorder="1" applyAlignment="1"/>
    <xf numFmtId="167" fontId="55" fillId="0" borderId="113" xfId="0" applyNumberFormat="1" applyFont="1" applyBorder="1"/>
    <xf numFmtId="173" fontId="55" fillId="0" borderId="113" xfId="0" applyNumberFormat="1" applyFont="1" applyBorder="1" applyAlignment="1">
      <alignment vertical="center"/>
    </xf>
    <xf numFmtId="0" fontId="55" fillId="0" borderId="114" xfId="0" applyFont="1" applyBorder="1" applyAlignment="1"/>
    <xf numFmtId="0" fontId="39" fillId="0" borderId="108" xfId="0" applyFont="1" applyBorder="1" applyAlignment="1">
      <alignment horizontal="left" vertical="center" wrapText="1"/>
    </xf>
    <xf numFmtId="0" fontId="39" fillId="0" borderId="16" xfId="0" applyFont="1" applyBorder="1" applyAlignment="1">
      <alignment horizontal="left" vertical="center" wrapText="1"/>
    </xf>
    <xf numFmtId="0" fontId="39" fillId="0" borderId="16" xfId="0" applyFont="1" applyBorder="1" applyAlignment="1">
      <alignment horizontal="center" vertical="center"/>
    </xf>
    <xf numFmtId="2" fontId="55" fillId="0" borderId="16" xfId="0" applyNumberFormat="1" applyFont="1" applyBorder="1" applyAlignment="1">
      <alignment horizontal="center" vertical="center"/>
    </xf>
    <xf numFmtId="173" fontId="39" fillId="0" borderId="16" xfId="0" applyNumberFormat="1" applyFont="1" applyBorder="1" applyAlignment="1">
      <alignment horizontal="right" vertical="center"/>
    </xf>
    <xf numFmtId="173" fontId="39" fillId="0" borderId="16" xfId="0" applyNumberFormat="1" applyFont="1" applyBorder="1" applyAlignment="1">
      <alignment vertical="center"/>
    </xf>
    <xf numFmtId="0" fontId="55" fillId="0" borderId="4" xfId="0" applyFont="1" applyBorder="1" applyAlignment="1">
      <alignment vertical="center"/>
    </xf>
    <xf numFmtId="173" fontId="55" fillId="0" borderId="20" xfId="0" applyNumberFormat="1" applyFont="1" applyBorder="1" applyAlignment="1">
      <alignment vertical="center"/>
    </xf>
    <xf numFmtId="0" fontId="55" fillId="0" borderId="50" xfId="0" applyFont="1" applyBorder="1" applyAlignment="1">
      <alignment vertical="center"/>
    </xf>
    <xf numFmtId="0" fontId="55" fillId="0" borderId="50" xfId="0" applyFont="1" applyBorder="1" applyAlignment="1">
      <alignment horizontal="center" vertical="center"/>
    </xf>
    <xf numFmtId="2" fontId="55" fillId="0" borderId="50" xfId="0" applyNumberFormat="1" applyFont="1" applyBorder="1" applyAlignment="1">
      <alignment horizontal="center" vertical="center"/>
    </xf>
    <xf numFmtId="173" fontId="55" fillId="0" borderId="50" xfId="0" applyNumberFormat="1" applyFont="1" applyBorder="1" applyAlignment="1">
      <alignment horizontal="right" vertical="center"/>
    </xf>
    <xf numFmtId="0" fontId="12" fillId="0" borderId="119" xfId="0" applyFont="1" applyFill="1" applyBorder="1" applyAlignment="1">
      <alignment horizontal="center" vertical="center"/>
    </xf>
    <xf numFmtId="0" fontId="58" fillId="0" borderId="119" xfId="0" applyFont="1" applyFill="1" applyBorder="1" applyAlignment="1">
      <alignment horizontal="center" vertical="center"/>
    </xf>
    <xf numFmtId="0" fontId="49" fillId="0" borderId="99" xfId="3" applyFont="1" applyBorder="1" applyAlignment="1">
      <alignment horizontal="center" vertical="center" wrapText="1"/>
    </xf>
    <xf numFmtId="2" fontId="7" fillId="0" borderId="124" xfId="0" applyNumberFormat="1" applyFont="1" applyBorder="1"/>
    <xf numFmtId="0" fontId="13" fillId="0" borderId="104" xfId="0" applyFont="1" applyBorder="1" applyAlignment="1">
      <alignment vertical="center" wrapText="1"/>
    </xf>
    <xf numFmtId="0" fontId="13" fillId="0" borderId="104" xfId="0" applyFont="1" applyBorder="1" applyAlignment="1">
      <alignment vertical="center"/>
    </xf>
    <xf numFmtId="2" fontId="7" fillId="0" borderId="104" xfId="0" applyNumberFormat="1" applyFont="1" applyBorder="1"/>
    <xf numFmtId="173" fontId="7" fillId="0" borderId="104" xfId="0" applyNumberFormat="1" applyFont="1" applyBorder="1"/>
    <xf numFmtId="183" fontId="39" fillId="0" borderId="105" xfId="0" applyNumberFormat="1" applyFont="1" applyBorder="1" applyAlignment="1">
      <alignment horizontal="center" vertical="center"/>
    </xf>
    <xf numFmtId="0" fontId="0" fillId="0" borderId="125" xfId="0" applyFont="1" applyBorder="1" applyAlignment="1"/>
    <xf numFmtId="173" fontId="7" fillId="0" borderId="50" xfId="0" applyNumberFormat="1" applyFont="1" applyBorder="1"/>
    <xf numFmtId="0" fontId="0" fillId="0" borderId="126" xfId="0" applyFont="1" applyBorder="1" applyAlignment="1"/>
    <xf numFmtId="0" fontId="0" fillId="0" borderId="127" xfId="0" applyFont="1" applyBorder="1" applyAlignment="1"/>
    <xf numFmtId="0" fontId="0" fillId="0" borderId="128" xfId="0" applyFont="1" applyBorder="1" applyAlignment="1"/>
    <xf numFmtId="167" fontId="7" fillId="0" borderId="128" xfId="0" applyNumberFormat="1" applyFont="1" applyBorder="1"/>
    <xf numFmtId="173" fontId="7" fillId="0" borderId="128" xfId="0" applyNumberFormat="1" applyFont="1" applyBorder="1"/>
    <xf numFmtId="0" fontId="0" fillId="0" borderId="129" xfId="0" applyFont="1" applyBorder="1" applyAlignment="1"/>
    <xf numFmtId="0" fontId="0" fillId="0" borderId="124" xfId="0" applyFont="1" applyBorder="1" applyAlignment="1"/>
    <xf numFmtId="182" fontId="49" fillId="0" borderId="99" xfId="4" applyNumberFormat="1" applyFont="1" applyBorder="1" applyAlignment="1">
      <alignment horizontal="center" vertical="center" wrapText="1"/>
    </xf>
    <xf numFmtId="182" fontId="49" fillId="0" borderId="99" xfId="4" applyNumberFormat="1" applyFont="1" applyBorder="1" applyAlignment="1">
      <alignment vertical="center"/>
    </xf>
    <xf numFmtId="10" fontId="49" fillId="0" borderId="99" xfId="6" applyNumberFormat="1" applyFont="1" applyBorder="1" applyAlignment="1">
      <alignment vertical="center"/>
    </xf>
    <xf numFmtId="0" fontId="0" fillId="0" borderId="50" xfId="0" applyFont="1" applyBorder="1" applyAlignment="1">
      <alignment wrapText="1"/>
    </xf>
    <xf numFmtId="0" fontId="48" fillId="9" borderId="102" xfId="3" applyFont="1" applyFill="1" applyBorder="1" applyAlignment="1">
      <alignment horizontal="center" vertical="center" wrapText="1"/>
    </xf>
    <xf numFmtId="0" fontId="49" fillId="0" borderId="132" xfId="3" applyFont="1" applyBorder="1" applyAlignment="1">
      <alignment horizontal="center" vertical="center" wrapText="1"/>
    </xf>
    <xf numFmtId="0" fontId="49" fillId="0" borderId="99" xfId="3" applyFont="1" applyBorder="1" applyAlignment="1">
      <alignment horizontal="center" vertical="center" wrapText="1"/>
    </xf>
    <xf numFmtId="0" fontId="49" fillId="0" borderId="122" xfId="3" applyFont="1" applyBorder="1" applyAlignment="1">
      <alignment horizontal="center" vertical="center" wrapText="1"/>
    </xf>
    <xf numFmtId="0" fontId="48" fillId="0" borderId="99" xfId="3" applyFont="1" applyBorder="1" applyAlignment="1">
      <alignment horizontal="center" vertical="center"/>
    </xf>
    <xf numFmtId="0" fontId="48" fillId="9" borderId="117" xfId="3" applyFont="1" applyFill="1" applyBorder="1" applyAlignment="1">
      <alignment horizontal="center" vertical="center" wrapText="1"/>
    </xf>
    <xf numFmtId="0" fontId="48" fillId="0" borderId="115" xfId="3" applyFont="1" applyBorder="1" applyAlignment="1">
      <alignment horizontal="center" vertical="center"/>
    </xf>
    <xf numFmtId="182" fontId="49" fillId="0" borderId="132" xfId="4" applyNumberFormat="1" applyFont="1" applyFill="1" applyBorder="1" applyAlignment="1">
      <alignment horizontal="justify" vertical="center" wrapText="1"/>
    </xf>
    <xf numFmtId="0" fontId="3" fillId="0" borderId="50" xfId="3" applyAlignment="1">
      <alignment horizontal="center" vertical="center" wrapText="1"/>
    </xf>
    <xf numFmtId="0" fontId="7" fillId="0" borderId="50" xfId="0" applyFont="1" applyBorder="1"/>
    <xf numFmtId="2" fontId="7" fillId="0" borderId="50" xfId="0" applyNumberFormat="1" applyFont="1" applyBorder="1"/>
    <xf numFmtId="44" fontId="0" fillId="0" borderId="0" xfId="2" applyFont="1" applyAlignment="1"/>
    <xf numFmtId="0" fontId="39" fillId="0" borderId="50" xfId="0" applyFont="1" applyBorder="1" applyAlignment="1">
      <alignment horizontal="left" vertical="center" wrapText="1"/>
    </xf>
    <xf numFmtId="0" fontId="39" fillId="0" borderId="50" xfId="0" applyFont="1" applyBorder="1" applyAlignment="1">
      <alignment horizontal="center" vertical="center"/>
    </xf>
    <xf numFmtId="173" fontId="39" fillId="0" borderId="39" xfId="0" applyNumberFormat="1" applyFont="1" applyBorder="1" applyAlignment="1">
      <alignment vertical="center"/>
    </xf>
    <xf numFmtId="182" fontId="0" fillId="0" borderId="0" xfId="2" applyNumberFormat="1" applyFont="1" applyAlignment="1"/>
    <xf numFmtId="0" fontId="61" fillId="0" borderId="99" xfId="0" applyFont="1" applyBorder="1" applyAlignment="1">
      <alignment horizontal="center" vertical="center"/>
    </xf>
    <xf numFmtId="1" fontId="61" fillId="0" borderId="99" xfId="0" applyNumberFormat="1" applyFont="1" applyBorder="1" applyAlignment="1">
      <alignment horizontal="center" vertical="center"/>
    </xf>
    <xf numFmtId="168" fontId="61" fillId="0" borderId="99" xfId="0" applyNumberFormat="1" applyFont="1" applyBorder="1" applyAlignment="1">
      <alignment horizontal="center" vertical="center"/>
    </xf>
    <xf numFmtId="169" fontId="61" fillId="0" borderId="99" xfId="0" applyNumberFormat="1" applyFont="1" applyBorder="1" applyAlignment="1">
      <alignment horizontal="center" vertical="center"/>
    </xf>
    <xf numFmtId="10" fontId="61" fillId="0" borderId="120" xfId="0" applyNumberFormat="1" applyFont="1" applyBorder="1" applyAlignment="1">
      <alignment horizontal="center" vertical="center"/>
    </xf>
    <xf numFmtId="0" fontId="62" fillId="0" borderId="99" xfId="0" applyFont="1" applyBorder="1" applyAlignment="1">
      <alignment horizontal="center" vertical="center"/>
    </xf>
    <xf numFmtId="1" fontId="62" fillId="0" borderId="99" xfId="0" applyNumberFormat="1" applyFont="1" applyBorder="1" applyAlignment="1">
      <alignment horizontal="center" vertical="center"/>
    </xf>
    <xf numFmtId="169" fontId="62" fillId="0" borderId="99" xfId="0" applyNumberFormat="1" applyFont="1" applyBorder="1" applyAlignment="1">
      <alignment horizontal="center" vertical="center"/>
    </xf>
    <xf numFmtId="0" fontId="61" fillId="0" borderId="99" xfId="0" applyFont="1" applyFill="1" applyBorder="1" applyAlignment="1">
      <alignment horizontal="center" vertical="center"/>
    </xf>
    <xf numFmtId="1" fontId="61" fillId="0" borderId="99" xfId="0" applyNumberFormat="1" applyFont="1" applyFill="1" applyBorder="1" applyAlignment="1">
      <alignment horizontal="center" vertical="center"/>
    </xf>
    <xf numFmtId="168" fontId="63" fillId="2" borderId="40" xfId="0" applyNumberFormat="1" applyFont="1" applyFill="1" applyBorder="1" applyAlignment="1">
      <alignment horizontal="center" vertical="center"/>
    </xf>
    <xf numFmtId="9" fontId="63" fillId="2" borderId="40" xfId="1" applyFont="1" applyFill="1" applyBorder="1" applyAlignment="1">
      <alignment horizontal="center" vertical="center"/>
    </xf>
    <xf numFmtId="168" fontId="64" fillId="2" borderId="40" xfId="0" applyNumberFormat="1" applyFont="1" applyFill="1" applyBorder="1" applyAlignment="1">
      <alignment horizontal="center" vertical="center"/>
    </xf>
    <xf numFmtId="9" fontId="64" fillId="2" borderId="40" xfId="1" applyFont="1" applyFill="1" applyBorder="1" applyAlignment="1">
      <alignment horizontal="center" vertical="center"/>
    </xf>
    <xf numFmtId="9" fontId="40" fillId="2" borderId="119" xfId="0" applyNumberFormat="1" applyFont="1" applyFill="1" applyBorder="1" applyAlignment="1">
      <alignment horizontal="center" vertical="center"/>
    </xf>
    <xf numFmtId="0" fontId="40" fillId="2" borderId="99" xfId="0" applyFont="1" applyFill="1" applyBorder="1" applyAlignment="1">
      <alignment vertical="center"/>
    </xf>
    <xf numFmtId="179" fontId="40" fillId="2" borderId="119" xfId="0" applyNumberFormat="1" applyFont="1" applyFill="1" applyBorder="1" applyAlignment="1">
      <alignment horizontal="center" vertical="center"/>
    </xf>
    <xf numFmtId="10" fontId="9" fillId="2" borderId="119" xfId="0" applyNumberFormat="1" applyFont="1" applyFill="1" applyBorder="1" applyAlignment="1">
      <alignment horizontal="center" vertical="center" wrapText="1"/>
    </xf>
    <xf numFmtId="182" fontId="49" fillId="0" borderId="117" xfId="4" applyNumberFormat="1" applyFont="1" applyBorder="1" applyAlignment="1">
      <alignment horizontal="right" vertical="center"/>
    </xf>
    <xf numFmtId="2" fontId="39" fillId="0" borderId="50" xfId="0" applyNumberFormat="1" applyFont="1" applyBorder="1" applyAlignment="1">
      <alignment horizontal="center" vertical="center"/>
    </xf>
    <xf numFmtId="0" fontId="0" fillId="0" borderId="50" xfId="0" applyBorder="1"/>
    <xf numFmtId="0" fontId="0" fillId="0" borderId="128" xfId="0" applyBorder="1"/>
    <xf numFmtId="2" fontId="39" fillId="0" borderId="124" xfId="0" applyNumberFormat="1" applyFont="1" applyBorder="1" applyAlignment="1">
      <alignment horizontal="center" vertical="center"/>
    </xf>
    <xf numFmtId="0" fontId="38" fillId="0" borderId="104" xfId="0" applyFont="1" applyBorder="1" applyAlignment="1">
      <alignment horizontal="center" vertical="center" wrapText="1"/>
    </xf>
    <xf numFmtId="0" fontId="0" fillId="0" borderId="104" xfId="0" applyBorder="1"/>
    <xf numFmtId="183" fontId="38" fillId="0" borderId="105" xfId="0" applyNumberFormat="1" applyFont="1" applyBorder="1"/>
    <xf numFmtId="2" fontId="39" fillId="0" borderId="125" xfId="0" applyNumberFormat="1" applyFont="1" applyBorder="1" applyAlignment="1">
      <alignment horizontal="center" vertical="center"/>
    </xf>
    <xf numFmtId="0" fontId="0" fillId="0" borderId="126" xfId="0" applyBorder="1"/>
    <xf numFmtId="2" fontId="39" fillId="0" borderId="127" xfId="0" applyNumberFormat="1" applyFont="1" applyBorder="1" applyAlignment="1">
      <alignment horizontal="center" vertical="center"/>
    </xf>
    <xf numFmtId="0" fontId="0" fillId="0" borderId="129" xfId="0" applyBorder="1"/>
    <xf numFmtId="0" fontId="1" fillId="0" borderId="50" xfId="7" applyFont="1" applyAlignment="1"/>
    <xf numFmtId="0" fontId="1" fillId="0" borderId="50" xfId="7"/>
    <xf numFmtId="3" fontId="67" fillId="11" borderId="34" xfId="7" applyNumberFormat="1" applyFont="1" applyFill="1" applyBorder="1" applyAlignment="1">
      <alignment horizontal="center" vertical="center" wrapText="1"/>
    </xf>
    <xf numFmtId="3" fontId="67" fillId="11" borderId="38" xfId="7" applyNumberFormat="1" applyFont="1" applyFill="1" applyBorder="1" applyAlignment="1">
      <alignment horizontal="center" vertical="center" wrapText="1"/>
    </xf>
    <xf numFmtId="0" fontId="5" fillId="0" borderId="36" xfId="7" applyFont="1" applyBorder="1"/>
    <xf numFmtId="184" fontId="68" fillId="0" borderId="29" xfId="7" applyNumberFormat="1" applyFont="1" applyBorder="1" applyAlignment="1">
      <alignment horizontal="center" vertical="center" wrapText="1"/>
    </xf>
    <xf numFmtId="3" fontId="69" fillId="7" borderId="29" xfId="7" applyNumberFormat="1" applyFont="1" applyFill="1" applyBorder="1" applyAlignment="1">
      <alignment horizontal="center" vertical="center" wrapText="1"/>
    </xf>
    <xf numFmtId="3" fontId="69" fillId="12" borderId="29" xfId="7" applyNumberFormat="1" applyFont="1" applyFill="1" applyBorder="1" applyAlignment="1">
      <alignment horizontal="center" vertical="center" wrapText="1"/>
    </xf>
    <xf numFmtId="0" fontId="1" fillId="0" borderId="99" xfId="7" applyFont="1" applyBorder="1" applyAlignment="1"/>
    <xf numFmtId="3" fontId="68" fillId="0" borderId="36" xfId="7" applyNumberFormat="1" applyFont="1" applyBorder="1" applyAlignment="1">
      <alignment vertical="center" wrapText="1"/>
    </xf>
    <xf numFmtId="3" fontId="68" fillId="0" borderId="29" xfId="7" applyNumberFormat="1" applyFont="1" applyBorder="1" applyAlignment="1">
      <alignment horizontal="center" vertical="center" wrapText="1"/>
    </xf>
    <xf numFmtId="2" fontId="1" fillId="0" borderId="99" xfId="7" applyNumberFormat="1" applyFont="1" applyBorder="1" applyAlignment="1">
      <alignment horizontal="center" vertical="center"/>
    </xf>
    <xf numFmtId="3" fontId="68" fillId="0" borderId="29" xfId="7" applyNumberFormat="1" applyFont="1" applyBorder="1" applyAlignment="1">
      <alignment vertical="center" wrapText="1"/>
    </xf>
    <xf numFmtId="3" fontId="68" fillId="0" borderId="29" xfId="7" applyNumberFormat="1" applyFont="1" applyBorder="1" applyAlignment="1">
      <alignment horizontal="right" vertical="center" wrapText="1"/>
    </xf>
    <xf numFmtId="0" fontId="1" fillId="0" borderId="161" xfId="7" applyFont="1" applyBorder="1" applyAlignment="1"/>
    <xf numFmtId="0" fontId="1" fillId="0" borderId="119" xfId="7" applyFont="1" applyBorder="1" applyAlignment="1"/>
    <xf numFmtId="0" fontId="1" fillId="0" borderId="120" xfId="7" applyFont="1" applyBorder="1" applyAlignment="1"/>
    <xf numFmtId="0" fontId="1" fillId="0" borderId="161" xfId="7" applyFont="1" applyBorder="1" applyAlignment="1">
      <alignment horizontal="center" vertical="center"/>
    </xf>
    <xf numFmtId="185" fontId="1" fillId="0" borderId="119" xfId="7" applyNumberFormat="1" applyFont="1" applyBorder="1" applyAlignment="1"/>
    <xf numFmtId="185" fontId="1" fillId="0" borderId="120" xfId="7" applyNumberFormat="1" applyFont="1" applyBorder="1" applyAlignment="1"/>
    <xf numFmtId="186" fontId="1" fillId="0" borderId="119" xfId="7" applyNumberFormat="1" applyFont="1" applyBorder="1" applyAlignment="1"/>
    <xf numFmtId="3" fontId="67" fillId="0" borderId="29" xfId="7" applyNumberFormat="1" applyFont="1" applyBorder="1" applyAlignment="1">
      <alignment vertical="center" wrapText="1"/>
    </xf>
    <xf numFmtId="3" fontId="1" fillId="0" borderId="50" xfId="7" applyNumberFormat="1" applyFont="1" applyAlignment="1">
      <alignment vertical="center" wrapText="1"/>
    </xf>
    <xf numFmtId="0" fontId="58" fillId="7" borderId="99" xfId="7" applyFont="1" applyFill="1" applyBorder="1" applyAlignment="1">
      <alignment horizontal="center" vertical="center" wrapText="1"/>
    </xf>
    <xf numFmtId="187" fontId="58" fillId="7" borderId="99" xfId="8" applyNumberFormat="1" applyFont="1" applyFill="1" applyBorder="1" applyAlignment="1">
      <alignment horizontal="center" vertical="center" wrapText="1"/>
    </xf>
    <xf numFmtId="0" fontId="1" fillId="0" borderId="115" xfId="7" applyFont="1" applyBorder="1" applyAlignment="1"/>
    <xf numFmtId="0" fontId="1" fillId="0" borderId="107" xfId="7" applyFont="1" applyBorder="1" applyAlignment="1">
      <alignment horizontal="center" vertical="center"/>
    </xf>
    <xf numFmtId="185" fontId="1" fillId="0" borderId="146" xfId="7" applyNumberFormat="1" applyFont="1" applyBorder="1" applyAlignment="1"/>
    <xf numFmtId="185" fontId="1" fillId="0" borderId="147" xfId="7" applyNumberFormat="1" applyFont="1" applyBorder="1" applyAlignment="1"/>
    <xf numFmtId="0" fontId="1" fillId="0" borderId="116" xfId="7" applyFont="1" applyBorder="1" applyAlignment="1"/>
    <xf numFmtId="186" fontId="1" fillId="0" borderId="118" xfId="7" applyNumberFormat="1" applyFont="1" applyBorder="1" applyAlignment="1"/>
    <xf numFmtId="186" fontId="1" fillId="0" borderId="120" xfId="7" applyNumberFormat="1" applyFont="1" applyBorder="1" applyAlignment="1"/>
    <xf numFmtId="0" fontId="1" fillId="0" borderId="121" xfId="7" applyFont="1" applyBorder="1" applyAlignment="1"/>
    <xf numFmtId="186" fontId="1" fillId="0" borderId="123" xfId="7" applyNumberFormat="1" applyFont="1" applyBorder="1" applyAlignment="1"/>
    <xf numFmtId="0" fontId="55" fillId="0" borderId="127" xfId="0" applyFont="1" applyBorder="1" applyAlignment="1"/>
    <xf numFmtId="173" fontId="55" fillId="0" borderId="128" xfId="0" applyNumberFormat="1" applyFont="1" applyBorder="1" applyAlignment="1">
      <alignment horizontal="right" vertical="center"/>
    </xf>
    <xf numFmtId="173" fontId="55" fillId="0" borderId="128" xfId="0" applyNumberFormat="1" applyFont="1" applyBorder="1" applyAlignment="1">
      <alignment vertical="center"/>
    </xf>
    <xf numFmtId="0" fontId="39" fillId="0" borderId="104" xfId="0" applyFont="1" applyBorder="1" applyAlignment="1">
      <alignment horizontal="left" vertical="center" wrapText="1"/>
    </xf>
    <xf numFmtId="0" fontId="38" fillId="0" borderId="104" xfId="0" applyFont="1" applyBorder="1" applyAlignment="1">
      <alignment horizontal="left" vertical="center" wrapText="1"/>
    </xf>
    <xf numFmtId="0" fontId="0" fillId="0" borderId="50" xfId="0" applyBorder="1" applyAlignment="1">
      <alignment horizontal="center" vertical="center"/>
    </xf>
    <xf numFmtId="0" fontId="0" fillId="0" borderId="128" xfId="0" applyBorder="1" applyAlignment="1">
      <alignment horizontal="center" vertical="center"/>
    </xf>
    <xf numFmtId="43" fontId="1" fillId="0" borderId="50" xfId="7" applyNumberFormat="1" applyFont="1" applyAlignment="1"/>
    <xf numFmtId="43" fontId="0" fillId="0" borderId="50" xfId="0" applyNumberFormat="1" applyBorder="1"/>
    <xf numFmtId="173" fontId="0" fillId="0" borderId="128" xfId="0" applyNumberFormat="1" applyBorder="1"/>
    <xf numFmtId="0" fontId="1" fillId="0" borderId="128" xfId="0" applyFont="1" applyBorder="1" applyAlignment="1">
      <alignment wrapText="1"/>
    </xf>
    <xf numFmtId="173" fontId="0" fillId="0" borderId="50" xfId="0" applyNumberFormat="1" applyBorder="1"/>
    <xf numFmtId="0" fontId="0" fillId="0" borderId="104" xfId="0" applyFont="1" applyBorder="1" applyAlignment="1"/>
    <xf numFmtId="167" fontId="7" fillId="0" borderId="104" xfId="0" applyNumberFormat="1" applyFont="1" applyBorder="1"/>
    <xf numFmtId="183" fontId="39" fillId="0" borderId="126" xfId="0" applyNumberFormat="1" applyFont="1" applyBorder="1" applyAlignment="1">
      <alignment horizontal="center" vertical="center"/>
    </xf>
    <xf numFmtId="0" fontId="1" fillId="0" borderId="50" xfId="0" applyFont="1" applyBorder="1"/>
    <xf numFmtId="166" fontId="7" fillId="0" borderId="50" xfId="0" applyNumberFormat="1" applyFont="1" applyBorder="1"/>
    <xf numFmtId="0" fontId="38" fillId="0" borderId="104" xfId="0" applyFont="1" applyBorder="1" applyAlignment="1">
      <alignment horizontal="center" vertical="center"/>
    </xf>
    <xf numFmtId="0" fontId="1" fillId="0" borderId="50" xfId="0" applyFont="1" applyBorder="1" applyAlignment="1">
      <alignment wrapText="1"/>
    </xf>
    <xf numFmtId="183" fontId="38" fillId="0" borderId="105" xfId="0" applyNumberFormat="1" applyFont="1" applyBorder="1" applyAlignment="1">
      <alignment horizontal="center" vertical="center"/>
    </xf>
    <xf numFmtId="0" fontId="1" fillId="0" borderId="0" xfId="0" applyFont="1" applyAlignment="1">
      <alignment horizontal="left" vertical="center" wrapText="1"/>
    </xf>
    <xf numFmtId="0" fontId="1" fillId="0" borderId="50" xfId="0" applyFont="1" applyBorder="1" applyAlignment="1">
      <alignment horizontal="left" vertical="center"/>
    </xf>
    <xf numFmtId="0" fontId="0" fillId="0" borderId="50" xfId="0" applyBorder="1" applyAlignment="1">
      <alignment horizontal="left" vertical="center"/>
    </xf>
    <xf numFmtId="173" fontId="55" fillId="0" borderId="50" xfId="0" applyNumberFormat="1" applyFont="1" applyBorder="1" applyAlignment="1">
      <alignment horizontal="left" vertical="center"/>
    </xf>
    <xf numFmtId="0" fontId="1" fillId="0" borderId="50" xfId="0" applyFont="1" applyBorder="1" applyAlignment="1">
      <alignment horizontal="left"/>
    </xf>
    <xf numFmtId="188" fontId="0" fillId="0" borderId="50" xfId="0" applyNumberFormat="1" applyBorder="1" applyAlignment="1">
      <alignment horizontal="left" vertical="center"/>
    </xf>
    <xf numFmtId="0" fontId="0" fillId="0" borderId="50" xfId="0" applyFont="1" applyBorder="1" applyAlignment="1">
      <alignment horizontal="left"/>
    </xf>
    <xf numFmtId="0" fontId="0" fillId="0" borderId="50" xfId="0" applyBorder="1" applyAlignment="1">
      <alignment horizontal="left"/>
    </xf>
    <xf numFmtId="166" fontId="7" fillId="0" borderId="50" xfId="0" applyNumberFormat="1" applyFont="1" applyBorder="1" applyAlignment="1">
      <alignment horizontal="left"/>
    </xf>
    <xf numFmtId="0" fontId="0" fillId="0" borderId="128" xfId="0" applyBorder="1" applyAlignment="1">
      <alignment horizontal="left"/>
    </xf>
    <xf numFmtId="0" fontId="0" fillId="0" borderId="128" xfId="0" applyBorder="1" applyAlignment="1">
      <alignment horizontal="left" vertical="center"/>
    </xf>
    <xf numFmtId="173" fontId="7" fillId="0" borderId="128" xfId="0" applyNumberFormat="1" applyFont="1" applyBorder="1" applyAlignment="1">
      <alignment horizontal="left"/>
    </xf>
    <xf numFmtId="44" fontId="0" fillId="0" borderId="50" xfId="2" applyFont="1" applyFill="1" applyBorder="1" applyAlignment="1">
      <alignment horizontal="center" vertical="center"/>
    </xf>
    <xf numFmtId="44" fontId="0" fillId="0" borderId="50" xfId="2" applyFont="1" applyBorder="1" applyAlignment="1">
      <alignment horizontal="center" vertical="center"/>
    </xf>
    <xf numFmtId="44" fontId="0" fillId="0" borderId="128" xfId="2" applyFont="1" applyBorder="1" applyAlignment="1">
      <alignment horizontal="center" vertical="center"/>
    </xf>
    <xf numFmtId="44" fontId="0" fillId="0" borderId="50" xfId="2" applyFont="1" applyBorder="1"/>
    <xf numFmtId="44" fontId="0" fillId="0" borderId="128" xfId="2" applyFont="1" applyBorder="1"/>
    <xf numFmtId="182" fontId="0" fillId="0" borderId="50" xfId="2" applyNumberFormat="1" applyFont="1" applyBorder="1"/>
    <xf numFmtId="182" fontId="0" fillId="0" borderId="128" xfId="2" applyNumberFormat="1" applyFont="1" applyBorder="1"/>
    <xf numFmtId="44" fontId="0" fillId="0" borderId="50" xfId="2" applyFont="1" applyFill="1" applyBorder="1" applyAlignment="1">
      <alignment horizontal="left" vertical="center"/>
    </xf>
    <xf numFmtId="44" fontId="0" fillId="0" borderId="50" xfId="2" applyFont="1" applyBorder="1" applyAlignment="1">
      <alignment horizontal="left" vertical="center"/>
    </xf>
    <xf numFmtId="44" fontId="0" fillId="0" borderId="50" xfId="2" applyFont="1" applyBorder="1" applyAlignment="1">
      <alignment horizontal="left"/>
    </xf>
    <xf numFmtId="44" fontId="7" fillId="0" borderId="128" xfId="2" applyFont="1" applyBorder="1" applyAlignment="1">
      <alignment horizontal="left"/>
    </xf>
    <xf numFmtId="173" fontId="55" fillId="0" borderId="50" xfId="0" applyNumberFormat="1" applyFont="1" applyBorder="1" applyAlignment="1">
      <alignment horizontal="center" vertical="center"/>
    </xf>
    <xf numFmtId="166" fontId="7" fillId="0" borderId="128" xfId="0" applyNumberFormat="1" applyFont="1" applyBorder="1"/>
    <xf numFmtId="2" fontId="70" fillId="0" borderId="124" xfId="0" applyNumberFormat="1" applyFont="1" applyFill="1" applyBorder="1" applyAlignment="1">
      <alignment horizontal="center" vertical="center"/>
    </xf>
    <xf numFmtId="0" fontId="70" fillId="0" borderId="104" xfId="0" applyFont="1" applyFill="1" applyBorder="1" applyAlignment="1">
      <alignment horizontal="left" vertical="center" wrapText="1"/>
    </xf>
    <xf numFmtId="0" fontId="70" fillId="0" borderId="104" xfId="0" applyFont="1" applyFill="1" applyBorder="1" applyAlignment="1">
      <alignment horizontal="center" vertical="center"/>
    </xf>
    <xf numFmtId="2" fontId="71" fillId="0" borderId="104" xfId="9" applyNumberFormat="1" applyFont="1" applyFill="1" applyBorder="1" applyAlignment="1" applyProtection="1">
      <alignment horizontal="center" vertical="center"/>
    </xf>
    <xf numFmtId="173" fontId="70" fillId="0" borderId="104" xfId="0" applyNumberFormat="1" applyFont="1" applyFill="1" applyBorder="1" applyAlignment="1">
      <alignment horizontal="right" vertical="center"/>
    </xf>
    <xf numFmtId="173" fontId="70" fillId="0" borderId="104" xfId="0" applyNumberFormat="1" applyFont="1" applyFill="1" applyBorder="1" applyAlignment="1">
      <alignment vertical="center"/>
    </xf>
    <xf numFmtId="173" fontId="70" fillId="0" borderId="105" xfId="2" applyNumberFormat="1" applyFont="1" applyFill="1" applyBorder="1" applyAlignment="1" applyProtection="1">
      <alignment vertical="center"/>
    </xf>
    <xf numFmtId="2" fontId="72" fillId="0" borderId="125" xfId="0" applyNumberFormat="1" applyFont="1" applyFill="1" applyBorder="1" applyAlignment="1">
      <alignment horizontal="center" vertical="center"/>
    </xf>
    <xf numFmtId="173" fontId="71" fillId="0" borderId="126" xfId="2" applyNumberFormat="1" applyFont="1" applyFill="1" applyBorder="1" applyAlignment="1" applyProtection="1">
      <alignment vertical="center"/>
    </xf>
    <xf numFmtId="2" fontId="73" fillId="0" borderId="127" xfId="0" applyNumberFormat="1" applyFont="1" applyFill="1" applyBorder="1" applyAlignment="1">
      <alignment horizontal="center" vertical="center"/>
    </xf>
    <xf numFmtId="0" fontId="74" fillId="0" borderId="129" xfId="0" applyFont="1" applyFill="1" applyBorder="1" applyAlignment="1">
      <alignment vertical="center"/>
    </xf>
    <xf numFmtId="44" fontId="0" fillId="0" borderId="128" xfId="2" applyFont="1" applyFill="1" applyBorder="1" applyAlignment="1">
      <alignment horizontal="center" vertical="center"/>
    </xf>
    <xf numFmtId="0" fontId="75" fillId="2" borderId="159" xfId="0" applyFont="1" applyFill="1" applyBorder="1" applyAlignment="1">
      <alignment horizontal="center" vertical="center"/>
    </xf>
    <xf numFmtId="0" fontId="75" fillId="2" borderId="23" xfId="0" applyFont="1" applyFill="1" applyBorder="1" applyAlignment="1">
      <alignment horizontal="center" vertical="center"/>
    </xf>
    <xf numFmtId="0" fontId="75" fillId="2" borderId="160" xfId="0" applyFont="1" applyFill="1" applyBorder="1" applyAlignment="1">
      <alignment horizontal="center" vertical="center"/>
    </xf>
    <xf numFmtId="0" fontId="15" fillId="0" borderId="119" xfId="0" applyFont="1" applyFill="1" applyBorder="1" applyAlignment="1">
      <alignment horizontal="center" vertical="center"/>
    </xf>
    <xf numFmtId="0" fontId="17" fillId="0" borderId="99" xfId="0" applyFont="1" applyBorder="1" applyAlignment="1">
      <alignment horizontal="center" vertical="center"/>
    </xf>
    <xf numFmtId="1" fontId="17" fillId="0" borderId="99" xfId="0" applyNumberFormat="1" applyFont="1" applyBorder="1" applyAlignment="1">
      <alignment horizontal="center" vertical="center"/>
    </xf>
    <xf numFmtId="168" fontId="17" fillId="0" borderId="99" xfId="0" applyNumberFormat="1" applyFont="1" applyBorder="1" applyAlignment="1">
      <alignment horizontal="center" vertical="center"/>
    </xf>
    <xf numFmtId="169" fontId="17" fillId="0" borderId="9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75" fillId="0" borderId="119" xfId="0" applyFont="1" applyFill="1" applyBorder="1" applyAlignment="1">
      <alignment horizontal="center" vertical="center"/>
    </xf>
    <xf numFmtId="0" fontId="77" fillId="0" borderId="99" xfId="0" applyFont="1" applyBorder="1" applyAlignment="1">
      <alignment horizontal="center" vertical="center"/>
    </xf>
    <xf numFmtId="1" fontId="77" fillId="0" borderId="99" xfId="0" applyNumberFormat="1" applyFont="1" applyBorder="1" applyAlignment="1">
      <alignment horizontal="center" vertical="center"/>
    </xf>
    <xf numFmtId="169" fontId="77" fillId="0" borderId="99" xfId="0" applyNumberFormat="1" applyFont="1" applyBorder="1" applyAlignment="1">
      <alignment horizontal="center" vertical="center"/>
    </xf>
    <xf numFmtId="0" fontId="77" fillId="0" borderId="50" xfId="0" applyFont="1" applyBorder="1" applyAlignment="1">
      <alignment vertical="top"/>
    </xf>
    <xf numFmtId="0" fontId="77" fillId="0" borderId="50" xfId="0" applyFont="1" applyBorder="1" applyAlignment="1">
      <alignment vertical="top" wrapText="1"/>
    </xf>
    <xf numFmtId="0" fontId="77" fillId="0" borderId="50" xfId="0" applyFont="1" applyBorder="1" applyAlignment="1">
      <alignment horizontal="center" vertical="top"/>
    </xf>
    <xf numFmtId="0" fontId="77" fillId="0" borderId="50" xfId="0" applyFont="1" applyBorder="1" applyAlignment="1">
      <alignment horizontal="right" vertical="top"/>
    </xf>
    <xf numFmtId="167" fontId="77" fillId="0" borderId="50" xfId="0" applyNumberFormat="1" applyFont="1" applyBorder="1" applyAlignment="1">
      <alignment vertical="top"/>
    </xf>
    <xf numFmtId="0" fontId="75" fillId="2" borderId="158" xfId="0" applyFont="1" applyFill="1" applyBorder="1" applyAlignment="1">
      <alignment horizontal="center" vertical="center"/>
    </xf>
    <xf numFmtId="0" fontId="17" fillId="0" borderId="99" xfId="0" applyFont="1" applyFill="1" applyBorder="1" applyAlignment="1">
      <alignment horizontal="center" vertical="center"/>
    </xf>
    <xf numFmtId="1" fontId="17" fillId="0" borderId="99" xfId="0" applyNumberFormat="1" applyFont="1" applyFill="1" applyBorder="1" applyAlignment="1">
      <alignment horizontal="center" vertical="center"/>
    </xf>
    <xf numFmtId="168" fontId="75" fillId="2" borderId="40" xfId="0" applyNumberFormat="1" applyFont="1" applyFill="1" applyBorder="1" applyAlignment="1">
      <alignment horizontal="center" vertical="center"/>
    </xf>
    <xf numFmtId="9" fontId="75" fillId="2" borderId="40" xfId="1" applyFont="1" applyFill="1" applyBorder="1" applyAlignment="1">
      <alignment horizontal="center" vertical="center"/>
    </xf>
    <xf numFmtId="0" fontId="0" fillId="0" borderId="104" xfId="0" applyFont="1" applyBorder="1" applyAlignment="1">
      <alignment horizontal="center"/>
    </xf>
    <xf numFmtId="0" fontId="0" fillId="0" borderId="105" xfId="0" applyFont="1" applyBorder="1" applyAlignment="1">
      <alignment horizontal="center"/>
    </xf>
    <xf numFmtId="0" fontId="0" fillId="0" borderId="50" xfId="0" applyFont="1" applyBorder="1" applyAlignment="1">
      <alignment horizontal="center"/>
    </xf>
    <xf numFmtId="0" fontId="0" fillId="0" borderId="126" xfId="0" applyFont="1" applyBorder="1" applyAlignment="1">
      <alignment horizontal="center"/>
    </xf>
    <xf numFmtId="0" fontId="0" fillId="0" borderId="128" xfId="0" applyFont="1" applyBorder="1" applyAlignment="1">
      <alignment horizontal="center"/>
    </xf>
    <xf numFmtId="0" fontId="0" fillId="0" borderId="129" xfId="0" applyFont="1" applyBorder="1" applyAlignment="1">
      <alignment horizontal="center"/>
    </xf>
    <xf numFmtId="0" fontId="9" fillId="8" borderId="119" xfId="0" applyFont="1" applyFill="1" applyBorder="1" applyAlignment="1">
      <alignment horizontal="center" vertical="center"/>
    </xf>
    <xf numFmtId="0" fontId="43" fillId="7" borderId="99" xfId="0" applyFont="1" applyFill="1" applyBorder="1"/>
    <xf numFmtId="166" fontId="9" fillId="7" borderId="99" xfId="0" applyNumberFormat="1" applyFont="1" applyFill="1" applyBorder="1" applyAlignment="1">
      <alignment vertical="center"/>
    </xf>
    <xf numFmtId="0" fontId="40" fillId="2" borderId="99" xfId="0" applyFont="1" applyFill="1" applyBorder="1" applyAlignment="1">
      <alignment horizontal="center" vertical="center"/>
    </xf>
    <xf numFmtId="0" fontId="42" fillId="2" borderId="99" xfId="0" applyFont="1" applyFill="1" applyBorder="1" applyAlignment="1">
      <alignment horizontal="center" vertical="center"/>
    </xf>
    <xf numFmtId="0" fontId="4" fillId="2" borderId="116" xfId="0" applyFont="1" applyFill="1" applyBorder="1" applyAlignment="1">
      <alignment horizontal="center" vertical="center"/>
    </xf>
    <xf numFmtId="0" fontId="5" fillId="0" borderId="117" xfId="0" applyFont="1" applyBorder="1"/>
    <xf numFmtId="0" fontId="6" fillId="2" borderId="117" xfId="0" applyFont="1" applyFill="1" applyBorder="1" applyAlignment="1">
      <alignment horizontal="center" vertical="center" wrapText="1"/>
    </xf>
    <xf numFmtId="0" fontId="5" fillId="0" borderId="118" xfId="0" applyFont="1" applyBorder="1"/>
    <xf numFmtId="10" fontId="15" fillId="0" borderId="99" xfId="1" applyNumberFormat="1" applyFont="1" applyFill="1" applyBorder="1" applyAlignment="1">
      <alignment horizontal="center" vertical="center" wrapText="1"/>
    </xf>
    <xf numFmtId="10" fontId="15" fillId="0" borderId="120" xfId="1" applyNumberFormat="1" applyFont="1" applyFill="1" applyBorder="1" applyAlignment="1">
      <alignment horizontal="center" vertical="center" wrapText="1"/>
    </xf>
    <xf numFmtId="10" fontId="42" fillId="0" borderId="99" xfId="1" applyNumberFormat="1" applyFont="1" applyFill="1" applyBorder="1" applyAlignment="1">
      <alignment horizontal="center" vertical="center" wrapText="1"/>
    </xf>
    <xf numFmtId="10" fontId="42" fillId="0" borderId="120" xfId="1" applyNumberFormat="1" applyFont="1" applyFill="1" applyBorder="1" applyAlignment="1">
      <alignment horizontal="center" vertical="center" wrapText="1"/>
    </xf>
    <xf numFmtId="166" fontId="11" fillId="0" borderId="99" xfId="0" applyNumberFormat="1" applyFont="1" applyBorder="1" applyAlignment="1">
      <alignment horizontal="center" vertical="center"/>
    </xf>
    <xf numFmtId="166" fontId="11" fillId="0" borderId="120" xfId="0" applyNumberFormat="1" applyFont="1" applyBorder="1" applyAlignment="1">
      <alignment horizontal="center" vertical="center"/>
    </xf>
    <xf numFmtId="0" fontId="4" fillId="2" borderId="1" xfId="0" applyFont="1" applyFill="1" applyBorder="1" applyAlignment="1">
      <alignment horizontal="center" vertical="center"/>
    </xf>
    <xf numFmtId="0" fontId="5" fillId="0" borderId="2" xfId="0" applyFont="1" applyBorder="1"/>
    <xf numFmtId="0" fontId="9" fillId="2" borderId="119" xfId="0" applyFont="1" applyFill="1" applyBorder="1" applyAlignment="1">
      <alignment horizontal="center" vertical="center" wrapText="1"/>
    </xf>
    <xf numFmtId="0" fontId="9" fillId="2" borderId="99" xfId="0" applyFont="1" applyFill="1" applyBorder="1" applyAlignment="1">
      <alignment horizontal="center" vertical="center" wrapText="1"/>
    </xf>
    <xf numFmtId="0" fontId="43" fillId="0" borderId="99" xfId="0" applyFont="1" applyBorder="1"/>
    <xf numFmtId="0" fontId="4" fillId="2" borderId="119" xfId="0" applyFont="1" applyFill="1" applyBorder="1" applyAlignment="1">
      <alignment horizontal="center" vertical="center" wrapText="1"/>
    </xf>
    <xf numFmtId="0" fontId="4" fillId="2" borderId="99" xfId="0" applyFont="1" applyFill="1" applyBorder="1" applyAlignment="1">
      <alignment horizontal="center" vertical="center" wrapText="1"/>
    </xf>
    <xf numFmtId="182" fontId="15" fillId="0" borderId="99" xfId="2" applyNumberFormat="1" applyFont="1" applyFill="1" applyBorder="1" applyAlignment="1">
      <alignment horizontal="center" vertical="center" wrapText="1"/>
    </xf>
    <xf numFmtId="166" fontId="65" fillId="7" borderId="122" xfId="0" applyNumberFormat="1" applyFont="1" applyFill="1" applyBorder="1" applyAlignment="1">
      <alignment horizontal="center" vertical="center"/>
    </xf>
    <xf numFmtId="166" fontId="65" fillId="7" borderId="123" xfId="0" applyNumberFormat="1" applyFont="1" applyFill="1" applyBorder="1" applyAlignment="1">
      <alignment horizontal="center" vertical="center"/>
    </xf>
    <xf numFmtId="0" fontId="9" fillId="2" borderId="121" xfId="0" applyFont="1" applyFill="1" applyBorder="1" applyAlignment="1">
      <alignment horizontal="center" vertical="center" wrapText="1"/>
    </xf>
    <xf numFmtId="0" fontId="9" fillId="2" borderId="122" xfId="0" applyFont="1" applyFill="1" applyBorder="1" applyAlignment="1">
      <alignment horizontal="center" vertical="center" wrapText="1"/>
    </xf>
    <xf numFmtId="166" fontId="9" fillId="7" borderId="138" xfId="0" applyNumberFormat="1" applyFont="1" applyFill="1" applyBorder="1" applyAlignment="1">
      <alignment horizontal="center" vertical="center"/>
    </xf>
    <xf numFmtId="166" fontId="9" fillId="7" borderId="139" xfId="0" applyNumberFormat="1" applyFont="1" applyFill="1" applyBorder="1" applyAlignment="1">
      <alignment horizontal="center" vertical="center"/>
    </xf>
    <xf numFmtId="166" fontId="60" fillId="7" borderId="122" xfId="0" applyNumberFormat="1" applyFont="1" applyFill="1" applyBorder="1" applyAlignment="1">
      <alignment horizontal="center" vertical="center"/>
    </xf>
    <xf numFmtId="166" fontId="60" fillId="7" borderId="123" xfId="0" applyNumberFormat="1" applyFont="1" applyFill="1" applyBorder="1" applyAlignment="1">
      <alignment horizontal="center" vertical="center"/>
    </xf>
    <xf numFmtId="0" fontId="0" fillId="0" borderId="111" xfId="0" applyFont="1" applyBorder="1" applyAlignment="1">
      <alignment horizontal="center"/>
    </xf>
    <xf numFmtId="0" fontId="2" fillId="0" borderId="124" xfId="0" applyFont="1" applyBorder="1" applyAlignment="1">
      <alignment horizontal="center" vertical="center"/>
    </xf>
    <xf numFmtId="0" fontId="0" fillId="0" borderId="104" xfId="0" applyFont="1" applyBorder="1" applyAlignment="1">
      <alignment horizontal="center" vertical="center"/>
    </xf>
    <xf numFmtId="0" fontId="0" fillId="0" borderId="105" xfId="0" applyFont="1" applyBorder="1" applyAlignment="1">
      <alignment horizontal="center" vertical="center"/>
    </xf>
    <xf numFmtId="0" fontId="0" fillId="0" borderId="127" xfId="0" applyFont="1" applyBorder="1" applyAlignment="1">
      <alignment horizontal="center" vertical="center"/>
    </xf>
    <xf numFmtId="0" fontId="0" fillId="0" borderId="128" xfId="0" applyFont="1" applyBorder="1" applyAlignment="1">
      <alignment horizontal="center" vertical="center"/>
    </xf>
    <xf numFmtId="0" fontId="0" fillId="0" borderId="129" xfId="0" applyFont="1" applyBorder="1" applyAlignment="1">
      <alignment horizontal="center" vertical="center"/>
    </xf>
    <xf numFmtId="166" fontId="9" fillId="7" borderId="124" xfId="0" applyNumberFormat="1" applyFont="1" applyFill="1" applyBorder="1" applyAlignment="1">
      <alignment horizontal="center" vertical="center"/>
    </xf>
    <xf numFmtId="166" fontId="9" fillId="7" borderId="104" xfId="0" applyNumberFormat="1" applyFont="1" applyFill="1" applyBorder="1" applyAlignment="1">
      <alignment horizontal="center" vertical="center"/>
    </xf>
    <xf numFmtId="166" fontId="9" fillId="7" borderId="105" xfId="0" applyNumberFormat="1" applyFont="1" applyFill="1" applyBorder="1" applyAlignment="1">
      <alignment horizontal="center" vertical="center"/>
    </xf>
    <xf numFmtId="166" fontId="60" fillId="7" borderId="127" xfId="0" applyNumberFormat="1" applyFont="1" applyFill="1" applyBorder="1" applyAlignment="1">
      <alignment horizontal="center" vertical="center"/>
    </xf>
    <xf numFmtId="166" fontId="60" fillId="7" borderId="128" xfId="0" applyNumberFormat="1" applyFont="1" applyFill="1" applyBorder="1" applyAlignment="1">
      <alignment horizontal="center" vertical="center"/>
    </xf>
    <xf numFmtId="166" fontId="60" fillId="7" borderId="129" xfId="0" applyNumberFormat="1" applyFont="1" applyFill="1" applyBorder="1" applyAlignment="1">
      <alignment horizontal="center" vertical="center"/>
    </xf>
    <xf numFmtId="0" fontId="52" fillId="0" borderId="124" xfId="3" applyFont="1" applyBorder="1" applyAlignment="1">
      <alignment horizontal="center" vertical="center" wrapText="1"/>
    </xf>
    <xf numFmtId="0" fontId="3" fillId="0" borderId="104" xfId="3" applyBorder="1" applyAlignment="1">
      <alignment horizontal="center" vertical="center" wrapText="1"/>
    </xf>
    <xf numFmtId="0" fontId="3" fillId="0" borderId="105" xfId="3" applyBorder="1" applyAlignment="1">
      <alignment horizontal="center" vertical="center" wrapText="1"/>
    </xf>
    <xf numFmtId="0" fontId="3" fillId="0" borderId="125" xfId="3" applyBorder="1" applyAlignment="1">
      <alignment horizontal="center" vertical="center" wrapText="1"/>
    </xf>
    <xf numFmtId="0" fontId="3" fillId="0" borderId="50" xfId="3" applyAlignment="1">
      <alignment horizontal="center" vertical="center" wrapText="1"/>
    </xf>
    <xf numFmtId="0" fontId="3" fillId="0" borderId="126" xfId="3" applyBorder="1" applyAlignment="1">
      <alignment horizontal="center" vertical="center" wrapText="1"/>
    </xf>
    <xf numFmtId="0" fontId="3" fillId="0" borderId="127" xfId="3" applyBorder="1" applyAlignment="1">
      <alignment horizontal="center" vertical="center" wrapText="1"/>
    </xf>
    <xf numFmtId="0" fontId="3" fillId="0" borderId="128" xfId="3" applyBorder="1" applyAlignment="1">
      <alignment horizontal="center" vertical="center" wrapText="1"/>
    </xf>
    <xf numFmtId="0" fontId="3" fillId="0" borderId="129" xfId="3" applyBorder="1" applyAlignment="1">
      <alignment horizontal="center" vertical="center" wrapText="1"/>
    </xf>
    <xf numFmtId="0" fontId="51" fillId="9" borderId="121" xfId="3" applyFont="1" applyFill="1" applyBorder="1" applyAlignment="1">
      <alignment horizontal="center" vertical="center"/>
    </xf>
    <xf numFmtId="0" fontId="51" fillId="9" borderId="122" xfId="3" applyFont="1" applyFill="1" applyBorder="1" applyAlignment="1">
      <alignment horizontal="center" vertical="center"/>
    </xf>
    <xf numFmtId="182" fontId="51" fillId="9" borderId="122" xfId="3" applyNumberFormat="1" applyFont="1" applyFill="1" applyBorder="1" applyAlignment="1">
      <alignment horizontal="justify" vertical="center" wrapText="1"/>
    </xf>
    <xf numFmtId="0" fontId="51" fillId="9" borderId="123" xfId="3" applyFont="1" applyFill="1" applyBorder="1" applyAlignment="1">
      <alignment horizontal="justify" vertical="center" wrapText="1"/>
    </xf>
    <xf numFmtId="182" fontId="39" fillId="0" borderId="100" xfId="3" applyNumberFormat="1" applyFont="1" applyBorder="1" applyAlignment="1">
      <alignment horizontal="center" vertical="center" wrapText="1"/>
    </xf>
    <xf numFmtId="182" fontId="39" fillId="0" borderId="101" xfId="3" applyNumberFormat="1" applyFont="1" applyBorder="1" applyAlignment="1">
      <alignment horizontal="center" vertical="center" wrapText="1"/>
    </xf>
    <xf numFmtId="182" fontId="39" fillId="0" borderId="102" xfId="3" applyNumberFormat="1" applyFont="1" applyBorder="1" applyAlignment="1">
      <alignment horizontal="center" vertical="center" wrapText="1"/>
    </xf>
    <xf numFmtId="0" fontId="52" fillId="0" borderId="104" xfId="3" applyFont="1" applyBorder="1" applyAlignment="1">
      <alignment horizontal="center" vertical="center" wrapText="1"/>
    </xf>
    <xf numFmtId="0" fontId="52" fillId="0" borderId="105" xfId="3" applyFont="1" applyBorder="1" applyAlignment="1">
      <alignment horizontal="center" vertical="center" wrapText="1"/>
    </xf>
    <xf numFmtId="0" fontId="52" fillId="0" borderId="125" xfId="3" applyFont="1" applyBorder="1" applyAlignment="1">
      <alignment horizontal="center" vertical="center" wrapText="1"/>
    </xf>
    <xf numFmtId="0" fontId="52" fillId="0" borderId="50" xfId="3" applyFont="1" applyAlignment="1">
      <alignment horizontal="center" vertical="center" wrapText="1"/>
    </xf>
    <xf numFmtId="0" fontId="52" fillId="0" borderId="126" xfId="3" applyFont="1" applyBorder="1" applyAlignment="1">
      <alignment horizontal="center" vertical="center" wrapText="1"/>
    </xf>
    <xf numFmtId="0" fontId="52" fillId="0" borderId="127" xfId="3" applyFont="1" applyBorder="1" applyAlignment="1">
      <alignment horizontal="center" vertical="center" wrapText="1"/>
    </xf>
    <xf numFmtId="0" fontId="52" fillId="0" borderId="128" xfId="3" applyFont="1" applyBorder="1" applyAlignment="1">
      <alignment horizontal="center" vertical="center" wrapText="1"/>
    </xf>
    <xf numFmtId="0" fontId="52" fillId="0" borderId="129" xfId="3" applyFont="1" applyBorder="1" applyAlignment="1">
      <alignment horizontal="center" vertical="center" wrapText="1"/>
    </xf>
    <xf numFmtId="0" fontId="48" fillId="0" borderId="134" xfId="3" applyFont="1" applyBorder="1" applyAlignment="1">
      <alignment horizontal="center" vertical="center"/>
    </xf>
    <xf numFmtId="0" fontId="48" fillId="0" borderId="132" xfId="3" applyFont="1" applyBorder="1" applyAlignment="1">
      <alignment horizontal="center" vertical="center"/>
    </xf>
    <xf numFmtId="182" fontId="49" fillId="0" borderId="132" xfId="4" applyNumberFormat="1" applyFont="1" applyFill="1" applyBorder="1" applyAlignment="1">
      <alignment horizontal="justify" vertical="center" wrapText="1"/>
    </xf>
    <xf numFmtId="182" fontId="49" fillId="0" borderId="135" xfId="4" applyNumberFormat="1" applyFont="1" applyFill="1" applyBorder="1" applyAlignment="1">
      <alignment horizontal="justify" vertical="center" wrapText="1"/>
    </xf>
    <xf numFmtId="0" fontId="51" fillId="9" borderId="152" xfId="3" applyFont="1" applyFill="1" applyBorder="1" applyAlignment="1">
      <alignment horizontal="center" vertical="center"/>
    </xf>
    <xf numFmtId="0" fontId="51" fillId="9" borderId="153" xfId="3" applyFont="1" applyFill="1" applyBorder="1" applyAlignment="1">
      <alignment horizontal="center" vertical="center"/>
    </xf>
    <xf numFmtId="0" fontId="51" fillId="9" borderId="130" xfId="3" applyFont="1" applyFill="1" applyBorder="1" applyAlignment="1">
      <alignment horizontal="center" vertical="center"/>
    </xf>
    <xf numFmtId="182" fontId="51" fillId="9" borderId="99" xfId="3" applyNumberFormat="1" applyFont="1" applyFill="1" applyBorder="1" applyAlignment="1">
      <alignment horizontal="justify" vertical="center" wrapText="1"/>
    </xf>
    <xf numFmtId="0" fontId="51" fillId="9" borderId="120" xfId="3" applyFont="1" applyFill="1" applyBorder="1" applyAlignment="1">
      <alignment horizontal="justify" vertical="center" wrapText="1"/>
    </xf>
    <xf numFmtId="0" fontId="48" fillId="0" borderId="119" xfId="3" applyFont="1" applyBorder="1" applyAlignment="1">
      <alignment horizontal="center" vertical="center"/>
    </xf>
    <xf numFmtId="0" fontId="48" fillId="0" borderId="99" xfId="3" applyFont="1" applyBorder="1" applyAlignment="1">
      <alignment horizontal="center" vertical="center"/>
    </xf>
    <xf numFmtId="182" fontId="49" fillId="0" borderId="99" xfId="4" applyNumberFormat="1" applyFont="1" applyFill="1" applyBorder="1" applyAlignment="1">
      <alignment horizontal="center" vertical="center" wrapText="1"/>
    </xf>
    <xf numFmtId="182" fontId="49" fillId="0" borderId="120" xfId="4" applyNumberFormat="1" applyFont="1" applyFill="1" applyBorder="1" applyAlignment="1">
      <alignment horizontal="center" vertical="center" wrapText="1"/>
    </xf>
    <xf numFmtId="0" fontId="48" fillId="9" borderId="143" xfId="3" applyFont="1" applyFill="1" applyBorder="1" applyAlignment="1">
      <alignment horizontal="center" vertical="center" wrapText="1"/>
    </xf>
    <xf numFmtId="0" fontId="48" fillId="9" borderId="111" xfId="3" applyFont="1" applyFill="1" applyBorder="1" applyAlignment="1">
      <alignment horizontal="center" vertical="center" wrapText="1"/>
    </xf>
    <xf numFmtId="0" fontId="48" fillId="9" borderId="144" xfId="3" applyFont="1" applyFill="1" applyBorder="1" applyAlignment="1">
      <alignment horizontal="center" vertical="center" wrapText="1"/>
    </xf>
    <xf numFmtId="182" fontId="39" fillId="9" borderId="144" xfId="3" applyNumberFormat="1" applyFont="1" applyFill="1" applyBorder="1" applyAlignment="1">
      <alignment horizontal="center" vertical="center"/>
    </xf>
    <xf numFmtId="182" fontId="39" fillId="9" borderId="145" xfId="3" applyNumberFormat="1" applyFont="1" applyFill="1" applyBorder="1" applyAlignment="1">
      <alignment horizontal="center" vertical="center"/>
    </xf>
    <xf numFmtId="0" fontId="48" fillId="0" borderId="100" xfId="3" applyFont="1" applyBorder="1" applyAlignment="1">
      <alignment horizontal="center" vertical="center" wrapText="1"/>
    </xf>
    <xf numFmtId="0" fontId="48" fillId="0" borderId="101" xfId="3" applyFont="1" applyBorder="1" applyAlignment="1">
      <alignment horizontal="center" vertical="center" wrapText="1"/>
    </xf>
    <xf numFmtId="0" fontId="48" fillId="0" borderId="102" xfId="3" applyFont="1" applyBorder="1" applyAlignment="1">
      <alignment horizontal="center" vertical="center" wrapText="1"/>
    </xf>
    <xf numFmtId="0" fontId="50" fillId="0" borderId="124" xfId="3" applyFont="1" applyBorder="1" applyAlignment="1">
      <alignment horizontal="center" vertical="center"/>
    </xf>
    <xf numFmtId="0" fontId="50" fillId="0" borderId="104" xfId="3" applyFont="1" applyBorder="1" applyAlignment="1">
      <alignment horizontal="center" vertical="center"/>
    </xf>
    <xf numFmtId="0" fontId="50" fillId="0" borderId="105" xfId="3" applyFont="1" applyBorder="1" applyAlignment="1">
      <alignment horizontal="center" vertical="center"/>
    </xf>
    <xf numFmtId="0" fontId="48" fillId="9" borderId="116" xfId="3" applyFont="1" applyFill="1" applyBorder="1" applyAlignment="1">
      <alignment horizontal="center" vertical="center" wrapText="1"/>
    </xf>
    <xf numFmtId="0" fontId="48" fillId="9" borderId="117" xfId="3" applyFont="1" applyFill="1" applyBorder="1" applyAlignment="1">
      <alignment horizontal="center" vertical="center" wrapText="1"/>
    </xf>
    <xf numFmtId="166" fontId="48" fillId="0" borderId="99" xfId="3" applyNumberFormat="1" applyFont="1" applyBorder="1" applyAlignment="1">
      <alignment horizontal="center" vertical="center"/>
    </xf>
    <xf numFmtId="0" fontId="48" fillId="0" borderId="115" xfId="3" applyFont="1" applyBorder="1" applyAlignment="1">
      <alignment horizontal="center" vertical="center"/>
    </xf>
    <xf numFmtId="0" fontId="48" fillId="0" borderId="146" xfId="3" applyFont="1" applyBorder="1" applyAlignment="1">
      <alignment horizontal="center" vertical="center"/>
    </xf>
    <xf numFmtId="0" fontId="48" fillId="9" borderId="148" xfId="3" applyFont="1" applyFill="1" applyBorder="1" applyAlignment="1">
      <alignment horizontal="center" vertical="center" wrapText="1"/>
    </xf>
    <xf numFmtId="0" fontId="48" fillId="9" borderId="149" xfId="3" applyFont="1" applyFill="1" applyBorder="1" applyAlignment="1">
      <alignment horizontal="center" vertical="center" wrapText="1"/>
    </xf>
    <xf numFmtId="0" fontId="48" fillId="9" borderId="150" xfId="3" applyFont="1" applyFill="1" applyBorder="1" applyAlignment="1">
      <alignment horizontal="center" vertical="center" wrapText="1"/>
    </xf>
    <xf numFmtId="182" fontId="48" fillId="9" borderId="148" xfId="3" applyNumberFormat="1" applyFont="1" applyFill="1" applyBorder="1" applyAlignment="1">
      <alignment horizontal="center" vertical="center"/>
    </xf>
    <xf numFmtId="182" fontId="48" fillId="9" borderId="151" xfId="3" applyNumberFormat="1" applyFont="1" applyFill="1" applyBorder="1" applyAlignment="1">
      <alignment horizontal="center" vertical="center"/>
    </xf>
    <xf numFmtId="0" fontId="48" fillId="0" borderId="125" xfId="3" applyFont="1" applyBorder="1" applyAlignment="1">
      <alignment horizontal="center" vertical="center" wrapText="1"/>
    </xf>
    <xf numFmtId="0" fontId="48" fillId="0" borderId="50" xfId="3" applyFont="1" applyAlignment="1">
      <alignment horizontal="center" vertical="center" wrapText="1"/>
    </xf>
    <xf numFmtId="0" fontId="48" fillId="0" borderId="126" xfId="3" applyFont="1" applyBorder="1" applyAlignment="1">
      <alignment horizontal="center" vertical="center" wrapText="1"/>
    </xf>
    <xf numFmtId="0" fontId="51" fillId="9" borderId="116" xfId="3" applyFont="1" applyFill="1" applyBorder="1" applyAlignment="1">
      <alignment horizontal="center" vertical="center"/>
    </xf>
    <xf numFmtId="0" fontId="51" fillId="9" borderId="117" xfId="3" applyFont="1" applyFill="1" applyBorder="1" applyAlignment="1">
      <alignment horizontal="center" vertical="center"/>
    </xf>
    <xf numFmtId="182" fontId="51" fillId="9" borderId="117" xfId="3" applyNumberFormat="1" applyFont="1" applyFill="1" applyBorder="1" applyAlignment="1">
      <alignment horizontal="justify" vertical="center" wrapText="1"/>
    </xf>
    <xf numFmtId="0" fontId="51" fillId="9" borderId="118" xfId="3" applyFont="1" applyFill="1" applyBorder="1" applyAlignment="1">
      <alignment horizontal="justify" vertical="center" wrapText="1"/>
    </xf>
    <xf numFmtId="0" fontId="48" fillId="9" borderId="100" xfId="3" applyFont="1" applyFill="1" applyBorder="1" applyAlignment="1">
      <alignment horizontal="center" vertical="center" wrapText="1"/>
    </xf>
    <xf numFmtId="0" fontId="48" fillId="9" borderId="101" xfId="3" applyFont="1" applyFill="1" applyBorder="1" applyAlignment="1">
      <alignment horizontal="center" vertical="center" wrapText="1"/>
    </xf>
    <xf numFmtId="0" fontId="48" fillId="9" borderId="102" xfId="3" applyFont="1" applyFill="1" applyBorder="1" applyAlignment="1">
      <alignment horizontal="center" vertical="center" wrapText="1"/>
    </xf>
    <xf numFmtId="0" fontId="49" fillId="0" borderId="134" xfId="3" applyFont="1" applyBorder="1" applyAlignment="1">
      <alignment horizontal="center" vertical="center" wrapText="1"/>
    </xf>
    <xf numFmtId="0" fontId="49" fillId="0" borderId="132" xfId="3" applyFont="1" applyBorder="1" applyAlignment="1">
      <alignment horizontal="center" vertical="center" wrapText="1"/>
    </xf>
    <xf numFmtId="166" fontId="49" fillId="0" borderId="140" xfId="5" applyNumberFormat="1" applyFont="1" applyFill="1" applyBorder="1" applyAlignment="1">
      <alignment horizontal="center" vertical="center" wrapText="1"/>
    </xf>
    <xf numFmtId="166" fontId="49" fillId="0" borderId="141" xfId="5" applyNumberFormat="1" applyFont="1" applyFill="1" applyBorder="1" applyAlignment="1">
      <alignment horizontal="center" vertical="center" wrapText="1"/>
    </xf>
    <xf numFmtId="166" fontId="49" fillId="0" borderId="110" xfId="5" applyNumberFormat="1" applyFont="1" applyFill="1" applyBorder="1" applyAlignment="1">
      <alignment horizontal="center" vertical="center" wrapText="1"/>
    </xf>
    <xf numFmtId="166" fontId="49" fillId="0" borderId="111" xfId="5" applyNumberFormat="1" applyFont="1" applyFill="1" applyBorder="1" applyAlignment="1">
      <alignment horizontal="center" vertical="center" wrapText="1"/>
    </xf>
    <xf numFmtId="166" fontId="49" fillId="0" borderId="142" xfId="5" applyNumberFormat="1" applyFont="1" applyFill="1" applyBorder="1" applyAlignment="1">
      <alignment horizontal="center" vertical="center" wrapText="1"/>
    </xf>
    <xf numFmtId="166" fontId="49" fillId="0" borderId="137" xfId="5" applyNumberFormat="1" applyFont="1" applyFill="1" applyBorder="1" applyAlignment="1">
      <alignment horizontal="center" vertical="center" wrapText="1"/>
    </xf>
    <xf numFmtId="0" fontId="49" fillId="0" borderId="119" xfId="3" applyFont="1" applyBorder="1" applyAlignment="1">
      <alignment horizontal="center" vertical="center" wrapText="1"/>
    </xf>
    <xf numFmtId="0" fontId="49" fillId="0" borderId="99" xfId="3" applyFont="1" applyBorder="1" applyAlignment="1">
      <alignment horizontal="center" vertical="center" wrapText="1"/>
    </xf>
    <xf numFmtId="0" fontId="49" fillId="0" borderId="121" xfId="3" applyFont="1" applyBorder="1" applyAlignment="1">
      <alignment horizontal="center" vertical="center" wrapText="1"/>
    </xf>
    <xf numFmtId="0" fontId="49" fillId="0" borderId="122" xfId="3" applyFont="1" applyBorder="1" applyAlignment="1">
      <alignment horizontal="center" vertical="center" wrapText="1"/>
    </xf>
    <xf numFmtId="0" fontId="38" fillId="7" borderId="130" xfId="3" applyFont="1" applyFill="1" applyBorder="1" applyAlignment="1">
      <alignment horizontal="center" vertical="center" wrapText="1"/>
    </xf>
    <xf numFmtId="0" fontId="38" fillId="7" borderId="99" xfId="3" applyFont="1" applyFill="1" applyBorder="1" applyAlignment="1">
      <alignment horizontal="center" vertical="center" wrapText="1"/>
    </xf>
    <xf numFmtId="0" fontId="48" fillId="9" borderId="127" xfId="3" applyFont="1" applyFill="1" applyBorder="1" applyAlignment="1">
      <alignment horizontal="center" vertical="center"/>
    </xf>
    <xf numFmtId="0" fontId="48" fillId="9" borderId="128" xfId="3" applyFont="1" applyFill="1" applyBorder="1" applyAlignment="1">
      <alignment horizontal="center" vertical="center"/>
    </xf>
    <xf numFmtId="0" fontId="48" fillId="9" borderId="129" xfId="3" applyFont="1" applyFill="1" applyBorder="1" applyAlignment="1">
      <alignment horizontal="center" vertical="center"/>
    </xf>
    <xf numFmtId="182" fontId="39" fillId="9" borderId="127" xfId="3" applyNumberFormat="1" applyFont="1" applyFill="1" applyBorder="1" applyAlignment="1">
      <alignment horizontal="center" vertical="center" wrapText="1"/>
    </xf>
    <xf numFmtId="0" fontId="39" fillId="9" borderId="128" xfId="3" applyFont="1" applyFill="1" applyBorder="1" applyAlignment="1">
      <alignment horizontal="center" vertical="center" wrapText="1"/>
    </xf>
    <xf numFmtId="0" fontId="48" fillId="0" borderId="100" xfId="3" applyFont="1" applyBorder="1" applyAlignment="1">
      <alignment horizontal="center" vertical="center"/>
    </xf>
    <xf numFmtId="0" fontId="48" fillId="0" borderId="101" xfId="3" applyFont="1" applyBorder="1" applyAlignment="1">
      <alignment horizontal="center" vertical="center"/>
    </xf>
    <xf numFmtId="0" fontId="48" fillId="0" borderId="102" xfId="3" applyFont="1" applyBorder="1" applyAlignment="1">
      <alignment horizontal="center" vertical="center"/>
    </xf>
    <xf numFmtId="0" fontId="39" fillId="0" borderId="100" xfId="3" applyFont="1" applyBorder="1" applyAlignment="1">
      <alignment horizontal="center" vertical="center"/>
    </xf>
    <xf numFmtId="0" fontId="39" fillId="0" borderId="101" xfId="3" applyFont="1" applyBorder="1" applyAlignment="1">
      <alignment horizontal="center" vertical="center"/>
    </xf>
    <xf numFmtId="0" fontId="39" fillId="0" borderId="102" xfId="3" applyFont="1" applyBorder="1" applyAlignment="1">
      <alignment horizontal="center" vertical="center"/>
    </xf>
    <xf numFmtId="0" fontId="48" fillId="9" borderId="136" xfId="3" applyFont="1" applyFill="1" applyBorder="1" applyAlignment="1">
      <alignment horizontal="center" vertical="center" wrapText="1"/>
    </xf>
    <xf numFmtId="0" fontId="48" fillId="9" borderId="137" xfId="3" applyFont="1" applyFill="1" applyBorder="1" applyAlignment="1">
      <alignment horizontal="center" vertical="center" wrapText="1"/>
    </xf>
    <xf numFmtId="0" fontId="48" fillId="9" borderId="138" xfId="3" applyFont="1" applyFill="1" applyBorder="1" applyAlignment="1">
      <alignment horizontal="center" vertical="center" wrapText="1"/>
    </xf>
    <xf numFmtId="182" fontId="39" fillId="9" borderId="138" xfId="3" applyNumberFormat="1" applyFont="1" applyFill="1" applyBorder="1" applyAlignment="1">
      <alignment horizontal="center" vertical="center"/>
    </xf>
    <xf numFmtId="182" fontId="39" fillId="9" borderId="139" xfId="3" applyNumberFormat="1" applyFont="1" applyFill="1" applyBorder="1" applyAlignment="1">
      <alignment horizontal="center" vertical="center"/>
    </xf>
    <xf numFmtId="0" fontId="48" fillId="0" borderId="99" xfId="3" applyFont="1" applyBorder="1" applyAlignment="1">
      <alignment horizontal="center" vertical="center" textRotation="90" wrapText="1"/>
    </xf>
    <xf numFmtId="0" fontId="38" fillId="9" borderId="100" xfId="3" applyFont="1" applyFill="1" applyBorder="1" applyAlignment="1">
      <alignment horizontal="center" vertical="center" wrapText="1"/>
    </xf>
    <xf numFmtId="0" fontId="38" fillId="9" borderId="101" xfId="3" applyFont="1" applyFill="1" applyBorder="1" applyAlignment="1">
      <alignment horizontal="center" vertical="center" wrapText="1"/>
    </xf>
    <xf numFmtId="0" fontId="38" fillId="9" borderId="102" xfId="3" applyFont="1" applyFill="1" applyBorder="1" applyAlignment="1">
      <alignment horizontal="center" vertical="center" wrapText="1"/>
    </xf>
    <xf numFmtId="0" fontId="38" fillId="7" borderId="100" xfId="3" applyFont="1" applyFill="1" applyBorder="1" applyAlignment="1">
      <alignment horizontal="center" vertical="center" wrapText="1"/>
    </xf>
    <xf numFmtId="0" fontId="38" fillId="7" borderId="102" xfId="3" applyFont="1" applyFill="1" applyBorder="1" applyAlignment="1">
      <alignment horizontal="center" vertical="center" wrapText="1"/>
    </xf>
    <xf numFmtId="0" fontId="48" fillId="9" borderId="124" xfId="3" applyFont="1" applyFill="1" applyBorder="1" applyAlignment="1">
      <alignment horizontal="center" vertical="center"/>
    </xf>
    <xf numFmtId="0" fontId="48" fillId="9" borderId="104" xfId="3" applyFont="1" applyFill="1" applyBorder="1" applyAlignment="1">
      <alignment horizontal="center" vertical="center"/>
    </xf>
    <xf numFmtId="0" fontId="40" fillId="0" borderId="6" xfId="0" applyFont="1" applyBorder="1" applyAlignment="1">
      <alignment horizontal="center" vertical="center" wrapText="1"/>
    </xf>
    <xf numFmtId="0" fontId="43" fillId="0" borderId="7" xfId="0" applyFont="1" applyBorder="1"/>
    <xf numFmtId="0" fontId="43" fillId="0" borderId="18" xfId="0" applyFont="1" applyBorder="1"/>
    <xf numFmtId="0" fontId="42" fillId="2" borderId="34" xfId="0" applyFont="1" applyFill="1" applyBorder="1" applyAlignment="1">
      <alignment horizontal="center" vertical="center"/>
    </xf>
    <xf numFmtId="0" fontId="43" fillId="0" borderId="35" xfId="0" applyFont="1" applyBorder="1"/>
    <xf numFmtId="0" fontId="12" fillId="2" borderId="99" xfId="0" applyFont="1" applyFill="1" applyBorder="1" applyAlignment="1">
      <alignment horizontal="center" vertical="center"/>
    </xf>
    <xf numFmtId="0" fontId="5" fillId="0" borderId="99" xfId="0" applyFont="1" applyBorder="1"/>
    <xf numFmtId="0" fontId="9" fillId="2" borderId="9"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41" fillId="7" borderId="18" xfId="0" applyFont="1" applyFill="1" applyBorder="1" applyAlignment="1">
      <alignment horizontal="center" vertical="center"/>
    </xf>
    <xf numFmtId="0" fontId="9" fillId="8" borderId="24" xfId="0" applyFont="1" applyFill="1" applyBorder="1" applyAlignment="1">
      <alignment horizontal="center" vertical="center" wrapText="1"/>
    </xf>
    <xf numFmtId="0" fontId="41" fillId="7" borderId="25" xfId="0" applyFont="1" applyFill="1" applyBorder="1" applyAlignment="1">
      <alignment horizontal="center" vertical="center"/>
    </xf>
    <xf numFmtId="0" fontId="41" fillId="7" borderId="26" xfId="0" applyFont="1" applyFill="1" applyBorder="1" applyAlignment="1">
      <alignment horizontal="center" vertical="center"/>
    </xf>
    <xf numFmtId="0" fontId="9" fillId="7" borderId="15" xfId="0" applyFont="1" applyFill="1" applyBorder="1" applyAlignment="1">
      <alignment horizontal="center" vertical="center" wrapText="1"/>
    </xf>
    <xf numFmtId="0" fontId="41" fillId="7" borderId="16" xfId="0" applyFont="1" applyFill="1" applyBorder="1" applyAlignment="1">
      <alignment horizontal="center" vertical="center"/>
    </xf>
    <xf numFmtId="0" fontId="41" fillId="7" borderId="17" xfId="0" applyFont="1" applyFill="1" applyBorder="1" applyAlignment="1">
      <alignment horizontal="center" vertical="center"/>
    </xf>
    <xf numFmtId="0" fontId="41" fillId="7" borderId="19" xfId="0" applyFont="1" applyFill="1" applyBorder="1" applyAlignment="1">
      <alignment horizontal="center" vertical="center"/>
    </xf>
    <xf numFmtId="0" fontId="41" fillId="7" borderId="4" xfId="0" applyFont="1" applyFill="1" applyBorder="1" applyAlignment="1">
      <alignment horizontal="center" vertical="center"/>
    </xf>
    <xf numFmtId="0" fontId="41" fillId="7" borderId="20" xfId="0" applyFont="1" applyFill="1" applyBorder="1" applyAlignment="1">
      <alignment horizontal="center" vertical="center"/>
    </xf>
    <xf numFmtId="0" fontId="42" fillId="2" borderId="10" xfId="0" applyFont="1" applyFill="1" applyBorder="1" applyAlignment="1">
      <alignment horizontal="center" vertical="center" wrapText="1"/>
    </xf>
    <xf numFmtId="0" fontId="43" fillId="0" borderId="11" xfId="0" applyFont="1" applyBorder="1"/>
    <xf numFmtId="0" fontId="43" fillId="0" borderId="12" xfId="0" applyFont="1" applyBorder="1"/>
    <xf numFmtId="0" fontId="42" fillId="8" borderId="10" xfId="0" applyFont="1" applyFill="1" applyBorder="1" applyAlignment="1">
      <alignment horizontal="center" vertical="center" wrapText="1"/>
    </xf>
    <xf numFmtId="0" fontId="41" fillId="7" borderId="11" xfId="0" applyFont="1" applyFill="1" applyBorder="1" applyAlignment="1">
      <alignment horizontal="center" vertical="center"/>
    </xf>
    <xf numFmtId="0" fontId="41" fillId="7" borderId="28" xfId="0" applyFont="1" applyFill="1" applyBorder="1" applyAlignment="1">
      <alignment horizontal="center" vertical="center"/>
    </xf>
    <xf numFmtId="0" fontId="41" fillId="7" borderId="13" xfId="0" applyFont="1" applyFill="1" applyBorder="1" applyAlignment="1">
      <alignment horizontal="center" vertical="center"/>
    </xf>
    <xf numFmtId="0" fontId="42" fillId="2" borderId="6" xfId="0" applyFont="1" applyFill="1" applyBorder="1" applyAlignment="1">
      <alignment horizontal="center" vertical="center" wrapText="1"/>
    </xf>
    <xf numFmtId="0" fontId="15" fillId="0" borderId="15" xfId="0" applyFont="1" applyBorder="1" applyAlignment="1">
      <alignment horizontal="center" vertical="center" wrapText="1"/>
    </xf>
    <xf numFmtId="0" fontId="5" fillId="0" borderId="16" xfId="0" applyFont="1" applyBorder="1"/>
    <xf numFmtId="0" fontId="5" fillId="0" borderId="17" xfId="0" applyFont="1" applyBorder="1"/>
    <xf numFmtId="0" fontId="5" fillId="0" borderId="19" xfId="0" applyFont="1" applyBorder="1"/>
    <xf numFmtId="0" fontId="5" fillId="0" borderId="4" xfId="0" applyFont="1" applyBorder="1"/>
    <xf numFmtId="0" fontId="5" fillId="0" borderId="20" xfId="0" applyFont="1" applyBorder="1"/>
    <xf numFmtId="0" fontId="15" fillId="0" borderId="6" xfId="0" applyFont="1" applyBorder="1" applyAlignment="1">
      <alignment horizontal="center" vertical="center" wrapText="1"/>
    </xf>
    <xf numFmtId="0" fontId="5" fillId="0" borderId="7" xfId="0" applyFont="1" applyBorder="1"/>
    <xf numFmtId="0" fontId="5" fillId="0" borderId="18" xfId="0" applyFont="1" applyBorder="1"/>
    <xf numFmtId="0" fontId="16" fillId="0" borderId="21" xfId="0" applyFont="1" applyBorder="1" applyAlignment="1">
      <alignment horizontal="center" vertical="center" wrapText="1"/>
    </xf>
    <xf numFmtId="0" fontId="5" fillId="0" borderId="22" xfId="0" applyFont="1" applyBorder="1"/>
    <xf numFmtId="0" fontId="16" fillId="0" borderId="15" xfId="0" applyFont="1" applyBorder="1" applyAlignment="1">
      <alignment horizontal="center" vertical="center" wrapText="1"/>
    </xf>
    <xf numFmtId="167" fontId="16" fillId="0" borderId="21" xfId="0" applyNumberFormat="1" applyFont="1" applyBorder="1" applyAlignment="1">
      <alignment horizontal="center" vertical="center" wrapText="1"/>
    </xf>
    <xf numFmtId="15" fontId="16" fillId="0" borderId="21" xfId="0" applyNumberFormat="1" applyFont="1" applyBorder="1" applyAlignment="1">
      <alignment horizontal="center" vertical="center" wrapText="1"/>
    </xf>
    <xf numFmtId="0" fontId="44" fillId="0" borderId="15" xfId="0" applyFont="1" applyBorder="1" applyAlignment="1">
      <alignment horizontal="center" vertical="center" wrapText="1"/>
    </xf>
    <xf numFmtId="0" fontId="43" fillId="0" borderId="16" xfId="0" applyFont="1" applyBorder="1"/>
    <xf numFmtId="0" fontId="43" fillId="0" borderId="17" xfId="0" applyFont="1" applyBorder="1"/>
    <xf numFmtId="0" fontId="43" fillId="0" borderId="38" xfId="0" applyFont="1" applyBorder="1"/>
    <xf numFmtId="0" fontId="45" fillId="0" borderId="0" xfId="0" applyFont="1" applyAlignment="1"/>
    <xf numFmtId="0" fontId="43" fillId="0" borderId="39" xfId="0" applyFont="1" applyBorder="1"/>
    <xf numFmtId="0" fontId="43" fillId="0" borderId="19" xfId="0" applyFont="1" applyBorder="1"/>
    <xf numFmtId="0" fontId="43" fillId="0" borderId="4" xfId="0" applyFont="1" applyBorder="1"/>
    <xf numFmtId="0" fontId="43" fillId="0" borderId="20" xfId="0" applyFont="1" applyBorder="1"/>
    <xf numFmtId="0" fontId="40" fillId="0" borderId="24" xfId="0" applyFont="1" applyBorder="1" applyAlignment="1">
      <alignment horizontal="center" vertical="center" wrapText="1"/>
    </xf>
    <xf numFmtId="0" fontId="43" fillId="0" borderId="25" xfId="0" applyFont="1" applyBorder="1"/>
    <xf numFmtId="0" fontId="43" fillId="0" borderId="26" xfId="0" applyFont="1" applyBorder="1"/>
    <xf numFmtId="0" fontId="42" fillId="7" borderId="100" xfId="0" applyFont="1" applyFill="1" applyBorder="1" applyAlignment="1">
      <alignment horizontal="center" vertical="center" wrapText="1"/>
    </xf>
    <xf numFmtId="0" fontId="42" fillId="7" borderId="101" xfId="0" applyFont="1" applyFill="1" applyBorder="1" applyAlignment="1">
      <alignment horizontal="center" vertical="center" wrapText="1"/>
    </xf>
    <xf numFmtId="0" fontId="42" fillId="7" borderId="102" xfId="0" applyFont="1" applyFill="1" applyBorder="1" applyAlignment="1">
      <alignment horizontal="center" vertical="center" wrapText="1"/>
    </xf>
    <xf numFmtId="0" fontId="40" fillId="0" borderId="34" xfId="0" applyFont="1" applyBorder="1" applyAlignment="1">
      <alignment horizontal="center" vertical="center" wrapText="1"/>
    </xf>
    <xf numFmtId="0" fontId="43" fillId="0" borderId="3" xfId="0" applyFont="1" applyBorder="1"/>
    <xf numFmtId="0" fontId="77" fillId="0" borderId="99" xfId="0" applyFont="1" applyBorder="1" applyAlignment="1">
      <alignment horizontal="center" vertical="center" wrapText="1"/>
    </xf>
    <xf numFmtId="0" fontId="76" fillId="0" borderId="99" xfId="0" applyFont="1" applyBorder="1"/>
    <xf numFmtId="0" fontId="75" fillId="2" borderId="24" xfId="0" applyFont="1" applyFill="1" applyBorder="1" applyAlignment="1">
      <alignment horizontal="center" vertical="center"/>
    </xf>
    <xf numFmtId="0" fontId="76" fillId="0" borderId="25" xfId="0" applyFont="1" applyBorder="1"/>
    <xf numFmtId="0" fontId="76" fillId="0" borderId="26" xfId="0" applyFont="1" applyBorder="1"/>
    <xf numFmtId="0" fontId="17" fillId="0" borderId="161" xfId="0" applyFont="1" applyFill="1" applyBorder="1" applyAlignment="1">
      <alignment horizontal="center" vertical="center" wrapText="1"/>
    </xf>
    <xf numFmtId="0" fontId="17" fillId="0" borderId="153" xfId="0" applyFont="1" applyFill="1" applyBorder="1" applyAlignment="1">
      <alignment horizontal="center" vertical="center" wrapText="1"/>
    </xf>
    <xf numFmtId="0" fontId="17" fillId="0" borderId="130" xfId="0" applyFont="1" applyFill="1" applyBorder="1" applyAlignment="1">
      <alignment horizontal="center" vertical="center" wrapText="1"/>
    </xf>
    <xf numFmtId="0" fontId="76" fillId="0" borderId="99" xfId="0" applyFont="1" applyBorder="1" applyAlignment="1">
      <alignment vertical="center"/>
    </xf>
    <xf numFmtId="0" fontId="77" fillId="0" borderId="161" xfId="0" applyFont="1" applyBorder="1" applyAlignment="1">
      <alignment horizontal="center" vertical="center" wrapText="1"/>
    </xf>
    <xf numFmtId="0" fontId="77" fillId="0" borderId="153" xfId="0" applyFont="1" applyBorder="1" applyAlignment="1">
      <alignment horizontal="center" vertical="center" wrapText="1"/>
    </xf>
    <xf numFmtId="0" fontId="77" fillId="0" borderId="130" xfId="0" applyFont="1" applyBorder="1" applyAlignment="1">
      <alignment horizontal="center" vertical="center" wrapText="1"/>
    </xf>
    <xf numFmtId="0" fontId="58" fillId="2" borderId="155" xfId="0" applyFont="1" applyFill="1" applyBorder="1" applyAlignment="1">
      <alignment horizontal="center" vertical="center"/>
    </xf>
    <xf numFmtId="0" fontId="58" fillId="2" borderId="156" xfId="0" applyFont="1" applyFill="1" applyBorder="1" applyAlignment="1">
      <alignment horizontal="center" vertical="center"/>
    </xf>
    <xf numFmtId="0" fontId="58" fillId="2" borderId="157" xfId="0" applyFont="1" applyFill="1" applyBorder="1" applyAlignment="1">
      <alignment horizontal="center" vertical="center"/>
    </xf>
    <xf numFmtId="0" fontId="78" fillId="2" borderId="100" xfId="0" applyFont="1" applyFill="1" applyBorder="1" applyAlignment="1">
      <alignment horizontal="center" vertical="center" wrapText="1"/>
    </xf>
    <xf numFmtId="0" fontId="78" fillId="2" borderId="101" xfId="0" applyFont="1" applyFill="1" applyBorder="1" applyAlignment="1">
      <alignment horizontal="center" vertical="center" wrapText="1"/>
    </xf>
    <xf numFmtId="0" fontId="78" fillId="2" borderId="102" xfId="0" applyFont="1" applyFill="1" applyBorder="1" applyAlignment="1">
      <alignment horizontal="center" vertical="center" wrapText="1"/>
    </xf>
    <xf numFmtId="0" fontId="75" fillId="2" borderId="155" xfId="0" applyFont="1" applyFill="1" applyBorder="1" applyAlignment="1">
      <alignment horizontal="center" vertical="center"/>
    </xf>
    <xf numFmtId="0" fontId="75" fillId="2" borderId="156" xfId="0" applyFont="1" applyFill="1" applyBorder="1" applyAlignment="1">
      <alignment horizontal="center" vertical="center"/>
    </xf>
    <xf numFmtId="0" fontId="75" fillId="2" borderId="157" xfId="0" applyFont="1" applyFill="1" applyBorder="1" applyAlignment="1">
      <alignment horizontal="center" vertical="center"/>
    </xf>
    <xf numFmtId="0" fontId="17" fillId="0" borderId="161" xfId="0" applyFont="1" applyBorder="1" applyAlignment="1">
      <alignment horizontal="center" vertical="center" wrapText="1"/>
    </xf>
    <xf numFmtId="0" fontId="17" fillId="0" borderId="153" xfId="0" applyFont="1" applyBorder="1" applyAlignment="1">
      <alignment horizontal="center" vertical="center" wrapText="1"/>
    </xf>
    <xf numFmtId="0" fontId="17" fillId="0" borderId="130" xfId="0" applyFont="1" applyBorder="1" applyAlignment="1">
      <alignment horizontal="center" vertical="center" wrapText="1"/>
    </xf>
    <xf numFmtId="0" fontId="75" fillId="2" borderId="45" xfId="0" applyFont="1" applyFill="1" applyBorder="1" applyAlignment="1">
      <alignment horizontal="center" vertical="center"/>
    </xf>
    <xf numFmtId="0" fontId="75" fillId="2" borderId="46" xfId="0" applyFont="1" applyFill="1" applyBorder="1" applyAlignment="1">
      <alignment horizontal="center" vertical="center"/>
    </xf>
    <xf numFmtId="0" fontId="75" fillId="2" borderId="154" xfId="0" applyFont="1" applyFill="1" applyBorder="1" applyAlignment="1">
      <alignment horizontal="center" vertical="center"/>
    </xf>
    <xf numFmtId="0" fontId="38" fillId="9" borderId="161" xfId="0" applyFont="1" applyFill="1" applyBorder="1" applyAlignment="1">
      <alignment horizontal="center"/>
    </xf>
    <xf numFmtId="0" fontId="38" fillId="9" borderId="153" xfId="0" applyFont="1" applyFill="1" applyBorder="1" applyAlignment="1">
      <alignment horizontal="center"/>
    </xf>
    <xf numFmtId="0" fontId="38" fillId="9" borderId="130" xfId="0" applyFont="1" applyFill="1" applyBorder="1" applyAlignment="1">
      <alignment horizontal="center"/>
    </xf>
    <xf numFmtId="0" fontId="12" fillId="0" borderId="15" xfId="0" applyFont="1" applyBorder="1" applyAlignment="1">
      <alignment horizontal="center" vertical="center" wrapText="1"/>
    </xf>
    <xf numFmtId="0" fontId="54" fillId="0" borderId="16" xfId="0" applyFont="1" applyBorder="1"/>
    <xf numFmtId="0" fontId="54" fillId="0" borderId="17" xfId="0" applyFont="1" applyBorder="1"/>
    <xf numFmtId="0" fontId="54" fillId="0" borderId="19" xfId="0" applyFont="1" applyBorder="1"/>
    <xf numFmtId="0" fontId="54" fillId="0" borderId="4" xfId="0" applyFont="1" applyBorder="1"/>
    <xf numFmtId="0" fontId="54" fillId="0" borderId="20" xfId="0" applyFont="1" applyBorder="1"/>
    <xf numFmtId="0" fontId="12" fillId="0" borderId="6" xfId="0" applyFont="1" applyBorder="1" applyAlignment="1">
      <alignment horizontal="center" vertical="center" wrapText="1"/>
    </xf>
    <xf numFmtId="0" fontId="54" fillId="0" borderId="7" xfId="0" applyFont="1" applyBorder="1"/>
    <xf numFmtId="0" fontId="54" fillId="0" borderId="18" xfId="0" applyFont="1" applyBorder="1"/>
    <xf numFmtId="0" fontId="10" fillId="0" borderId="21" xfId="0" applyFont="1" applyBorder="1" applyAlignment="1">
      <alignment horizontal="center" vertical="center" wrapText="1"/>
    </xf>
    <xf numFmtId="0" fontId="54" fillId="0" borderId="22" xfId="0" applyFont="1" applyBorder="1"/>
    <xf numFmtId="0" fontId="10" fillId="0" borderId="15" xfId="0" applyFont="1" applyBorder="1" applyAlignment="1">
      <alignment horizontal="center" vertical="center" wrapText="1"/>
    </xf>
    <xf numFmtId="167" fontId="10" fillId="0" borderId="21" xfId="0" applyNumberFormat="1" applyFont="1" applyBorder="1" applyAlignment="1">
      <alignment horizontal="center" vertical="center"/>
    </xf>
    <xf numFmtId="15" fontId="10" fillId="0" borderId="21" xfId="0" applyNumberFormat="1" applyFont="1" applyBorder="1" applyAlignment="1">
      <alignment horizontal="center" vertical="center" wrapText="1"/>
    </xf>
    <xf numFmtId="0" fontId="64" fillId="2" borderId="45" xfId="0" applyFont="1" applyFill="1" applyBorder="1" applyAlignment="1">
      <alignment horizontal="center" vertical="center"/>
    </xf>
    <xf numFmtId="0" fontId="64" fillId="2" borderId="46" xfId="0" applyFont="1" applyFill="1" applyBorder="1" applyAlignment="1">
      <alignment horizontal="center" vertical="center"/>
    </xf>
    <xf numFmtId="0" fontId="64" fillId="2" borderId="154" xfId="0" applyFont="1" applyFill="1" applyBorder="1" applyAlignment="1">
      <alignment horizontal="center" vertical="center"/>
    </xf>
    <xf numFmtId="0" fontId="57" fillId="2" borderId="100" xfId="0" applyFont="1" applyFill="1" applyBorder="1" applyAlignment="1">
      <alignment horizontal="center" vertical="center" wrapText="1"/>
    </xf>
    <xf numFmtId="0" fontId="57" fillId="2" borderId="101" xfId="0" applyFont="1" applyFill="1" applyBorder="1" applyAlignment="1">
      <alignment horizontal="center" vertical="center" wrapText="1"/>
    </xf>
    <xf numFmtId="0" fontId="57" fillId="2" borderId="102" xfId="0" applyFont="1" applyFill="1" applyBorder="1" applyAlignment="1">
      <alignment horizontal="center" vertical="center" wrapText="1"/>
    </xf>
    <xf numFmtId="0" fontId="1" fillId="0" borderId="99" xfId="7" applyFont="1" applyBorder="1" applyAlignment="1">
      <alignment horizontal="center" vertical="center"/>
    </xf>
    <xf numFmtId="0" fontId="1" fillId="0" borderId="116" xfId="7" applyFont="1" applyBorder="1" applyAlignment="1">
      <alignment horizontal="center" vertical="center"/>
    </xf>
    <xf numFmtId="0" fontId="1" fillId="0" borderId="118" xfId="7" applyFont="1" applyBorder="1" applyAlignment="1">
      <alignment horizontal="center" vertical="center"/>
    </xf>
    <xf numFmtId="0" fontId="1" fillId="0" borderId="117" xfId="7" applyFont="1" applyBorder="1" applyAlignment="1">
      <alignment horizontal="center"/>
    </xf>
    <xf numFmtId="0" fontId="1" fillId="0" borderId="99" xfId="7" applyFont="1" applyBorder="1" applyAlignment="1">
      <alignment horizontal="center"/>
    </xf>
    <xf numFmtId="0" fontId="1" fillId="0" borderId="122" xfId="7" applyFont="1" applyBorder="1" applyAlignment="1">
      <alignment horizontal="center"/>
    </xf>
    <xf numFmtId="0" fontId="66" fillId="10" borderId="99" xfId="7" applyFont="1" applyFill="1" applyBorder="1" applyAlignment="1">
      <alignment horizontal="center" vertical="center"/>
    </xf>
    <xf numFmtId="3" fontId="67" fillId="11" borderId="34" xfId="7" applyNumberFormat="1" applyFont="1" applyFill="1" applyBorder="1" applyAlignment="1">
      <alignment horizontal="center" vertical="center" wrapText="1"/>
    </xf>
    <xf numFmtId="3" fontId="67" fillId="11" borderId="4" xfId="7" applyNumberFormat="1" applyFont="1" applyFill="1" applyBorder="1" applyAlignment="1">
      <alignment horizontal="center" vertical="center" wrapText="1"/>
    </xf>
    <xf numFmtId="3" fontId="67" fillId="11" borderId="35" xfId="7" applyNumberFormat="1" applyFont="1" applyFill="1" applyBorder="1" applyAlignment="1">
      <alignment horizontal="center" vertical="center" wrapText="1"/>
    </xf>
    <xf numFmtId="0" fontId="38" fillId="7" borderId="50" xfId="7" applyFont="1" applyFill="1" applyAlignment="1">
      <alignment horizontal="center" vertical="center"/>
    </xf>
    <xf numFmtId="185" fontId="1" fillId="0" borderId="99" xfId="7" applyNumberFormat="1" applyFont="1" applyBorder="1" applyAlignment="1">
      <alignment horizontal="center"/>
    </xf>
    <xf numFmtId="0" fontId="56" fillId="0" borderId="99" xfId="0" applyFont="1" applyBorder="1" applyAlignment="1">
      <alignment horizontal="center" vertical="center" wrapText="1"/>
    </xf>
    <xf numFmtId="0" fontId="54" fillId="0" borderId="99" xfId="0" applyFont="1" applyBorder="1"/>
    <xf numFmtId="0" fontId="58" fillId="2" borderId="24" xfId="0" applyFont="1" applyFill="1" applyBorder="1" applyAlignment="1">
      <alignment horizontal="center" vertical="center"/>
    </xf>
    <xf numFmtId="0" fontId="54" fillId="0" borderId="25" xfId="0" applyFont="1" applyBorder="1"/>
    <xf numFmtId="0" fontId="54" fillId="0" borderId="26" xfId="0" applyFont="1" applyBorder="1"/>
    <xf numFmtId="0" fontId="10" fillId="0" borderId="161" xfId="0" applyFont="1" applyBorder="1" applyAlignment="1">
      <alignment horizontal="center" vertical="center" wrapText="1"/>
    </xf>
    <xf numFmtId="0" fontId="10" fillId="0" borderId="153" xfId="0" applyFont="1" applyBorder="1" applyAlignment="1">
      <alignment horizontal="center" vertical="center" wrapText="1"/>
    </xf>
    <xf numFmtId="0" fontId="10" fillId="0" borderId="130" xfId="0" applyFont="1" applyBorder="1" applyAlignment="1">
      <alignment horizontal="center" vertical="center" wrapText="1"/>
    </xf>
    <xf numFmtId="0" fontId="63" fillId="2" borderId="45" xfId="0" applyFont="1" applyFill="1" applyBorder="1" applyAlignment="1">
      <alignment horizontal="center" vertical="center"/>
    </xf>
    <xf numFmtId="0" fontId="63" fillId="2" borderId="46" xfId="0" applyFont="1" applyFill="1" applyBorder="1" applyAlignment="1">
      <alignment horizontal="center" vertical="center"/>
    </xf>
    <xf numFmtId="0" fontId="63" fillId="2" borderId="154" xfId="0" applyFont="1" applyFill="1" applyBorder="1" applyAlignment="1">
      <alignment horizontal="center" vertical="center"/>
    </xf>
    <xf numFmtId="0" fontId="10" fillId="0" borderId="161" xfId="0" applyFont="1" applyFill="1" applyBorder="1" applyAlignment="1">
      <alignment horizontal="center" vertical="center" wrapText="1"/>
    </xf>
    <xf numFmtId="0" fontId="10" fillId="0" borderId="153" xfId="0" applyFont="1" applyFill="1" applyBorder="1" applyAlignment="1">
      <alignment horizontal="center" vertical="center" wrapText="1"/>
    </xf>
    <xf numFmtId="0" fontId="10" fillId="0" borderId="130" xfId="0" applyFont="1" applyFill="1" applyBorder="1" applyAlignment="1">
      <alignment horizontal="center" vertical="center" wrapText="1"/>
    </xf>
    <xf numFmtId="0" fontId="54" fillId="0" borderId="99" xfId="0" applyFont="1" applyBorder="1" applyAlignment="1">
      <alignment vertical="center"/>
    </xf>
    <xf numFmtId="0" fontId="15" fillId="0" borderId="51" xfId="0" applyFont="1" applyBorder="1" applyAlignment="1">
      <alignment horizontal="center" vertical="center"/>
    </xf>
    <xf numFmtId="0" fontId="5" fillId="0" borderId="52" xfId="0" applyFont="1" applyBorder="1"/>
    <xf numFmtId="0" fontId="5" fillId="0" borderId="53" xfId="0" applyFont="1" applyBorder="1"/>
    <xf numFmtId="0" fontId="5" fillId="0" borderId="56" xfId="0" applyFont="1" applyBorder="1"/>
    <xf numFmtId="0" fontId="15" fillId="0" borderId="54" xfId="0" applyFont="1" applyBorder="1" applyAlignment="1">
      <alignment horizontal="center" vertical="center" wrapText="1"/>
    </xf>
    <xf numFmtId="0" fontId="5" fillId="0" borderId="55" xfId="0" applyFont="1" applyBorder="1"/>
    <xf numFmtId="0" fontId="5" fillId="0" borderId="57" xfId="0" applyFont="1" applyBorder="1"/>
    <xf numFmtId="0" fontId="16" fillId="0" borderId="58" xfId="0" applyFont="1" applyBorder="1" applyAlignment="1">
      <alignment horizontal="left" vertical="top" wrapText="1"/>
    </xf>
    <xf numFmtId="0" fontId="5" fillId="0" borderId="60" xfId="0" applyFont="1" applyBorder="1"/>
    <xf numFmtId="0" fontId="5" fillId="0" borderId="61" xfId="0" applyFont="1" applyBorder="1"/>
    <xf numFmtId="0" fontId="5" fillId="0" borderId="62" xfId="0" applyFont="1" applyBorder="1"/>
    <xf numFmtId="176" fontId="25" fillId="0" borderId="63" xfId="0" applyNumberFormat="1" applyFont="1" applyBorder="1" applyAlignment="1">
      <alignment horizontal="center" vertical="center"/>
    </xf>
    <xf numFmtId="0" fontId="5" fillId="0" borderId="64" xfId="0" applyFont="1" applyBorder="1"/>
    <xf numFmtId="0" fontId="26" fillId="6" borderId="51" xfId="0" applyFont="1" applyFill="1" applyBorder="1" applyAlignment="1">
      <alignment horizontal="left" vertical="top" wrapText="1"/>
    </xf>
    <xf numFmtId="0" fontId="5" fillId="0" borderId="65" xfId="0" applyFont="1" applyBorder="1"/>
    <xf numFmtId="0" fontId="5" fillId="0" borderId="68" xfId="0" applyFont="1" applyBorder="1"/>
    <xf numFmtId="0" fontId="5" fillId="0" borderId="69" xfId="0" applyFont="1" applyBorder="1"/>
    <xf numFmtId="0" fontId="5" fillId="0" borderId="70" xfId="0" applyFont="1" applyBorder="1"/>
    <xf numFmtId="0" fontId="15" fillId="0" borderId="52" xfId="0" applyFont="1" applyBorder="1" applyAlignment="1">
      <alignment horizontal="center" vertical="center"/>
    </xf>
    <xf numFmtId="0" fontId="29" fillId="0" borderId="58" xfId="0" applyFont="1" applyBorder="1" applyAlignment="1">
      <alignment vertical="top" wrapText="1"/>
    </xf>
    <xf numFmtId="167" fontId="27" fillId="0" borderId="94" xfId="0" applyNumberFormat="1" applyFont="1" applyBorder="1" applyAlignment="1">
      <alignment horizontal="center" vertical="top"/>
    </xf>
    <xf numFmtId="0" fontId="5" fillId="0" borderId="95" xfId="0" applyFont="1" applyBorder="1"/>
  </cellXfs>
  <cellStyles count="10">
    <cellStyle name="Millares" xfId="9" builtinId="3"/>
    <cellStyle name="Millares 2" xfId="8" xr:uid="{F604FC51-1649-44DA-8899-AFDB1A5DE176}"/>
    <cellStyle name="Moneda" xfId="2" builtinId="4"/>
    <cellStyle name="Moneda 2" xfId="5" xr:uid="{90994ECC-7CFD-47EE-8746-37ECCE6AF916}"/>
    <cellStyle name="Moneda 3" xfId="4" xr:uid="{234F6CC9-23AE-426A-B54B-3CEB9DFB3289}"/>
    <cellStyle name="Normal" xfId="0" builtinId="0"/>
    <cellStyle name="Normal 2" xfId="3" xr:uid="{EA04BDD8-1221-47FA-AC30-8861C582DA56}"/>
    <cellStyle name="Normal 3" xfId="7" xr:uid="{0FA4CC93-0F3B-4263-9094-3EBE5312C9BB}"/>
    <cellStyle name="Porcentaje" xfId="1" builtinId="5"/>
    <cellStyle name="Porcentaje 2" xfId="6" xr:uid="{F682C559-20E0-4C65-8A98-3A64E94F98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hartsheet" Target="chartsheets/sheet3.xml"/><Relationship Id="rId13" Type="http://schemas.openxmlformats.org/officeDocument/2006/relationships/worksheet" Target="worksheets/sheet9.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hartsheet" Target="chartsheets/sheet2.xml"/><Relationship Id="rId12" Type="http://schemas.openxmlformats.org/officeDocument/2006/relationships/worksheet" Target="worksheets/sheet8.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chartsheet" Target="chartsheets/sheet1.xml"/><Relationship Id="rId11" Type="http://schemas.openxmlformats.org/officeDocument/2006/relationships/worksheet" Target="worksheets/sheet7.xml"/><Relationship Id="rId5" Type="http://schemas.openxmlformats.org/officeDocument/2006/relationships/worksheet" Target="worksheets/sheet5.xml"/><Relationship Id="rId15" Type="http://schemas.openxmlformats.org/officeDocument/2006/relationships/worksheet" Target="worksheets/sheet11.xml"/><Relationship Id="rId10" Type="http://schemas.openxmlformats.org/officeDocument/2006/relationships/worksheet" Target="worksheets/sheet6.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chartsheet" Target="chartsheets/sheet4.xml"/><Relationship Id="rId14" Type="http://schemas.openxmlformats.org/officeDocument/2006/relationships/worksheet" Target="worksheets/sheet10.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200"/>
              <a:t>COSTOS</a:t>
            </a:r>
            <a:r>
              <a:rPr lang="es-CO" sz="1200" baseline="0"/>
              <a:t> DE INVERSION DIRECTA PARA 2 SUBPROYECTOS DE BIENESTAR INSTITUCIONAL - IES CINOC</a:t>
            </a:r>
            <a:endParaRPr lang="es-CO" sz="1200"/>
          </a:p>
        </c:rich>
      </c:tx>
      <c:layout>
        <c:manualLayout>
          <c:xMode val="edge"/>
          <c:yMode val="edge"/>
          <c:x val="0.11515515673996023"/>
          <c:y val="1.008902011146857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2"/>
          <c:order val="2"/>
          <c:spPr>
            <a:solidFill>
              <a:schemeClr val="accent1">
                <a:tint val="86000"/>
              </a:schemeClr>
            </a:solidFill>
            <a:ln>
              <a:noFill/>
            </a:ln>
            <a:effectLst/>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12D-450A-A4A2-A74C9B23B3B5}"/>
                </c:ext>
              </c:extLst>
            </c:dLbl>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12D-450A-A4A2-A74C9B23B3B5}"/>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12D-450A-A4A2-A74C9B23B3B5}"/>
                </c:ext>
              </c:extLst>
            </c:dLbl>
            <c:dLbl>
              <c:idx val="3"/>
              <c:spPr>
                <a:solidFill>
                  <a:schemeClr val="bg1">
                    <a:lumMod val="85000"/>
                  </a:schemeClr>
                </a:solidFill>
                <a:ln>
                  <a:noFill/>
                </a:ln>
                <a:effectLst/>
              </c:spPr>
              <c:txPr>
                <a:bodyPr rot="0" spcFirstLastPara="1" vertOverflow="ellipsis" vert="horz" wrap="square" lIns="38100" tIns="19050" rIns="38100" bIns="19050" anchor="ctr" anchorCtr="1">
                  <a:spAutoFit/>
                </a:bodyPr>
                <a:lstStyle/>
                <a:p>
                  <a:pPr>
                    <a:defRPr sz="1800" b="1" i="0" u="none" strike="noStrike" kern="1200" baseline="0">
                      <a:solidFill>
                        <a:srgbClr val="FF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112D-450A-A4A2-A74C9B23B3B5}"/>
                </c:ext>
              </c:extLst>
            </c:dLbl>
            <c:spPr>
              <a:solidFill>
                <a:schemeClr val="bg1">
                  <a:lumMod val="85000"/>
                </a:schemeClr>
              </a:solidFill>
              <a:ln>
                <a:noFill/>
              </a:ln>
              <a:effectLst/>
            </c:spPr>
            <c:txPr>
              <a:bodyPr rot="0" spcFirstLastPara="1" vertOverflow="ellipsis" vert="horz" wrap="square" lIns="38100" tIns="19050" rIns="38100" bIns="19050" anchor="ctr" anchorCtr="1">
                <a:spAutoFit/>
              </a:bodyPr>
              <a:lstStyle/>
              <a:p>
                <a:pPr>
                  <a:defRPr sz="1800" b="1"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RESUMEN!$C$5:$C$7</c:f>
              <c:strCache>
                <c:ptCount val="3"/>
                <c:pt idx="0">
                  <c:v>SUB PROYECTO.1 ALTERNATIVA A. AREA DEPORTIVA SALUD FISICA GYM BIENESTAR UNIVERSITARIO IES CINOC </c:v>
                </c:pt>
                <c:pt idx="1">
                  <c:v>SUB PROYECTO.2 AREA SALUD PROGRAMA ENFERMERIA Y PISCOLOGIA Y BIENESTAR UNIVERSITARIO IES CINOC </c:v>
                </c:pt>
                <c:pt idx="2">
                  <c:v>VALOR DIRECTO  DEL PROYECTO </c:v>
                </c:pt>
              </c:strCache>
            </c:strRef>
          </c:cat>
          <c:val>
            <c:numRef>
              <c:f>RESUMEN!$F$5:$F$7</c:f>
              <c:numCache>
                <c:formatCode>_-"$"\ * #,##0_-;\-"$"\ * #,##0_-;_-"$"\ * "-"??_-;_-@_-</c:formatCode>
                <c:ptCount val="3"/>
                <c:pt idx="0">
                  <c:v>34648716.741639346</c:v>
                </c:pt>
                <c:pt idx="1">
                  <c:v>9064281.5428316426</c:v>
                </c:pt>
                <c:pt idx="2" formatCode="_(&quot;$&quot;\ * #,##0_);_(&quot;$&quot;\ * \(#,##0\);_(&quot;$&quot;\ * &quot;-&quot;??_);_(@_)">
                  <c:v>43712998.28447099</c:v>
                </c:pt>
              </c:numCache>
            </c:numRef>
          </c:val>
          <c:extLst>
            <c:ext xmlns:c16="http://schemas.microsoft.com/office/drawing/2014/chart" uri="{C3380CC4-5D6E-409C-BE32-E72D297353CC}">
              <c16:uniqueId val="{00000000-112D-450A-A4A2-A74C9B23B3B5}"/>
            </c:ext>
          </c:extLst>
        </c:ser>
        <c:dLbls>
          <c:showLegendKey val="0"/>
          <c:showVal val="0"/>
          <c:showCatName val="0"/>
          <c:showSerName val="0"/>
          <c:showPercent val="0"/>
          <c:showBubbleSize val="0"/>
        </c:dLbls>
        <c:gapWidth val="219"/>
        <c:axId val="719559984"/>
        <c:axId val="777554960"/>
        <c:extLst>
          <c:ext xmlns:c15="http://schemas.microsoft.com/office/drawing/2012/chart" uri="{02D57815-91ED-43cb-92C2-25804820EDAC}">
            <c15:filteredBarSeries>
              <c15:ser>
                <c:idx val="0"/>
                <c:order val="0"/>
                <c:spPr>
                  <a:solidFill>
                    <a:schemeClr val="accent1">
                      <a:shade val="58000"/>
                    </a:schemeClr>
                  </a:solidFill>
                  <a:ln>
                    <a:noFill/>
                  </a:ln>
                  <a:effectLst/>
                </c:spPr>
                <c:invertIfNegative val="0"/>
                <c:cat>
                  <c:strRef>
                    <c:extLst>
                      <c:ext uri="{02D57815-91ED-43cb-92C2-25804820EDAC}">
                        <c15:formulaRef>
                          <c15:sqref>RESUMEN!$C$5:$C$7</c15:sqref>
                        </c15:formulaRef>
                      </c:ext>
                    </c:extLst>
                    <c:strCache>
                      <c:ptCount val="3"/>
                      <c:pt idx="0">
                        <c:v>SUB PROYECTO.1 ALTERNATIVA A. AREA DEPORTIVA SALUD FISICA GYM BIENESTAR UNIVERSITARIO IES CINOC </c:v>
                      </c:pt>
                      <c:pt idx="1">
                        <c:v>SUB PROYECTO.2 AREA SALUD PROGRAMA ENFERMERIA Y PISCOLOGIA Y BIENESTAR UNIVERSITARIO IES CINOC </c:v>
                      </c:pt>
                      <c:pt idx="2">
                        <c:v>VALOR DIRECTO  DEL PROYECTO </c:v>
                      </c:pt>
                    </c:strCache>
                  </c:strRef>
                </c:cat>
                <c:val>
                  <c:numRef>
                    <c:extLst>
                      <c:ext uri="{02D57815-91ED-43cb-92C2-25804820EDAC}">
                        <c15:formulaRef>
                          <c15:sqref>RESUMEN!$D$5:$D$7</c15:sqref>
                        </c15:formulaRef>
                      </c:ext>
                    </c:extLst>
                    <c:numCache>
                      <c:formatCode>General</c:formatCode>
                      <c:ptCount val="3"/>
                    </c:numCache>
                  </c:numRef>
                </c:val>
                <c:extLst>
                  <c:ext xmlns:c16="http://schemas.microsoft.com/office/drawing/2014/chart" uri="{C3380CC4-5D6E-409C-BE32-E72D297353CC}">
                    <c16:uniqueId val="{00000001-112D-450A-A4A2-A74C9B23B3B5}"/>
                  </c:ext>
                </c:extLst>
              </c15:ser>
            </c15:filteredBarSeries>
            <c15:filteredBarSeries>
              <c15:ser>
                <c:idx val="1"/>
                <c:order val="1"/>
                <c:spPr>
                  <a:solidFill>
                    <a:schemeClr val="accent1">
                      <a:shade val="86000"/>
                    </a:schemeClr>
                  </a:solidFill>
                  <a:ln>
                    <a:noFill/>
                  </a:ln>
                  <a:effectLst/>
                </c:spPr>
                <c:invertIfNegative val="0"/>
                <c:cat>
                  <c:strRef>
                    <c:extLst xmlns:c15="http://schemas.microsoft.com/office/drawing/2012/chart">
                      <c:ext xmlns:c15="http://schemas.microsoft.com/office/drawing/2012/chart" uri="{02D57815-91ED-43cb-92C2-25804820EDAC}">
                        <c15:formulaRef>
                          <c15:sqref>RESUMEN!$C$5:$C$7</c15:sqref>
                        </c15:formulaRef>
                      </c:ext>
                    </c:extLst>
                    <c:strCache>
                      <c:ptCount val="3"/>
                      <c:pt idx="0">
                        <c:v>SUB PROYECTO.1 ALTERNATIVA A. AREA DEPORTIVA SALUD FISICA GYM BIENESTAR UNIVERSITARIO IES CINOC </c:v>
                      </c:pt>
                      <c:pt idx="1">
                        <c:v>SUB PROYECTO.2 AREA SALUD PROGRAMA ENFERMERIA Y PISCOLOGIA Y BIENESTAR UNIVERSITARIO IES CINOC </c:v>
                      </c:pt>
                      <c:pt idx="2">
                        <c:v>VALOR DIRECTO  DEL PROYECTO </c:v>
                      </c:pt>
                    </c:strCache>
                  </c:strRef>
                </c:cat>
                <c:val>
                  <c:numRef>
                    <c:extLst xmlns:c15="http://schemas.microsoft.com/office/drawing/2012/chart">
                      <c:ext xmlns:c15="http://schemas.microsoft.com/office/drawing/2012/chart" uri="{02D57815-91ED-43cb-92C2-25804820EDAC}">
                        <c15:formulaRef>
                          <c15:sqref>RESUMEN!$E$5:$E$7</c15:sqref>
                        </c15:formulaRef>
                      </c:ext>
                    </c:extLst>
                    <c:numCache>
                      <c:formatCode>General</c:formatCode>
                      <c:ptCount val="3"/>
                    </c:numCache>
                  </c:numRef>
                </c:val>
                <c:extLst xmlns:c15="http://schemas.microsoft.com/office/drawing/2012/chart">
                  <c:ext xmlns:c16="http://schemas.microsoft.com/office/drawing/2014/chart" uri="{C3380CC4-5D6E-409C-BE32-E72D297353CC}">
                    <c16:uniqueId val="{00000002-112D-450A-A4A2-A74C9B23B3B5}"/>
                  </c:ext>
                </c:extLst>
              </c15:ser>
            </c15:filteredBarSeries>
            <c15:filteredBarSeries>
              <c15:ser>
                <c:idx val="3"/>
                <c:order val="3"/>
                <c:spPr>
                  <a:solidFill>
                    <a:schemeClr val="accent1">
                      <a:tint val="58000"/>
                    </a:schemeClr>
                  </a:solidFill>
                  <a:ln>
                    <a:noFill/>
                  </a:ln>
                  <a:effectLst/>
                </c:spPr>
                <c:invertIfNegative val="0"/>
                <c:cat>
                  <c:strRef>
                    <c:extLst xmlns:c15="http://schemas.microsoft.com/office/drawing/2012/chart">
                      <c:ext xmlns:c15="http://schemas.microsoft.com/office/drawing/2012/chart" uri="{02D57815-91ED-43cb-92C2-25804820EDAC}">
                        <c15:formulaRef>
                          <c15:sqref>RESUMEN!$C$5:$C$7</c15:sqref>
                        </c15:formulaRef>
                      </c:ext>
                    </c:extLst>
                    <c:strCache>
                      <c:ptCount val="3"/>
                      <c:pt idx="0">
                        <c:v>SUB PROYECTO.1 ALTERNATIVA A. AREA DEPORTIVA SALUD FISICA GYM BIENESTAR UNIVERSITARIO IES CINOC </c:v>
                      </c:pt>
                      <c:pt idx="1">
                        <c:v>SUB PROYECTO.2 AREA SALUD PROGRAMA ENFERMERIA Y PISCOLOGIA Y BIENESTAR UNIVERSITARIO IES CINOC </c:v>
                      </c:pt>
                      <c:pt idx="2">
                        <c:v>VALOR DIRECTO  DEL PROYECTO </c:v>
                      </c:pt>
                    </c:strCache>
                  </c:strRef>
                </c:cat>
                <c:val>
                  <c:numRef>
                    <c:extLst xmlns:c15="http://schemas.microsoft.com/office/drawing/2012/chart">
                      <c:ext xmlns:c15="http://schemas.microsoft.com/office/drawing/2012/chart" uri="{02D57815-91ED-43cb-92C2-25804820EDAC}">
                        <c15:formulaRef>
                          <c15:sqref>RESUMEN!$G$5:$G$7</c15:sqref>
                        </c15:formulaRef>
                      </c:ext>
                    </c:extLst>
                    <c:numCache>
                      <c:formatCode>_-"$"\ * #,##0_-;\-"$"\ * #,##0_-;_-"$"\ * "-"??_-;_-@_-</c:formatCode>
                      <c:ptCount val="3"/>
                    </c:numCache>
                  </c:numRef>
                </c:val>
                <c:extLst xmlns:c15="http://schemas.microsoft.com/office/drawing/2012/chart">
                  <c:ext xmlns:c16="http://schemas.microsoft.com/office/drawing/2014/chart" uri="{C3380CC4-5D6E-409C-BE32-E72D297353CC}">
                    <c16:uniqueId val="{00000003-112D-450A-A4A2-A74C9B23B3B5}"/>
                  </c:ext>
                </c:extLst>
              </c15:ser>
            </c15:filteredBarSeries>
          </c:ext>
        </c:extLst>
      </c:barChart>
      <c:catAx>
        <c:axId val="719559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777554960"/>
        <c:crosses val="autoZero"/>
        <c:auto val="1"/>
        <c:lblAlgn val="ctr"/>
        <c:lblOffset val="100"/>
        <c:noMultiLvlLbl val="0"/>
      </c:catAx>
      <c:valAx>
        <c:axId val="777554960"/>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 #,##0_-;\-&quot;$&quot;\ * #,##0_-;_-&quot;$&quot;\ *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71955998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419" b="1" u="sng"/>
              <a:t>ACTIVIDADES DE INVERSION</a:t>
            </a:r>
            <a:r>
              <a:rPr lang="es-419" b="1" u="sng" baseline="0"/>
              <a:t> </a:t>
            </a:r>
          </a:p>
          <a:p>
            <a:pPr>
              <a:defRPr b="1"/>
            </a:pPr>
            <a:r>
              <a:rPr lang="es-419" sz="1600" b="1"/>
              <a:t>OBRA: ADECUACION SUBPROYECTO</a:t>
            </a:r>
            <a:r>
              <a:rPr lang="es-419" sz="1600" b="1" baseline="0"/>
              <a:t> 1 GYM ALTERANTIVA A SEDE CENTRAL </a:t>
            </a:r>
            <a:r>
              <a:rPr lang="es-419" sz="1600" b="1" u="sng" baseline="0"/>
              <a:t>- IES CINOC - PENSILVANIA - CALDAS </a:t>
            </a:r>
            <a:endParaRPr lang="es-419" sz="1600" b="1" u="sng"/>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1"/>
          <c:order val="0"/>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'BIENESTAR GYM Y SALUD'!$I$9:$I$18</c:f>
              <c:numCache>
                <c:formatCode>_-[$$-240A]\ * #,##0_ ;_-[$$-240A]\ * \-#,##0\ ;_-[$$-240A]\ * "-"??_ ;_-@_ </c:formatCode>
                <c:ptCount val="10"/>
                <c:pt idx="0">
                  <c:v>8329702.901639346</c:v>
                </c:pt>
                <c:pt idx="1">
                  <c:v>16340391.999999998</c:v>
                </c:pt>
                <c:pt idx="2">
                  <c:v>5781066.2400000002</c:v>
                </c:pt>
                <c:pt idx="3">
                  <c:v>492616.13</c:v>
                </c:pt>
                <c:pt idx="4">
                  <c:v>359520.72</c:v>
                </c:pt>
                <c:pt idx="5">
                  <c:v>350440.25</c:v>
                </c:pt>
                <c:pt idx="6">
                  <c:v>1197388</c:v>
                </c:pt>
                <c:pt idx="7">
                  <c:v>319159.5</c:v>
                </c:pt>
                <c:pt idx="8">
                  <c:v>234784</c:v>
                </c:pt>
                <c:pt idx="9">
                  <c:v>1243647</c:v>
                </c:pt>
              </c:numCache>
            </c:numRef>
          </c:val>
          <c:extLst>
            <c:ext xmlns:c16="http://schemas.microsoft.com/office/drawing/2014/chart" uri="{C3380CC4-5D6E-409C-BE32-E72D297353CC}">
              <c16:uniqueId val="{00000001-25E1-43A4-993F-B285D0851BCC}"/>
            </c:ext>
          </c:extLst>
        </c:ser>
        <c:dLbls>
          <c:showLegendKey val="0"/>
          <c:showVal val="0"/>
          <c:showCatName val="0"/>
          <c:showSerName val="0"/>
          <c:showPercent val="0"/>
          <c:showBubbleSize val="0"/>
        </c:dLbls>
        <c:gapWidth val="219"/>
        <c:overlap val="-27"/>
        <c:axId val="474915144"/>
        <c:axId val="483439272"/>
      </c:barChart>
      <c:catAx>
        <c:axId val="474915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83439272"/>
        <c:crosses val="autoZero"/>
        <c:auto val="1"/>
        <c:lblAlgn val="ctr"/>
        <c:lblOffset val="100"/>
        <c:noMultiLvlLbl val="0"/>
      </c:catAx>
      <c:valAx>
        <c:axId val="483439272"/>
        <c:scaling>
          <c:orientation val="minMax"/>
        </c:scaling>
        <c:delete val="0"/>
        <c:axPos val="l"/>
        <c:majorGridlines>
          <c:spPr>
            <a:ln w="9525" cap="flat" cmpd="sng" algn="ctr">
              <a:solidFill>
                <a:schemeClr val="tx1">
                  <a:lumMod val="15000"/>
                  <a:lumOff val="85000"/>
                </a:schemeClr>
              </a:solidFill>
              <a:round/>
            </a:ln>
            <a:effectLst/>
          </c:spPr>
        </c:majorGridlines>
        <c:numFmt formatCode="_-[$$-240A]\ * #,##0_ ;_-[$$-240A]\ * \-#,##0\ ;_-[$$-240A]\ * &quot;-&quot;??_ ;_-@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749151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419" b="1" u="sng"/>
              <a:t>ACTIVIDADES DE INVERSION</a:t>
            </a:r>
            <a:r>
              <a:rPr lang="es-419" b="1" u="sng" baseline="0"/>
              <a:t> </a:t>
            </a:r>
          </a:p>
          <a:p>
            <a:pPr>
              <a:defRPr b="1"/>
            </a:pPr>
            <a:r>
              <a:rPr lang="es-419" sz="1600" b="1"/>
              <a:t>OBRA: ADECUACION SUBPROYECTO</a:t>
            </a:r>
            <a:r>
              <a:rPr lang="es-419" sz="1600" b="1" baseline="0"/>
              <a:t> 2 AREA DE SALUD INTEGRAL Y AUTOCUIDADO BIENESTAR </a:t>
            </a:r>
            <a:endParaRPr lang="es-419" sz="1600" b="1" u="sng"/>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1"/>
          <c:order val="0"/>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'BIENESTAR GYM Y SALUD'!$I$26:$I$33</c:f>
              <c:numCache>
                <c:formatCode>_-[$$-240A]\ * #,##0_ ;_-[$$-240A]\ * \-#,##0\ ;_-[$$-240A]\ * "-"??_ ;_-@_ </c:formatCode>
                <c:ptCount val="8"/>
                <c:pt idx="0">
                  <c:v>4164851.450819673</c:v>
                </c:pt>
                <c:pt idx="1">
                  <c:v>2389490.5499999998</c:v>
                </c:pt>
                <c:pt idx="2">
                  <c:v>179760.36</c:v>
                </c:pt>
                <c:pt idx="3">
                  <c:v>619782.30000000005</c:v>
                </c:pt>
                <c:pt idx="4">
                  <c:v>341112.89701196994</c:v>
                </c:pt>
                <c:pt idx="5">
                  <c:v>167466.97500000001</c:v>
                </c:pt>
                <c:pt idx="6">
                  <c:v>367887.75999999995</c:v>
                </c:pt>
                <c:pt idx="7">
                  <c:v>833929.25</c:v>
                </c:pt>
              </c:numCache>
            </c:numRef>
          </c:val>
          <c:extLst>
            <c:ext xmlns:c16="http://schemas.microsoft.com/office/drawing/2014/chart" uri="{C3380CC4-5D6E-409C-BE32-E72D297353CC}">
              <c16:uniqueId val="{00000000-7484-4A29-B4C6-406749B1A668}"/>
            </c:ext>
          </c:extLst>
        </c:ser>
        <c:dLbls>
          <c:showLegendKey val="0"/>
          <c:showVal val="0"/>
          <c:showCatName val="0"/>
          <c:showSerName val="0"/>
          <c:showPercent val="0"/>
          <c:showBubbleSize val="0"/>
        </c:dLbls>
        <c:gapWidth val="219"/>
        <c:overlap val="-27"/>
        <c:axId val="474915144"/>
        <c:axId val="483439272"/>
      </c:barChart>
      <c:catAx>
        <c:axId val="474915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83439272"/>
        <c:crosses val="autoZero"/>
        <c:auto val="1"/>
        <c:lblAlgn val="ctr"/>
        <c:lblOffset val="100"/>
        <c:noMultiLvlLbl val="0"/>
      </c:catAx>
      <c:valAx>
        <c:axId val="483439272"/>
        <c:scaling>
          <c:orientation val="minMax"/>
        </c:scaling>
        <c:delete val="0"/>
        <c:axPos val="l"/>
        <c:majorGridlines>
          <c:spPr>
            <a:ln w="9525" cap="flat" cmpd="sng" algn="ctr">
              <a:solidFill>
                <a:schemeClr val="tx1">
                  <a:lumMod val="15000"/>
                  <a:lumOff val="85000"/>
                </a:schemeClr>
              </a:solidFill>
              <a:round/>
            </a:ln>
            <a:effectLst/>
          </c:spPr>
        </c:majorGridlines>
        <c:numFmt formatCode="_-[$$-240A]\ * #,##0_ ;_-[$$-240A]\ * \-#,##0\ ;_-[$$-240A]\ * &quot;-&quot;??_ ;_-@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749151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200"/>
              <a:t>COSTOS</a:t>
            </a:r>
            <a:r>
              <a:rPr lang="es-CO" sz="1200" baseline="0"/>
              <a:t> DE INVERSION DIRECTA PARA 2 SUBPROYECTOS DE BIENESTAR INSTITUCIONAL - IES CINOC</a:t>
            </a:r>
            <a:endParaRPr lang="es-CO" sz="1200"/>
          </a:p>
        </c:rich>
      </c:tx>
      <c:layout>
        <c:manualLayout>
          <c:xMode val="edge"/>
          <c:yMode val="edge"/>
          <c:x val="0.11515515673996023"/>
          <c:y val="1.008902011146857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hade val="58000"/>
              </a:schemeClr>
            </a:solidFill>
            <a:ln>
              <a:noFill/>
            </a:ln>
            <a:effectLst/>
          </c:spPr>
          <c:invertIfNegative val="0"/>
          <c:cat>
            <c:multiLvlStrRef>
              <c:f>RESUMEN!$C$21:$C$23</c:f>
            </c:multiLvlStrRef>
          </c:cat>
          <c:val>
            <c:numRef>
              <c:f>RESUMEN!$D$21:$D$23</c:f>
            </c:numRef>
          </c:val>
          <c:extLst xmlns:c15="http://schemas.microsoft.com/office/drawing/2012/chart">
            <c:ext xmlns:c16="http://schemas.microsoft.com/office/drawing/2014/chart" uri="{C3380CC4-5D6E-409C-BE32-E72D297353CC}">
              <c16:uniqueId val="{00000005-6677-4323-9839-AB38636A000E}"/>
            </c:ext>
          </c:extLst>
        </c:ser>
        <c:ser>
          <c:idx val="1"/>
          <c:order val="1"/>
          <c:spPr>
            <a:solidFill>
              <a:schemeClr val="accent1">
                <a:shade val="86000"/>
              </a:schemeClr>
            </a:solidFill>
            <a:ln>
              <a:noFill/>
            </a:ln>
            <a:effectLst/>
          </c:spPr>
          <c:invertIfNegative val="0"/>
          <c:cat>
            <c:multiLvlStrRef>
              <c:f>RESUMEN!$C$21:$C$23</c:f>
            </c:multiLvlStrRef>
          </c:cat>
          <c:val>
            <c:numRef>
              <c:f>RESUMEN!$E$21:$E$23</c:f>
            </c:numRef>
          </c:val>
          <c:extLst xmlns:c15="http://schemas.microsoft.com/office/drawing/2012/chart">
            <c:ext xmlns:c16="http://schemas.microsoft.com/office/drawing/2014/chart" uri="{C3380CC4-5D6E-409C-BE32-E72D297353CC}">
              <c16:uniqueId val="{00000006-6677-4323-9839-AB38636A000E}"/>
            </c:ext>
          </c:extLst>
        </c:ser>
        <c:ser>
          <c:idx val="2"/>
          <c:order val="2"/>
          <c:spPr>
            <a:solidFill>
              <a:schemeClr val="accent1">
                <a:tint val="86000"/>
              </a:schemeClr>
            </a:solidFill>
            <a:ln>
              <a:noFill/>
            </a:ln>
            <a:effectLst/>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677-4323-9839-AB38636A000E}"/>
                </c:ext>
              </c:extLst>
            </c:dLbl>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677-4323-9839-AB38636A000E}"/>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677-4323-9839-AB38636A000E}"/>
                </c:ext>
              </c:extLst>
            </c:dLbl>
            <c:dLbl>
              <c:idx val="3"/>
              <c:spPr>
                <a:solidFill>
                  <a:schemeClr val="bg1">
                    <a:lumMod val="85000"/>
                  </a:schemeClr>
                </a:solid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rgbClr val="FF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677-4323-9839-AB38636A000E}"/>
                </c:ext>
              </c:extLst>
            </c:dLbl>
            <c:spPr>
              <a:solidFill>
                <a:schemeClr val="bg1">
                  <a:lumMod val="85000"/>
                </a:schemeClr>
              </a:solid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RESUMEN!$C$21:$C$23</c:f>
            </c:multiLvlStrRef>
          </c:cat>
          <c:val>
            <c:numRef>
              <c:f>RESUMEN!$F$21:$F$23</c:f>
            </c:numRef>
          </c:val>
          <c:extLst>
            <c:ext xmlns:c16="http://schemas.microsoft.com/office/drawing/2014/chart" uri="{C3380CC4-5D6E-409C-BE32-E72D297353CC}">
              <c16:uniqueId val="{00000004-6677-4323-9839-AB38636A000E}"/>
            </c:ext>
          </c:extLst>
        </c:ser>
        <c:ser>
          <c:idx val="3"/>
          <c:order val="3"/>
          <c:spPr>
            <a:solidFill>
              <a:schemeClr val="accent1">
                <a:tint val="58000"/>
              </a:schemeClr>
            </a:solidFill>
            <a:ln>
              <a:noFill/>
            </a:ln>
            <a:effectLst/>
          </c:spPr>
          <c:invertIfNegative val="0"/>
          <c:cat>
            <c:multiLvlStrRef>
              <c:f>RESUMEN!$C$21:$C$23</c:f>
            </c:multiLvlStrRef>
          </c:cat>
          <c:val>
            <c:numRef>
              <c:f>RESUMEN!$G$21:$G$23</c:f>
            </c:numRef>
          </c:val>
          <c:extLst xmlns:c15="http://schemas.microsoft.com/office/drawing/2012/chart">
            <c:ext xmlns:c16="http://schemas.microsoft.com/office/drawing/2014/chart" uri="{C3380CC4-5D6E-409C-BE32-E72D297353CC}">
              <c16:uniqueId val="{00000007-6677-4323-9839-AB38636A000E}"/>
            </c:ext>
          </c:extLst>
        </c:ser>
        <c:dLbls>
          <c:showLegendKey val="0"/>
          <c:showVal val="0"/>
          <c:showCatName val="0"/>
          <c:showSerName val="0"/>
          <c:showPercent val="0"/>
          <c:showBubbleSize val="0"/>
        </c:dLbls>
        <c:gapWidth val="219"/>
        <c:axId val="719559984"/>
        <c:axId val="777554960"/>
        <c:extLst/>
      </c:barChart>
      <c:catAx>
        <c:axId val="719559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777554960"/>
        <c:crosses val="autoZero"/>
        <c:auto val="1"/>
        <c:lblAlgn val="ctr"/>
        <c:lblOffset val="100"/>
        <c:noMultiLvlLbl val="0"/>
      </c:catAx>
      <c:valAx>
        <c:axId val="7775549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71955998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chartsheets/_rels/sheet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chartsheets/_rels/sheet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F5357052-E9E2-451E-93E5-03874C1B4EE3}">
  <sheetPr/>
  <sheetViews>
    <sheetView zoomScale="102" workbookViewId="0" zoomToFit="1"/>
  </sheetViews>
  <pageMargins left="0.7" right="0.7" top="0.75" bottom="0.75" header="0.3" footer="0.3"/>
  <pageSetup orientation="landscape" r:id="rId1"/>
  <drawing r:id="rId2"/>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5E599DE0-F54F-4D5F-87AB-047B51CF3ECD}">
  <sheetPr/>
  <sheetViews>
    <sheetView workbookViewId="0"/>
  </sheetViews>
  <pageMargins left="0.7" right="0.7" top="0.75" bottom="0.75" header="0.3" footer="0.3"/>
  <pageSetup orientation="landscape" r:id="rId1"/>
  <drawing r:id="rId2"/>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941F093E-6275-4824-955F-0902B23FEE15}">
  <sheetPr/>
  <sheetViews>
    <sheetView workbookViewId="0"/>
  </sheetViews>
  <pageMargins left="0.7" right="0.7" top="0.75" bottom="0.75" header="0.3" footer="0.3"/>
  <pageSetup orientation="landscape" r:id="rId1"/>
  <drawing r:id="rId2"/>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E4661403-A893-4E97-9F07-AB5F2C655E0B}">
  <sheetPr/>
  <sheetViews>
    <sheetView zoomScale="102" workbookViewId="0" zoomToFit="1"/>
  </sheetViews>
  <pageMargins left="0.7" right="0.7" top="0.75" bottom="0.75" header="0.3" footer="0.3"/>
  <pageSetup orientation="landscape" r:id="rId1"/>
  <drawing r:id="rId2"/>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10</xdr:col>
      <xdr:colOff>11408</xdr:colOff>
      <xdr:row>3</xdr:row>
      <xdr:rowOff>334116</xdr:rowOff>
    </xdr:from>
    <xdr:to>
      <xdr:col>16</xdr:col>
      <xdr:colOff>435430</xdr:colOff>
      <xdr:row>7</xdr:row>
      <xdr:rowOff>114182</xdr:rowOff>
    </xdr:to>
    <xdr:pic>
      <xdr:nvPicPr>
        <xdr:cNvPr id="3" name="Imagen 2">
          <a:extLst>
            <a:ext uri="{FF2B5EF4-FFF2-40B4-BE49-F238E27FC236}">
              <a16:creationId xmlns:a16="http://schemas.microsoft.com/office/drawing/2014/main" id="{2CED9FD6-D6FD-4D10-9F92-3A638241CA2D}"/>
            </a:ext>
          </a:extLst>
        </xdr:cNvPr>
        <xdr:cNvPicPr>
          <a:picLocks noChangeAspect="1"/>
        </xdr:cNvPicPr>
      </xdr:nvPicPr>
      <xdr:blipFill rotWithShape="1">
        <a:blip xmlns:r="http://schemas.openxmlformats.org/officeDocument/2006/relationships" r:embed="rId1"/>
        <a:srcRect l="21878" t="25003" r="23428" b="17814"/>
        <a:stretch/>
      </xdr:blipFill>
      <xdr:spPr>
        <a:xfrm>
          <a:off x="8733587" y="1028080"/>
          <a:ext cx="4996022" cy="31138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1578427</xdr:colOff>
      <xdr:row>67</xdr:row>
      <xdr:rowOff>27217</xdr:rowOff>
    </xdr:from>
    <xdr:to>
      <xdr:col>14</xdr:col>
      <xdr:colOff>764791</xdr:colOff>
      <xdr:row>82</xdr:row>
      <xdr:rowOff>503467</xdr:rowOff>
    </xdr:to>
    <xdr:pic>
      <xdr:nvPicPr>
        <xdr:cNvPr id="2" name="Imagen 1">
          <a:extLst>
            <a:ext uri="{FF2B5EF4-FFF2-40B4-BE49-F238E27FC236}">
              <a16:creationId xmlns:a16="http://schemas.microsoft.com/office/drawing/2014/main" id="{865988EE-4AB5-4D62-8A35-F3A867861527}"/>
            </a:ext>
          </a:extLst>
        </xdr:cNvPr>
        <xdr:cNvPicPr>
          <a:picLocks noChangeAspect="1"/>
        </xdr:cNvPicPr>
      </xdr:nvPicPr>
      <xdr:blipFill>
        <a:blip xmlns:r="http://schemas.openxmlformats.org/officeDocument/2006/relationships" r:embed="rId1"/>
        <a:stretch>
          <a:fillRect/>
        </a:stretch>
      </xdr:blipFill>
      <xdr:spPr>
        <a:xfrm>
          <a:off x="13212534" y="20247431"/>
          <a:ext cx="9174006" cy="43270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absoluteAnchor>
    <xdr:pos x="0" y="0"/>
    <xdr:ext cx="8665882" cy="6293971"/>
    <xdr:graphicFrame macro="">
      <xdr:nvGraphicFramePr>
        <xdr:cNvPr id="2" name="Gráfico 1">
          <a:extLst>
            <a:ext uri="{FF2B5EF4-FFF2-40B4-BE49-F238E27FC236}">
              <a16:creationId xmlns:a16="http://schemas.microsoft.com/office/drawing/2014/main" id="{0D9EEB6D-E9B4-44A1-B373-C7DD868B9EF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8667750" cy="6296025"/>
    <xdr:graphicFrame macro="">
      <xdr:nvGraphicFramePr>
        <xdr:cNvPr id="2" name="Gráfico 1">
          <a:extLst>
            <a:ext uri="{FF2B5EF4-FFF2-40B4-BE49-F238E27FC236}">
              <a16:creationId xmlns:a16="http://schemas.microsoft.com/office/drawing/2014/main" id="{82B6B288-91DF-49B8-9F4C-C1AE56C7FFC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8667750" cy="6296025"/>
    <xdr:graphicFrame macro="">
      <xdr:nvGraphicFramePr>
        <xdr:cNvPr id="2" name="Gráfico 1">
          <a:extLst>
            <a:ext uri="{FF2B5EF4-FFF2-40B4-BE49-F238E27FC236}">
              <a16:creationId xmlns:a16="http://schemas.microsoft.com/office/drawing/2014/main" id="{670CF1EF-E1B8-4C14-AA5F-6B48DD0A6C4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0"/>
    <xdr:ext cx="8665882" cy="6293971"/>
    <xdr:graphicFrame macro="">
      <xdr:nvGraphicFramePr>
        <xdr:cNvPr id="2" name="Gráfico 1">
          <a:extLst>
            <a:ext uri="{FF2B5EF4-FFF2-40B4-BE49-F238E27FC236}">
              <a16:creationId xmlns:a16="http://schemas.microsoft.com/office/drawing/2014/main" id="{A9487C8B-B7EE-4E82-B2BF-1EBEDE18E46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twoCellAnchor editAs="oneCell">
    <xdr:from>
      <xdr:col>8</xdr:col>
      <xdr:colOff>1578427</xdr:colOff>
      <xdr:row>75</xdr:row>
      <xdr:rowOff>27217</xdr:rowOff>
    </xdr:from>
    <xdr:to>
      <xdr:col>14</xdr:col>
      <xdr:colOff>764790</xdr:colOff>
      <xdr:row>88</xdr:row>
      <xdr:rowOff>163288</xdr:rowOff>
    </xdr:to>
    <xdr:pic>
      <xdr:nvPicPr>
        <xdr:cNvPr id="2" name="Imagen 1">
          <a:extLst>
            <a:ext uri="{FF2B5EF4-FFF2-40B4-BE49-F238E27FC236}">
              <a16:creationId xmlns:a16="http://schemas.microsoft.com/office/drawing/2014/main" id="{4ABD2419-13A7-4CE8-B596-04D584F76769}"/>
            </a:ext>
          </a:extLst>
        </xdr:cNvPr>
        <xdr:cNvPicPr>
          <a:picLocks noChangeAspect="1"/>
        </xdr:cNvPicPr>
      </xdr:nvPicPr>
      <xdr:blipFill>
        <a:blip xmlns:r="http://schemas.openxmlformats.org/officeDocument/2006/relationships" r:embed="rId1"/>
        <a:stretch>
          <a:fillRect/>
        </a:stretch>
      </xdr:blipFill>
      <xdr:spPr>
        <a:xfrm>
          <a:off x="13208452" y="20372617"/>
          <a:ext cx="9168563" cy="427944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948"/>
  <sheetViews>
    <sheetView zoomScale="70" zoomScaleNormal="70" workbookViewId="0">
      <selection activeCell="C4" sqref="C4:I15"/>
    </sheetView>
  </sheetViews>
  <sheetFormatPr baseColWidth="10" defaultColWidth="14.42578125" defaultRowHeight="15" customHeight="1"/>
  <cols>
    <col min="1" max="4" width="10.7109375" customWidth="1"/>
    <col min="5" max="5" width="24.5703125" customWidth="1"/>
    <col min="6" max="6" width="30.7109375" customWidth="1"/>
    <col min="7" max="7" width="14.5703125" customWidth="1"/>
    <col min="8" max="8" width="9.42578125" style="319" customWidth="1"/>
    <col min="9" max="9" width="6.140625" customWidth="1"/>
    <col min="10" max="15" width="10.7109375" customWidth="1"/>
  </cols>
  <sheetData>
    <row r="1" spans="1:18" ht="15" customHeight="1" thickBot="1"/>
    <row r="2" spans="1:18" ht="24.75" customHeight="1" thickBot="1">
      <c r="C2" s="639" t="s">
        <v>417</v>
      </c>
      <c r="D2" s="640"/>
      <c r="E2" s="640"/>
      <c r="F2" s="640"/>
      <c r="G2" s="640"/>
      <c r="H2" s="374"/>
    </row>
    <row r="3" spans="1:18" ht="15" customHeight="1" thickBot="1"/>
    <row r="4" spans="1:18" ht="43.5" customHeight="1">
      <c r="C4" s="629" t="s">
        <v>0</v>
      </c>
      <c r="D4" s="630"/>
      <c r="E4" s="630"/>
      <c r="F4" s="631" t="s">
        <v>453</v>
      </c>
      <c r="G4" s="630"/>
      <c r="H4" s="631" t="s">
        <v>16</v>
      </c>
      <c r="I4" s="632"/>
      <c r="J4" s="618"/>
      <c r="K4" s="618"/>
      <c r="L4" s="618"/>
      <c r="M4" s="618"/>
      <c r="N4" s="618"/>
      <c r="O4" s="618"/>
      <c r="P4" s="618"/>
      <c r="Q4" s="618"/>
      <c r="R4" s="619"/>
    </row>
    <row r="5" spans="1:18" s="319" customFormat="1" ht="83.25" customHeight="1">
      <c r="C5" s="644" t="s">
        <v>457</v>
      </c>
      <c r="D5" s="645"/>
      <c r="E5" s="645"/>
      <c r="F5" s="646">
        <f>+'BIENESTAR GYM Y SALUD'!I19</f>
        <v>34648716.741639346</v>
      </c>
      <c r="G5" s="646"/>
      <c r="H5" s="633">
        <f>+F5/$F$7</f>
        <v>0.79264104731860219</v>
      </c>
      <c r="I5" s="634"/>
      <c r="J5" s="620"/>
      <c r="K5" s="620"/>
      <c r="L5" s="620"/>
      <c r="M5" s="620"/>
      <c r="N5" s="620"/>
      <c r="O5" s="620"/>
      <c r="P5" s="620"/>
      <c r="Q5" s="620"/>
      <c r="R5" s="621"/>
    </row>
    <row r="6" spans="1:18" s="319" customFormat="1" ht="102" customHeight="1">
      <c r="C6" s="644" t="s">
        <v>439</v>
      </c>
      <c r="D6" s="645"/>
      <c r="E6" s="645"/>
      <c r="F6" s="646">
        <f>+'BIENESTAR GYM Y SALUD'!I34</f>
        <v>9064281.5428316426</v>
      </c>
      <c r="G6" s="646"/>
      <c r="H6" s="633">
        <f>+F6/$F$7</f>
        <v>0.20735895268139778</v>
      </c>
      <c r="I6" s="634"/>
      <c r="J6" s="620"/>
      <c r="K6" s="620"/>
      <c r="L6" s="620"/>
      <c r="M6" s="620"/>
      <c r="N6" s="620"/>
      <c r="O6" s="620"/>
      <c r="P6" s="620"/>
      <c r="Q6" s="620"/>
      <c r="R6" s="621"/>
    </row>
    <row r="7" spans="1:18" s="195" customFormat="1" ht="33" customHeight="1">
      <c r="C7" s="624" t="s">
        <v>420</v>
      </c>
      <c r="D7" s="625"/>
      <c r="E7" s="625"/>
      <c r="F7" s="626">
        <f>+F5+F6</f>
        <v>43712998.28447099</v>
      </c>
      <c r="G7" s="625"/>
      <c r="H7" s="635">
        <f>+H5+H6</f>
        <v>1</v>
      </c>
      <c r="I7" s="636"/>
      <c r="J7" s="620"/>
      <c r="K7" s="620"/>
      <c r="L7" s="620"/>
      <c r="M7" s="620"/>
      <c r="N7" s="620"/>
      <c r="O7" s="620"/>
      <c r="P7" s="620"/>
      <c r="Q7" s="620"/>
      <c r="R7" s="621"/>
    </row>
    <row r="8" spans="1:18" ht="33.75" customHeight="1">
      <c r="A8" s="1"/>
      <c r="B8" s="1"/>
      <c r="C8" s="490">
        <f>+'JUSTIFICACIO AIU%'!J34</f>
        <v>0.19629680034885644</v>
      </c>
      <c r="D8" s="627" t="s">
        <v>1</v>
      </c>
      <c r="E8" s="643"/>
      <c r="F8" s="637">
        <f>+$F$7*C8</f>
        <v>8580721.6968967058</v>
      </c>
      <c r="G8" s="637"/>
      <c r="H8" s="637"/>
      <c r="I8" s="638"/>
      <c r="J8" s="620"/>
      <c r="K8" s="620"/>
      <c r="L8" s="620"/>
      <c r="M8" s="620"/>
      <c r="N8" s="620"/>
      <c r="O8" s="620"/>
      <c r="P8" s="620"/>
      <c r="Q8" s="620"/>
      <c r="R8" s="621"/>
    </row>
    <row r="9" spans="1:18" ht="33.75" customHeight="1">
      <c r="A9" s="1"/>
      <c r="B9" s="1"/>
      <c r="C9" s="488">
        <v>0.03</v>
      </c>
      <c r="D9" s="627" t="s">
        <v>2</v>
      </c>
      <c r="E9" s="627"/>
      <c r="F9" s="637">
        <f t="shared" ref="F9:F10" si="0">+$F$7*C9</f>
        <v>1311389.9485341297</v>
      </c>
      <c r="G9" s="637"/>
      <c r="H9" s="637"/>
      <c r="I9" s="638"/>
      <c r="J9" s="620"/>
      <c r="K9" s="620"/>
      <c r="L9" s="620"/>
      <c r="M9" s="620"/>
      <c r="N9" s="620"/>
      <c r="O9" s="620"/>
      <c r="P9" s="620"/>
      <c r="Q9" s="620"/>
      <c r="R9" s="621"/>
    </row>
    <row r="10" spans="1:18" ht="33.75" customHeight="1">
      <c r="A10" s="2"/>
      <c r="B10" s="1"/>
      <c r="C10" s="488">
        <v>0.02</v>
      </c>
      <c r="D10" s="627" t="s">
        <v>3</v>
      </c>
      <c r="E10" s="627"/>
      <c r="F10" s="637">
        <f t="shared" si="0"/>
        <v>874259.96568941977</v>
      </c>
      <c r="G10" s="637"/>
      <c r="H10" s="637"/>
      <c r="I10" s="638"/>
      <c r="J10" s="620"/>
      <c r="K10" s="620"/>
      <c r="L10" s="620"/>
      <c r="M10" s="620"/>
      <c r="N10" s="620"/>
      <c r="O10" s="620"/>
      <c r="P10" s="620"/>
      <c r="Q10" s="620"/>
      <c r="R10" s="621"/>
    </row>
    <row r="11" spans="1:18" s="319" customFormat="1" ht="33.75" customHeight="1">
      <c r="A11" s="2"/>
      <c r="B11" s="1"/>
      <c r="C11" s="488">
        <v>0.19</v>
      </c>
      <c r="D11" s="489" t="s">
        <v>428</v>
      </c>
      <c r="E11" s="489"/>
      <c r="F11" s="637">
        <f>+C11*F9</f>
        <v>249164.09022148463</v>
      </c>
      <c r="G11" s="637"/>
      <c r="H11" s="637"/>
      <c r="I11" s="638"/>
      <c r="J11" s="620"/>
      <c r="K11" s="620"/>
      <c r="L11" s="620"/>
      <c r="M11" s="620"/>
      <c r="N11" s="620"/>
      <c r="O11" s="620"/>
      <c r="P11" s="620"/>
      <c r="Q11" s="620"/>
      <c r="R11" s="621"/>
    </row>
    <row r="12" spans="1:18" ht="33.75" customHeight="1">
      <c r="A12" s="3"/>
      <c r="B12" s="1"/>
      <c r="C12" s="491">
        <f>+C10+C9+C8</f>
        <v>0.24629680034885643</v>
      </c>
      <c r="D12" s="628" t="s">
        <v>4</v>
      </c>
      <c r="E12" s="628"/>
      <c r="F12" s="637">
        <f>+F10+F9+F8+F11</f>
        <v>11015535.701341741</v>
      </c>
      <c r="G12" s="637"/>
      <c r="H12" s="637"/>
      <c r="I12" s="638"/>
      <c r="J12" s="620"/>
      <c r="K12" s="620"/>
      <c r="L12" s="620"/>
      <c r="M12" s="620"/>
      <c r="N12" s="620"/>
      <c r="O12" s="620"/>
      <c r="P12" s="620"/>
      <c r="Q12" s="620"/>
      <c r="R12" s="621"/>
    </row>
    <row r="13" spans="1:18" ht="32.25" customHeight="1">
      <c r="C13" s="641" t="s">
        <v>429</v>
      </c>
      <c r="D13" s="642"/>
      <c r="E13" s="642"/>
      <c r="F13" s="637">
        <f>+F12+F7</f>
        <v>54728533.985812731</v>
      </c>
      <c r="G13" s="637"/>
      <c r="H13" s="637"/>
      <c r="I13" s="638"/>
      <c r="J13" s="620"/>
      <c r="K13" s="620"/>
      <c r="L13" s="620"/>
      <c r="M13" s="620"/>
      <c r="N13" s="620"/>
      <c r="O13" s="620"/>
      <c r="P13" s="620"/>
      <c r="Q13" s="620"/>
      <c r="R13" s="621"/>
    </row>
    <row r="14" spans="1:18" s="318" customFormat="1" ht="30" customHeight="1" thickBot="1">
      <c r="C14" s="641" t="s">
        <v>430</v>
      </c>
      <c r="D14" s="642"/>
      <c r="E14" s="642"/>
      <c r="F14" s="637">
        <f>+F13*2%</f>
        <v>1094570.6797162546</v>
      </c>
      <c r="G14" s="637"/>
      <c r="H14" s="637"/>
      <c r="I14" s="638"/>
      <c r="J14" s="622"/>
      <c r="K14" s="622"/>
      <c r="L14" s="622"/>
      <c r="M14" s="622"/>
      <c r="N14" s="622"/>
      <c r="O14" s="622"/>
      <c r="P14" s="622"/>
      <c r="Q14" s="622"/>
      <c r="R14" s="623"/>
    </row>
    <row r="15" spans="1:18" ht="42.75" customHeight="1" thickBot="1">
      <c r="C15" s="649" t="s">
        <v>413</v>
      </c>
      <c r="D15" s="650"/>
      <c r="E15" s="650"/>
      <c r="F15" s="647">
        <f>+F14+F13</f>
        <v>55823104.665528983</v>
      </c>
      <c r="G15" s="647"/>
      <c r="H15" s="647"/>
      <c r="I15" s="648"/>
      <c r="J15" s="196"/>
    </row>
    <row r="16" spans="1:18" ht="33" customHeight="1" thickBot="1">
      <c r="C16" s="620"/>
      <c r="D16" s="620"/>
      <c r="E16" s="655"/>
      <c r="F16" s="651">
        <v>32480000</v>
      </c>
      <c r="G16" s="652"/>
      <c r="H16" s="196"/>
      <c r="I16" s="196"/>
    </row>
    <row r="17" spans="3:9" ht="35.25" customHeight="1" thickBot="1">
      <c r="C17" s="620"/>
      <c r="D17" s="620"/>
      <c r="E17" s="655"/>
      <c r="F17" s="653">
        <f>+F15-F16</f>
        <v>23343104.665528983</v>
      </c>
      <c r="G17" s="654"/>
    </row>
    <row r="18" spans="3:9" ht="15.75" customHeight="1"/>
    <row r="19" spans="3:9" ht="15.75" customHeight="1"/>
    <row r="20" spans="3:9" ht="32.450000000000003" hidden="1" customHeight="1">
      <c r="C20" s="629" t="s">
        <v>0</v>
      </c>
      <c r="D20" s="630"/>
      <c r="E20" s="630"/>
      <c r="F20" s="631" t="s">
        <v>453</v>
      </c>
      <c r="G20" s="630"/>
      <c r="H20" s="631" t="s">
        <v>16</v>
      </c>
      <c r="I20" s="632"/>
    </row>
    <row r="21" spans="3:9" ht="68.25" hidden="1" customHeight="1">
      <c r="C21" s="644" t="s">
        <v>467</v>
      </c>
      <c r="D21" s="645"/>
      <c r="E21" s="645"/>
      <c r="F21" s="646">
        <f>+'BIENESTAR GYM Y SALUD alt b'!I17</f>
        <v>32275277.294967841</v>
      </c>
      <c r="G21" s="646"/>
      <c r="H21" s="633">
        <f>+F21/$F$23</f>
        <v>0.79871044485041398</v>
      </c>
      <c r="I21" s="634"/>
    </row>
    <row r="22" spans="3:9" ht="63" hidden="1" customHeight="1">
      <c r="C22" s="644" t="s">
        <v>439</v>
      </c>
      <c r="D22" s="645"/>
      <c r="E22" s="645"/>
      <c r="F22" s="646">
        <f>+'BIENESTAR GYM Y SALUD alt b'!I29</f>
        <v>8133956.7435484575</v>
      </c>
      <c r="G22" s="646"/>
      <c r="H22" s="633">
        <f>+F22/$F$23</f>
        <v>0.20128955514958607</v>
      </c>
      <c r="I22" s="634"/>
    </row>
    <row r="23" spans="3:9" ht="32.450000000000003" hidden="1" customHeight="1">
      <c r="C23" s="624" t="s">
        <v>420</v>
      </c>
      <c r="D23" s="625"/>
      <c r="E23" s="625"/>
      <c r="F23" s="626">
        <f>+F21+F22</f>
        <v>40409234.038516298</v>
      </c>
      <c r="G23" s="625"/>
      <c r="H23" s="635">
        <f>+H21+H22</f>
        <v>1</v>
      </c>
      <c r="I23" s="636"/>
    </row>
    <row r="24" spans="3:9" ht="32.450000000000003" hidden="1" customHeight="1">
      <c r="C24" s="490">
        <f>+'JUSTIFICACIO AIU% (2)'!J35</f>
        <v>0.16812765273315969</v>
      </c>
      <c r="D24" s="627" t="s">
        <v>1</v>
      </c>
      <c r="E24" s="643"/>
      <c r="F24" s="637">
        <f>+$F$23*C24</f>
        <v>6793909.6676406441</v>
      </c>
      <c r="G24" s="637"/>
      <c r="H24" s="637"/>
      <c r="I24" s="638"/>
    </row>
    <row r="25" spans="3:9" ht="32.450000000000003" hidden="1" customHeight="1">
      <c r="C25" s="488">
        <v>0.03</v>
      </c>
      <c r="D25" s="627" t="s">
        <v>2</v>
      </c>
      <c r="E25" s="627"/>
      <c r="F25" s="637">
        <f>+$F$23*C25</f>
        <v>1212277.0211554889</v>
      </c>
      <c r="G25" s="637"/>
      <c r="H25" s="637"/>
      <c r="I25" s="638"/>
    </row>
    <row r="26" spans="3:9" ht="32.450000000000003" hidden="1" customHeight="1">
      <c r="C26" s="488">
        <v>0.02</v>
      </c>
      <c r="D26" s="627" t="s">
        <v>3</v>
      </c>
      <c r="E26" s="627"/>
      <c r="F26" s="637">
        <f>+$F$23*C26</f>
        <v>808184.68077032594</v>
      </c>
      <c r="G26" s="637"/>
      <c r="H26" s="637"/>
      <c r="I26" s="638"/>
    </row>
    <row r="27" spans="3:9" ht="32.450000000000003" hidden="1" customHeight="1">
      <c r="C27" s="488">
        <v>0.19</v>
      </c>
      <c r="D27" s="489" t="s">
        <v>428</v>
      </c>
      <c r="E27" s="489"/>
      <c r="F27" s="637">
        <f>+C27*F25</f>
        <v>230332.63401954289</v>
      </c>
      <c r="G27" s="637"/>
      <c r="H27" s="637"/>
      <c r="I27" s="638"/>
    </row>
    <row r="28" spans="3:9" ht="32.450000000000003" hidden="1" customHeight="1">
      <c r="C28" s="491">
        <f>+C26+C25+C24</f>
        <v>0.2181276527331597</v>
      </c>
      <c r="D28" s="628" t="s">
        <v>4</v>
      </c>
      <c r="E28" s="628"/>
      <c r="F28" s="637">
        <f>+F26+F25+F24+F27</f>
        <v>9044704.0035860017</v>
      </c>
      <c r="G28" s="637"/>
      <c r="H28" s="637"/>
      <c r="I28" s="638"/>
    </row>
    <row r="29" spans="3:9" ht="32.450000000000003" hidden="1" customHeight="1">
      <c r="C29" s="641" t="s">
        <v>429</v>
      </c>
      <c r="D29" s="642"/>
      <c r="E29" s="642"/>
      <c r="F29" s="637">
        <f>+F28+F23</f>
        <v>49453938.0421023</v>
      </c>
      <c r="G29" s="637"/>
      <c r="H29" s="637"/>
      <c r="I29" s="638"/>
    </row>
    <row r="30" spans="3:9" ht="32.450000000000003" hidden="1" customHeight="1">
      <c r="C30" s="641" t="s">
        <v>430</v>
      </c>
      <c r="D30" s="642"/>
      <c r="E30" s="642"/>
      <c r="F30" s="637">
        <f>+F29*2%</f>
        <v>989078.760842046</v>
      </c>
      <c r="G30" s="637"/>
      <c r="H30" s="637"/>
      <c r="I30" s="638"/>
    </row>
    <row r="31" spans="3:9" ht="65.25" hidden="1" customHeight="1" thickBot="1">
      <c r="C31" s="649" t="s">
        <v>413</v>
      </c>
      <c r="D31" s="650"/>
      <c r="E31" s="650"/>
      <c r="F31" s="647">
        <f>+F30+F29</f>
        <v>50443016.802944347</v>
      </c>
      <c r="G31" s="647"/>
      <c r="H31" s="647"/>
      <c r="I31" s="648"/>
    </row>
    <row r="32" spans="3:9" ht="32.450000000000003" hidden="1" customHeight="1">
      <c r="C32" s="656" t="s">
        <v>468</v>
      </c>
      <c r="D32" s="657"/>
      <c r="E32" s="658"/>
      <c r="F32" s="662">
        <v>32480000</v>
      </c>
      <c r="G32" s="663"/>
      <c r="H32" s="663"/>
      <c r="I32" s="664"/>
    </row>
    <row r="33" spans="3:9" ht="32.450000000000003" hidden="1" customHeight="1" thickBot="1">
      <c r="C33" s="659"/>
      <c r="D33" s="660"/>
      <c r="E33" s="661"/>
      <c r="F33" s="665">
        <f>+F31-F32</f>
        <v>17963016.802944347</v>
      </c>
      <c r="G33" s="666"/>
      <c r="H33" s="666"/>
      <c r="I33" s="667"/>
    </row>
    <row r="34" spans="3:9" ht="15.75" hidden="1" customHeight="1"/>
    <row r="35" spans="3:9" ht="15.75" hidden="1" customHeight="1"/>
    <row r="36" spans="3:9" ht="15.75" hidden="1" customHeight="1"/>
    <row r="37" spans="3:9" ht="15.75" hidden="1" customHeight="1"/>
    <row r="38" spans="3:9" ht="15.75" hidden="1" customHeight="1"/>
    <row r="39" spans="3:9" ht="15.75" hidden="1" customHeight="1"/>
    <row r="40" spans="3:9" ht="15.75" hidden="1" customHeight="1"/>
    <row r="41" spans="3:9" ht="15.75" hidden="1" customHeight="1"/>
    <row r="42" spans="3:9" ht="15.75" hidden="1" customHeight="1"/>
    <row r="43" spans="3:9" ht="15.75" hidden="1" customHeight="1"/>
    <row r="44" spans="3:9" ht="15.75" hidden="1" customHeight="1"/>
    <row r="45" spans="3:9" ht="15.75" hidden="1" customHeight="1"/>
    <row r="46" spans="3:9" ht="15.75" hidden="1" customHeight="1"/>
    <row r="47" spans="3:9" ht="15.75" hidden="1" customHeight="1"/>
    <row r="48" spans="3:9" ht="15.75" hidden="1" customHeight="1"/>
    <row r="49" ht="15.75" hidden="1" customHeight="1"/>
    <row r="50" ht="15.75" hidden="1" customHeight="1"/>
    <row r="51" ht="15.75" hidden="1" customHeight="1"/>
    <row r="52" ht="15.75" hidden="1" customHeight="1"/>
    <row r="53" ht="15.75" hidden="1" customHeight="1"/>
    <row r="54" ht="15.75" hidden="1" customHeight="1"/>
    <row r="55" ht="15.75" hidden="1" customHeight="1"/>
    <row r="56" ht="15.75" hidden="1" customHeight="1"/>
    <row r="57" ht="15.75" hidden="1" customHeight="1"/>
    <row r="58" ht="15.75" hidden="1" customHeight="1"/>
    <row r="59" ht="15.75" hidden="1" customHeight="1"/>
    <row r="60" ht="15.75" hidden="1" customHeight="1"/>
    <row r="61" ht="15.75" hidden="1" customHeight="1"/>
    <row r="62" ht="15.75" hidden="1" customHeight="1"/>
    <row r="63" ht="15.75" hidden="1" customHeight="1"/>
    <row r="6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row r="95" ht="15.75" hidden="1" customHeight="1"/>
    <row r="96" ht="15.75" hidden="1" customHeight="1"/>
    <row r="97" ht="15.75" hidden="1" customHeight="1"/>
    <row r="98" ht="15.75" hidden="1" customHeight="1"/>
    <row r="99" ht="15.75" hidden="1" customHeight="1"/>
    <row r="100" ht="15.75" hidden="1" customHeight="1"/>
    <row r="101" ht="15.75" hidden="1" customHeight="1"/>
    <row r="102" ht="15.75" hidden="1" customHeight="1"/>
    <row r="103" ht="15.75" hidden="1" customHeight="1"/>
    <row r="104" ht="15.75" hidden="1" customHeight="1"/>
    <row r="105" ht="15.75" hidden="1" customHeight="1"/>
    <row r="106" ht="15.75" hidden="1" customHeight="1"/>
    <row r="107" ht="15.75" hidden="1" customHeight="1"/>
    <row r="108" ht="15.75" hidden="1" customHeight="1"/>
    <row r="109" ht="15.75" hidden="1" customHeight="1"/>
    <row r="110" ht="15.75" hidden="1" customHeight="1"/>
    <row r="111" ht="15.75" hidden="1" customHeight="1"/>
    <row r="112" ht="15.75" hidden="1" customHeight="1"/>
    <row r="113" ht="15.75" hidden="1"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sheetData>
  <mergeCells count="62">
    <mergeCell ref="C31:E31"/>
    <mergeCell ref="F31:I31"/>
    <mergeCell ref="C32:E33"/>
    <mergeCell ref="F32:I32"/>
    <mergeCell ref="F33:I33"/>
    <mergeCell ref="D28:E28"/>
    <mergeCell ref="F28:I28"/>
    <mergeCell ref="C29:E29"/>
    <mergeCell ref="F29:I29"/>
    <mergeCell ref="C30:E30"/>
    <mergeCell ref="F30:I30"/>
    <mergeCell ref="D25:E25"/>
    <mergeCell ref="F25:I25"/>
    <mergeCell ref="D26:E26"/>
    <mergeCell ref="F26:I26"/>
    <mergeCell ref="F27:I27"/>
    <mergeCell ref="C23:E23"/>
    <mergeCell ref="F23:G23"/>
    <mergeCell ref="H23:I23"/>
    <mergeCell ref="D24:E24"/>
    <mergeCell ref="F24:I24"/>
    <mergeCell ref="C21:E21"/>
    <mergeCell ref="F21:G21"/>
    <mergeCell ref="H21:I21"/>
    <mergeCell ref="C22:E22"/>
    <mergeCell ref="F22:G22"/>
    <mergeCell ref="H22:I22"/>
    <mergeCell ref="F15:I15"/>
    <mergeCell ref="C20:E20"/>
    <mergeCell ref="F20:G20"/>
    <mergeCell ref="H20:I20"/>
    <mergeCell ref="C14:E14"/>
    <mergeCell ref="C15:E15"/>
    <mergeCell ref="F16:G16"/>
    <mergeCell ref="F17:G17"/>
    <mergeCell ref="C16:E17"/>
    <mergeCell ref="C2:G2"/>
    <mergeCell ref="C13:E13"/>
    <mergeCell ref="D8:E8"/>
    <mergeCell ref="D9:E9"/>
    <mergeCell ref="C5:E5"/>
    <mergeCell ref="C6:E6"/>
    <mergeCell ref="F5:G5"/>
    <mergeCell ref="F6:G6"/>
    <mergeCell ref="F8:I8"/>
    <mergeCell ref="F9:I9"/>
    <mergeCell ref="F10:I10"/>
    <mergeCell ref="F11:I11"/>
    <mergeCell ref="F12:I12"/>
    <mergeCell ref="F13:I13"/>
    <mergeCell ref="J4:R14"/>
    <mergeCell ref="C7:E7"/>
    <mergeCell ref="F7:G7"/>
    <mergeCell ref="D10:E10"/>
    <mergeCell ref="D12:E12"/>
    <mergeCell ref="C4:E4"/>
    <mergeCell ref="F4:G4"/>
    <mergeCell ref="H4:I4"/>
    <mergeCell ref="H5:I5"/>
    <mergeCell ref="H6:I6"/>
    <mergeCell ref="H7:I7"/>
    <mergeCell ref="F14:I14"/>
  </mergeCells>
  <pageMargins left="0.7" right="0.7" top="0.75" bottom="0.75" header="0" footer="0"/>
  <pageSetup scale="5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30434-23C4-42DE-9CC3-420568AFF2E2}">
  <sheetPr>
    <pageSetUpPr fitToPage="1"/>
  </sheetPr>
  <dimension ref="D3:R49"/>
  <sheetViews>
    <sheetView zoomScale="85" zoomScaleNormal="85" workbookViewId="0">
      <selection activeCell="D5" sqref="D5:L5"/>
    </sheetView>
  </sheetViews>
  <sheetFormatPr baseColWidth="10" defaultColWidth="9.140625" defaultRowHeight="15"/>
  <cols>
    <col min="1" max="3" width="9.140625" style="327"/>
    <col min="4" max="4" width="25.5703125" style="327" customWidth="1"/>
    <col min="5" max="5" width="26.85546875" style="327" customWidth="1"/>
    <col min="6" max="6" width="14" style="327" customWidth="1"/>
    <col min="7" max="7" width="16.140625" style="327" customWidth="1"/>
    <col min="8" max="8" width="15" style="327" customWidth="1"/>
    <col min="9" max="9" width="16.5703125" style="327" customWidth="1"/>
    <col min="10" max="10" width="14.140625" style="327" customWidth="1"/>
    <col min="11" max="11" width="13.85546875" style="327" customWidth="1"/>
    <col min="12" max="12" width="20.42578125" style="327" customWidth="1"/>
    <col min="13" max="13" width="14.28515625" style="327" bestFit="1" customWidth="1"/>
    <col min="14" max="14" width="21.42578125" style="327" customWidth="1"/>
    <col min="15" max="15" width="17.85546875" style="327" bestFit="1" customWidth="1"/>
    <col min="16" max="16" width="10.140625" style="327" bestFit="1" customWidth="1"/>
    <col min="17" max="17" width="11.140625" style="327" customWidth="1"/>
    <col min="18" max="18" width="11.28515625" style="327" bestFit="1" customWidth="1"/>
    <col min="19" max="16384" width="9.140625" style="327"/>
  </cols>
  <sheetData>
    <row r="3" spans="4:18" ht="15.75" thickBot="1"/>
    <row r="4" spans="4:18" ht="51" customHeight="1" thickBot="1">
      <c r="D4" s="767" t="s">
        <v>368</v>
      </c>
      <c r="E4" s="768"/>
      <c r="F4" s="768"/>
      <c r="G4" s="768"/>
      <c r="H4" s="768"/>
      <c r="I4" s="768"/>
      <c r="J4" s="768"/>
      <c r="K4" s="768"/>
      <c r="L4" s="769"/>
      <c r="M4" s="328"/>
      <c r="N4" s="328"/>
    </row>
    <row r="5" spans="4:18" ht="31.5" customHeight="1" thickBot="1">
      <c r="D5" s="767" t="s">
        <v>369</v>
      </c>
      <c r="E5" s="768"/>
      <c r="F5" s="768"/>
      <c r="G5" s="768"/>
      <c r="H5" s="768"/>
      <c r="I5" s="768"/>
      <c r="J5" s="768"/>
      <c r="K5" s="768"/>
      <c r="L5" s="769"/>
      <c r="M5" s="328"/>
      <c r="N5" s="328"/>
    </row>
    <row r="6" spans="4:18" ht="16.5" thickBot="1">
      <c r="D6" s="758" t="s">
        <v>370</v>
      </c>
      <c r="E6" s="759"/>
      <c r="F6" s="759"/>
      <c r="G6" s="759"/>
      <c r="H6" s="759"/>
      <c r="I6" s="759"/>
      <c r="J6" s="759"/>
      <c r="K6" s="759"/>
      <c r="L6" s="760"/>
      <c r="M6" s="328"/>
      <c r="N6" s="328"/>
    </row>
    <row r="7" spans="4:18" ht="26.25" thickBot="1">
      <c r="D7" s="329" t="s">
        <v>371</v>
      </c>
      <c r="E7" s="330" t="s">
        <v>372</v>
      </c>
      <c r="F7" s="330" t="s">
        <v>67</v>
      </c>
      <c r="G7" s="330" t="s">
        <v>373</v>
      </c>
      <c r="H7" s="330" t="s">
        <v>66</v>
      </c>
      <c r="I7" s="330" t="s">
        <v>67</v>
      </c>
      <c r="J7" s="330" t="s">
        <v>60</v>
      </c>
      <c r="K7" s="331" t="s">
        <v>374</v>
      </c>
      <c r="L7" s="332" t="s">
        <v>68</v>
      </c>
      <c r="M7" s="770" t="s">
        <v>375</v>
      </c>
      <c r="N7" s="771"/>
      <c r="O7" s="333" t="s">
        <v>376</v>
      </c>
      <c r="P7" s="334" t="s">
        <v>377</v>
      </c>
      <c r="Q7" s="334" t="s">
        <v>378</v>
      </c>
      <c r="R7" s="334" t="s">
        <v>59</v>
      </c>
    </row>
    <row r="8" spans="4:18" ht="15.75" thickBot="1">
      <c r="D8" s="772" t="s">
        <v>379</v>
      </c>
      <c r="E8" s="773"/>
      <c r="F8" s="773"/>
      <c r="G8" s="773"/>
      <c r="H8" s="773"/>
      <c r="I8" s="773"/>
      <c r="J8" s="335"/>
      <c r="K8" s="335"/>
      <c r="L8" s="335"/>
      <c r="M8" s="336" t="s">
        <v>380</v>
      </c>
      <c r="N8" s="336" t="s">
        <v>381</v>
      </c>
      <c r="O8" s="337">
        <v>0.125</v>
      </c>
      <c r="P8" s="337">
        <v>4.3499999999999997E-2</v>
      </c>
      <c r="Q8" s="338">
        <v>0.16</v>
      </c>
      <c r="R8" s="337">
        <f>+Q8+P8+O8</f>
        <v>0.32850000000000001</v>
      </c>
    </row>
    <row r="9" spans="4:18" ht="31.5" customHeight="1">
      <c r="D9" s="438" t="s">
        <v>382</v>
      </c>
      <c r="E9" s="438" t="s">
        <v>383</v>
      </c>
      <c r="F9" s="438">
        <v>1</v>
      </c>
      <c r="G9" s="343">
        <v>0.5</v>
      </c>
      <c r="H9" s="438" t="s">
        <v>384</v>
      </c>
      <c r="I9" s="344">
        <v>1.5</v>
      </c>
      <c r="J9" s="492">
        <v>2829388</v>
      </c>
      <c r="K9" s="766">
        <v>1</v>
      </c>
      <c r="L9" s="454">
        <f>+(J9*I9*G9*F9)*K9</f>
        <v>2122041</v>
      </c>
      <c r="M9" s="339">
        <f>+L9*40%</f>
        <v>848816.4</v>
      </c>
      <c r="N9" s="340">
        <v>1000000</v>
      </c>
      <c r="O9" s="341">
        <f>+O8*$N$9</f>
        <v>125000</v>
      </c>
      <c r="P9" s="341">
        <f t="shared" ref="P9:Q9" si="0">+P8*$N$9</f>
        <v>43500</v>
      </c>
      <c r="Q9" s="341">
        <f t="shared" si="0"/>
        <v>160000</v>
      </c>
      <c r="R9" s="341">
        <f>+O9+P9+Q9</f>
        <v>328500</v>
      </c>
    </row>
    <row r="10" spans="4:18" ht="44.25" customHeight="1">
      <c r="D10" s="438" t="s">
        <v>385</v>
      </c>
      <c r="E10" s="438" t="s">
        <v>386</v>
      </c>
      <c r="F10" s="438">
        <v>1</v>
      </c>
      <c r="G10" s="343">
        <v>1</v>
      </c>
      <c r="H10" s="438" t="s">
        <v>384</v>
      </c>
      <c r="I10" s="344">
        <v>1.5</v>
      </c>
      <c r="J10" s="345">
        <v>1916353</v>
      </c>
      <c r="K10" s="766"/>
      <c r="L10" s="454">
        <f>+(J10*I10*G10*F10)*K9</f>
        <v>2874529.5</v>
      </c>
      <c r="M10" s="339">
        <f>+L10*40%</f>
        <v>1149811.8</v>
      </c>
      <c r="N10" s="340">
        <f>+N9</f>
        <v>1000000</v>
      </c>
      <c r="O10" s="341">
        <f>+O8*$N$10</f>
        <v>125000</v>
      </c>
      <c r="P10" s="341">
        <f t="shared" ref="P10:Q10" si="1">+P8*$N$10</f>
        <v>43500</v>
      </c>
      <c r="Q10" s="341">
        <f t="shared" si="1"/>
        <v>160000</v>
      </c>
      <c r="R10" s="341">
        <f>+O10+P10+Q10</f>
        <v>328500</v>
      </c>
    </row>
    <row r="11" spans="4:18" ht="49.5" customHeight="1">
      <c r="D11" s="438" t="s">
        <v>387</v>
      </c>
      <c r="E11" s="438" t="s">
        <v>388</v>
      </c>
      <c r="F11" s="438">
        <v>1</v>
      </c>
      <c r="G11" s="343" t="s">
        <v>389</v>
      </c>
      <c r="H11" s="438" t="s">
        <v>353</v>
      </c>
      <c r="I11" s="344">
        <v>1</v>
      </c>
      <c r="J11" s="455">
        <f>+R10</f>
        <v>328500</v>
      </c>
      <c r="K11" s="456">
        <f>+R12</f>
        <v>0.13149018912071789</v>
      </c>
      <c r="L11" s="455">
        <f>+R11</f>
        <v>657000</v>
      </c>
      <c r="M11" s="748" t="s">
        <v>390</v>
      </c>
      <c r="N11" s="749"/>
      <c r="O11" s="749"/>
      <c r="P11" s="749"/>
      <c r="Q11" s="749"/>
      <c r="R11" s="347">
        <f>+R10+R9</f>
        <v>657000</v>
      </c>
    </row>
    <row r="12" spans="4:18" ht="16.5" thickBot="1">
      <c r="D12" s="750"/>
      <c r="E12" s="751"/>
      <c r="F12" s="751"/>
      <c r="G12" s="751"/>
      <c r="H12" s="751"/>
      <c r="I12" s="751"/>
      <c r="J12" s="752"/>
      <c r="K12" s="753">
        <f>+L9+L10+L11</f>
        <v>5653570.5</v>
      </c>
      <c r="L12" s="754"/>
      <c r="M12" s="749" t="s">
        <v>391</v>
      </c>
      <c r="N12" s="749"/>
      <c r="O12" s="749"/>
      <c r="P12" s="749"/>
      <c r="Q12" s="749"/>
      <c r="R12" s="348">
        <f>+R11/(L9+L10)</f>
        <v>0.13149018912071789</v>
      </c>
    </row>
    <row r="13" spans="4:18" ht="15.75" thickBot="1">
      <c r="D13" s="755"/>
      <c r="E13" s="756"/>
      <c r="F13" s="756"/>
      <c r="G13" s="756"/>
      <c r="H13" s="756"/>
      <c r="I13" s="756"/>
      <c r="J13" s="756"/>
      <c r="K13" s="756"/>
      <c r="L13" s="757"/>
      <c r="M13" s="328"/>
      <c r="N13" s="328"/>
    </row>
    <row r="14" spans="4:18" ht="16.5" thickBot="1">
      <c r="D14" s="758" t="s">
        <v>392</v>
      </c>
      <c r="E14" s="759"/>
      <c r="F14" s="759"/>
      <c r="G14" s="759"/>
      <c r="H14" s="759"/>
      <c r="I14" s="759"/>
      <c r="J14" s="759"/>
      <c r="K14" s="759"/>
      <c r="L14" s="760"/>
    </row>
    <row r="15" spans="4:18" ht="24.75" customHeight="1" thickBot="1">
      <c r="D15" s="733" t="s">
        <v>393</v>
      </c>
      <c r="E15" s="734"/>
      <c r="F15" s="734"/>
      <c r="G15" s="735"/>
      <c r="H15" s="349" t="s">
        <v>394</v>
      </c>
      <c r="I15" s="349" t="s">
        <v>67</v>
      </c>
      <c r="J15" s="349" t="s">
        <v>395</v>
      </c>
      <c r="K15" s="349" t="s">
        <v>396</v>
      </c>
      <c r="L15" s="349" t="s">
        <v>68</v>
      </c>
    </row>
    <row r="16" spans="4:18" ht="41.25" customHeight="1">
      <c r="D16" s="736" t="s">
        <v>397</v>
      </c>
      <c r="E16" s="737"/>
      <c r="F16" s="737"/>
      <c r="G16" s="737"/>
      <c r="H16" s="350" t="s">
        <v>398</v>
      </c>
      <c r="I16" s="351">
        <v>1</v>
      </c>
      <c r="J16" s="350">
        <f>+I9</f>
        <v>1.5</v>
      </c>
      <c r="K16" s="352">
        <v>200000</v>
      </c>
      <c r="L16" s="353">
        <f t="shared" ref="L16" si="2">+K16*J16*I16</f>
        <v>300000</v>
      </c>
    </row>
    <row r="17" spans="4:13" ht="15.75" customHeight="1" thickBot="1">
      <c r="D17" s="761" t="s">
        <v>399</v>
      </c>
      <c r="E17" s="762"/>
      <c r="F17" s="763"/>
      <c r="G17" s="763"/>
      <c r="H17" s="763"/>
      <c r="I17" s="763"/>
      <c r="J17" s="763"/>
      <c r="K17" s="764">
        <f>+L16</f>
        <v>300000</v>
      </c>
      <c r="L17" s="765"/>
    </row>
    <row r="18" spans="4:13" ht="15.75" customHeight="1" thickBot="1">
      <c r="D18" s="710"/>
      <c r="E18" s="711"/>
      <c r="F18" s="711"/>
      <c r="G18" s="711"/>
      <c r="H18" s="711"/>
      <c r="I18" s="711"/>
      <c r="J18" s="711"/>
      <c r="K18" s="711"/>
      <c r="L18" s="712"/>
    </row>
    <row r="19" spans="4:13" ht="16.5" thickBot="1">
      <c r="D19" s="713" t="s">
        <v>400</v>
      </c>
      <c r="E19" s="714"/>
      <c r="F19" s="714"/>
      <c r="G19" s="714"/>
      <c r="H19" s="714"/>
      <c r="I19" s="714"/>
      <c r="J19" s="714"/>
      <c r="K19" s="714"/>
      <c r="L19" s="715"/>
    </row>
    <row r="20" spans="4:13" ht="29.25" customHeight="1" thickBot="1">
      <c r="D20" s="733" t="s">
        <v>393</v>
      </c>
      <c r="E20" s="734"/>
      <c r="F20" s="734"/>
      <c r="G20" s="735"/>
      <c r="H20" s="354" t="s">
        <v>394</v>
      </c>
      <c r="I20" s="355" t="s">
        <v>67</v>
      </c>
      <c r="J20" s="733" t="s">
        <v>401</v>
      </c>
      <c r="K20" s="735"/>
      <c r="L20" s="355" t="s">
        <v>68</v>
      </c>
    </row>
    <row r="21" spans="4:13" ht="30.75" customHeight="1">
      <c r="D21" s="736" t="s">
        <v>402</v>
      </c>
      <c r="E21" s="737"/>
      <c r="F21" s="737"/>
      <c r="G21" s="737"/>
      <c r="H21" s="350" t="s">
        <v>16</v>
      </c>
      <c r="I21" s="356">
        <v>0.01</v>
      </c>
      <c r="J21" s="738">
        <f>+RESUMEN!F7</f>
        <v>43712998.28447099</v>
      </c>
      <c r="K21" s="739"/>
      <c r="L21" s="353">
        <f>+J21*I21</f>
        <v>437129.98284470988</v>
      </c>
    </row>
    <row r="22" spans="4:13" ht="30.75" customHeight="1">
      <c r="D22" s="744" t="s">
        <v>403</v>
      </c>
      <c r="E22" s="745"/>
      <c r="F22" s="745"/>
      <c r="G22" s="745"/>
      <c r="H22" s="342" t="s">
        <v>16</v>
      </c>
      <c r="I22" s="357">
        <v>0.05</v>
      </c>
      <c r="J22" s="740"/>
      <c r="K22" s="741"/>
      <c r="L22" s="358">
        <f>+J21*I22</f>
        <v>2185649.9142235494</v>
      </c>
    </row>
    <row r="23" spans="4:13" ht="30.75" customHeight="1" thickBot="1">
      <c r="D23" s="746" t="s">
        <v>404</v>
      </c>
      <c r="E23" s="747"/>
      <c r="F23" s="747"/>
      <c r="G23" s="747"/>
      <c r="H23" s="346" t="s">
        <v>16</v>
      </c>
      <c r="I23" s="359">
        <v>1E-4</v>
      </c>
      <c r="J23" s="742"/>
      <c r="K23" s="743"/>
      <c r="L23" s="360">
        <f>+J21*I23</f>
        <v>4371.2998284470996</v>
      </c>
    </row>
    <row r="24" spans="4:13" ht="16.5" thickBot="1">
      <c r="D24" s="705" t="s">
        <v>405</v>
      </c>
      <c r="E24" s="706"/>
      <c r="F24" s="707"/>
      <c r="G24" s="707"/>
      <c r="H24" s="707"/>
      <c r="I24" s="707"/>
      <c r="J24" s="707"/>
      <c r="K24" s="708">
        <f>+L23+L22+L21</f>
        <v>2627151.1968967062</v>
      </c>
      <c r="L24" s="709"/>
      <c r="M24" s="361"/>
    </row>
    <row r="25" spans="4:13" ht="15.75" thickBot="1">
      <c r="D25" s="710"/>
      <c r="E25" s="711"/>
      <c r="F25" s="711"/>
      <c r="G25" s="711"/>
      <c r="H25" s="711"/>
      <c r="I25" s="711"/>
      <c r="J25" s="711"/>
      <c r="K25" s="711"/>
      <c r="L25" s="712"/>
    </row>
    <row r="26" spans="4:13" ht="16.5" thickBot="1">
      <c r="D26" s="713" t="s">
        <v>406</v>
      </c>
      <c r="E26" s="714"/>
      <c r="F26" s="714"/>
      <c r="G26" s="714"/>
      <c r="H26" s="714"/>
      <c r="I26" s="714"/>
      <c r="J26" s="714"/>
      <c r="K26" s="714"/>
      <c r="L26" s="715"/>
    </row>
    <row r="27" spans="4:13" ht="15.75" customHeight="1">
      <c r="D27" s="716" t="s">
        <v>393</v>
      </c>
      <c r="E27" s="717"/>
      <c r="F27" s="717"/>
      <c r="G27" s="717"/>
      <c r="H27" s="362" t="s">
        <v>394</v>
      </c>
      <c r="I27" s="362" t="s">
        <v>67</v>
      </c>
      <c r="J27" s="362" t="s">
        <v>395</v>
      </c>
      <c r="K27" s="362" t="s">
        <v>396</v>
      </c>
      <c r="L27" s="363" t="s">
        <v>68</v>
      </c>
    </row>
    <row r="28" spans="4:13">
      <c r="D28" s="701" t="s">
        <v>3</v>
      </c>
      <c r="E28" s="702"/>
      <c r="F28" s="702"/>
      <c r="G28" s="702"/>
      <c r="H28" s="364" t="s">
        <v>16</v>
      </c>
      <c r="I28" s="365">
        <v>0.02</v>
      </c>
      <c r="J28" s="364">
        <v>1</v>
      </c>
      <c r="K28" s="718">
        <f>+J21</f>
        <v>43712998.28447099</v>
      </c>
      <c r="L28" s="366">
        <f>+K28*I28</f>
        <v>874259.96568941977</v>
      </c>
    </row>
    <row r="29" spans="4:13" ht="15.75" thickBot="1">
      <c r="D29" s="720" t="s">
        <v>2</v>
      </c>
      <c r="E29" s="719"/>
      <c r="F29" s="719"/>
      <c r="G29" s="719"/>
      <c r="H29" s="367" t="s">
        <v>16</v>
      </c>
      <c r="I29" s="368">
        <v>0.03</v>
      </c>
      <c r="J29" s="367">
        <v>1</v>
      </c>
      <c r="K29" s="719"/>
      <c r="L29" s="369">
        <f>+K28*I29</f>
        <v>1311389.9485341297</v>
      </c>
    </row>
    <row r="30" spans="4:13" ht="15.75" thickBot="1">
      <c r="D30" s="721" t="s">
        <v>407</v>
      </c>
      <c r="E30" s="722"/>
      <c r="F30" s="722"/>
      <c r="G30" s="722"/>
      <c r="H30" s="722"/>
      <c r="I30" s="722"/>
      <c r="J30" s="723"/>
      <c r="K30" s="724">
        <f>+L29+L28</f>
        <v>2185649.9142235494</v>
      </c>
      <c r="L30" s="725"/>
      <c r="M30" s="361"/>
    </row>
    <row r="31" spans="4:13" ht="15.75" thickBot="1">
      <c r="D31" s="726"/>
      <c r="E31" s="727"/>
      <c r="F31" s="727"/>
      <c r="G31" s="727"/>
      <c r="H31" s="727"/>
      <c r="I31" s="727"/>
      <c r="J31" s="727"/>
      <c r="K31" s="727"/>
      <c r="L31" s="728"/>
    </row>
    <row r="32" spans="4:13" ht="18.75">
      <c r="D32" s="729" t="s">
        <v>408</v>
      </c>
      <c r="E32" s="730"/>
      <c r="F32" s="730"/>
      <c r="G32" s="730"/>
      <c r="H32" s="730"/>
      <c r="I32" s="730"/>
      <c r="J32" s="730"/>
      <c r="K32" s="731">
        <f>+J21</f>
        <v>43712998.28447099</v>
      </c>
      <c r="L32" s="732"/>
    </row>
    <row r="33" spans="4:15">
      <c r="D33" s="701" t="s">
        <v>409</v>
      </c>
      <c r="E33" s="702"/>
      <c r="F33" s="702"/>
      <c r="G33" s="702"/>
      <c r="H33" s="702"/>
      <c r="I33" s="702"/>
      <c r="J33" s="370">
        <v>0.19</v>
      </c>
      <c r="K33" s="703">
        <f>+J33*L29</f>
        <v>249164.09022148463</v>
      </c>
      <c r="L33" s="704"/>
    </row>
    <row r="34" spans="4:15">
      <c r="D34" s="692" t="s">
        <v>410</v>
      </c>
      <c r="E34" s="693"/>
      <c r="F34" s="693"/>
      <c r="G34" s="693"/>
      <c r="H34" s="693"/>
      <c r="I34" s="693"/>
      <c r="J34" s="371">
        <f>+K34/K32</f>
        <v>0.19629680034885644</v>
      </c>
      <c r="K34" s="694">
        <f>+K24+K17+K12</f>
        <v>8580721.6968967058</v>
      </c>
      <c r="L34" s="695"/>
    </row>
    <row r="35" spans="4:15" ht="18.75">
      <c r="D35" s="696" t="s">
        <v>411</v>
      </c>
      <c r="E35" s="697"/>
      <c r="F35" s="697"/>
      <c r="G35" s="697"/>
      <c r="H35" s="697"/>
      <c r="I35" s="698"/>
      <c r="J35" s="372">
        <f>+J34+I29+I28</f>
        <v>0.24629680034885643</v>
      </c>
      <c r="K35" s="699">
        <f>+K34+K30+K33</f>
        <v>11015535.701341741</v>
      </c>
      <c r="L35" s="700"/>
    </row>
    <row r="36" spans="4:15" ht="19.5" thickBot="1">
      <c r="D36" s="677" t="s">
        <v>411</v>
      </c>
      <c r="E36" s="678"/>
      <c r="F36" s="678"/>
      <c r="G36" s="678"/>
      <c r="H36" s="678"/>
      <c r="I36" s="678"/>
      <c r="J36" s="678"/>
      <c r="K36" s="679">
        <f>+K35+K32</f>
        <v>54728533.985812731</v>
      </c>
      <c r="L36" s="680"/>
      <c r="O36" s="361"/>
    </row>
    <row r="37" spans="4:15" ht="19.5" thickBot="1">
      <c r="D37" s="677" t="s">
        <v>412</v>
      </c>
      <c r="E37" s="678"/>
      <c r="F37" s="678"/>
      <c r="G37" s="678"/>
      <c r="H37" s="678"/>
      <c r="I37" s="678"/>
      <c r="J37" s="678"/>
      <c r="K37" s="679">
        <f>+K36*2%</f>
        <v>1094570.6797162546</v>
      </c>
      <c r="L37" s="680"/>
      <c r="O37" s="361"/>
    </row>
    <row r="38" spans="4:15" ht="19.5" thickBot="1">
      <c r="D38" s="677" t="s">
        <v>413</v>
      </c>
      <c r="E38" s="678"/>
      <c r="F38" s="678"/>
      <c r="G38" s="678"/>
      <c r="H38" s="678"/>
      <c r="I38" s="678"/>
      <c r="J38" s="678"/>
      <c r="K38" s="679">
        <f>+K37+K36</f>
        <v>55823104.665528983</v>
      </c>
      <c r="L38" s="680"/>
      <c r="O38" s="361"/>
    </row>
    <row r="39" spans="4:15" ht="16.5" thickBot="1">
      <c r="D39" s="681"/>
      <c r="E39" s="682"/>
      <c r="F39" s="682"/>
      <c r="G39" s="682"/>
      <c r="H39" s="682"/>
      <c r="I39" s="682"/>
      <c r="J39" s="682"/>
      <c r="K39" s="682"/>
      <c r="L39" s="683"/>
      <c r="O39" s="361"/>
    </row>
    <row r="40" spans="4:15">
      <c r="D40" s="668" t="s">
        <v>414</v>
      </c>
      <c r="E40" s="684"/>
      <c r="F40" s="684"/>
      <c r="G40" s="684"/>
      <c r="H40" s="684"/>
      <c r="I40" s="684"/>
      <c r="J40" s="684"/>
      <c r="K40" s="684"/>
      <c r="L40" s="685"/>
    </row>
    <row r="41" spans="4:15" ht="23.25" customHeight="1">
      <c r="D41" s="686"/>
      <c r="E41" s="687"/>
      <c r="F41" s="687"/>
      <c r="G41" s="687"/>
      <c r="H41" s="687"/>
      <c r="I41" s="687"/>
      <c r="J41" s="687"/>
      <c r="K41" s="687"/>
      <c r="L41" s="688"/>
    </row>
    <row r="42" spans="4:15" ht="20.25" customHeight="1">
      <c r="D42" s="686"/>
      <c r="E42" s="687"/>
      <c r="F42" s="687"/>
      <c r="G42" s="687"/>
      <c r="H42" s="687"/>
      <c r="I42" s="687"/>
      <c r="J42" s="687"/>
      <c r="K42" s="687"/>
      <c r="L42" s="688"/>
    </row>
    <row r="43" spans="4:15" ht="18" customHeight="1" thickBot="1">
      <c r="D43" s="689"/>
      <c r="E43" s="690"/>
      <c r="F43" s="690"/>
      <c r="G43" s="690"/>
      <c r="H43" s="690"/>
      <c r="I43" s="690"/>
      <c r="J43" s="690"/>
      <c r="K43" s="690"/>
      <c r="L43" s="691"/>
    </row>
    <row r="44" spans="4:15">
      <c r="D44" s="668" t="s">
        <v>415</v>
      </c>
      <c r="E44" s="669"/>
      <c r="F44" s="669"/>
      <c r="G44" s="669"/>
      <c r="H44" s="669"/>
      <c r="I44" s="669"/>
      <c r="J44" s="669"/>
      <c r="K44" s="669"/>
      <c r="L44" s="670"/>
    </row>
    <row r="45" spans="4:15">
      <c r="D45" s="671"/>
      <c r="E45" s="672"/>
      <c r="F45" s="672"/>
      <c r="G45" s="672"/>
      <c r="H45" s="672"/>
      <c r="I45" s="672"/>
      <c r="J45" s="672"/>
      <c r="K45" s="672"/>
      <c r="L45" s="673"/>
    </row>
    <row r="46" spans="4:15" ht="31.5" customHeight="1">
      <c r="D46" s="671"/>
      <c r="E46" s="672"/>
      <c r="F46" s="672"/>
      <c r="G46" s="672"/>
      <c r="H46" s="672"/>
      <c r="I46" s="672"/>
      <c r="J46" s="672"/>
      <c r="K46" s="672"/>
      <c r="L46" s="673"/>
    </row>
    <row r="47" spans="4:15">
      <c r="D47" s="671"/>
      <c r="E47" s="672"/>
      <c r="F47" s="672"/>
      <c r="G47" s="672"/>
      <c r="H47" s="672"/>
      <c r="I47" s="672"/>
      <c r="J47" s="672"/>
      <c r="K47" s="672"/>
      <c r="L47" s="673"/>
    </row>
    <row r="48" spans="4:15" ht="15.75" thickBot="1">
      <c r="D48" s="674"/>
      <c r="E48" s="675"/>
      <c r="F48" s="675"/>
      <c r="G48" s="675"/>
      <c r="H48" s="675"/>
      <c r="I48" s="675"/>
      <c r="J48" s="675"/>
      <c r="K48" s="675"/>
      <c r="L48" s="676"/>
    </row>
    <row r="49" spans="4:4">
      <c r="D49" s="373"/>
    </row>
  </sheetData>
  <mergeCells count="52">
    <mergeCell ref="K9:K10"/>
    <mergeCell ref="D4:L4"/>
    <mergeCell ref="D5:L5"/>
    <mergeCell ref="D6:L6"/>
    <mergeCell ref="M7:N7"/>
    <mergeCell ref="D8:I8"/>
    <mergeCell ref="D19:L19"/>
    <mergeCell ref="M11:Q11"/>
    <mergeCell ref="D12:J12"/>
    <mergeCell ref="K12:L12"/>
    <mergeCell ref="M12:Q12"/>
    <mergeCell ref="D13:L13"/>
    <mergeCell ref="D14:L14"/>
    <mergeCell ref="D15:G15"/>
    <mergeCell ref="D16:G16"/>
    <mergeCell ref="D17:J17"/>
    <mergeCell ref="K17:L17"/>
    <mergeCell ref="D18:L18"/>
    <mergeCell ref="D20:G20"/>
    <mergeCell ref="J20:K20"/>
    <mergeCell ref="D21:G21"/>
    <mergeCell ref="J21:K23"/>
    <mergeCell ref="D22:G22"/>
    <mergeCell ref="D23:G23"/>
    <mergeCell ref="D33:I33"/>
    <mergeCell ref="K33:L33"/>
    <mergeCell ref="D24:J24"/>
    <mergeCell ref="K24:L24"/>
    <mergeCell ref="D25:L25"/>
    <mergeCell ref="D26:L26"/>
    <mergeCell ref="D27:G27"/>
    <mergeCell ref="D28:G28"/>
    <mergeCell ref="K28:K29"/>
    <mergeCell ref="D29:G29"/>
    <mergeCell ref="D30:J30"/>
    <mergeCell ref="K30:L30"/>
    <mergeCell ref="D31:L31"/>
    <mergeCell ref="D32:J32"/>
    <mergeCell ref="K32:L32"/>
    <mergeCell ref="D34:I34"/>
    <mergeCell ref="K34:L34"/>
    <mergeCell ref="D35:I35"/>
    <mergeCell ref="K35:L35"/>
    <mergeCell ref="D36:J36"/>
    <mergeCell ref="K36:L36"/>
    <mergeCell ref="D44:L48"/>
    <mergeCell ref="D37:J37"/>
    <mergeCell ref="K37:L37"/>
    <mergeCell ref="D38:J38"/>
    <mergeCell ref="K38:L38"/>
    <mergeCell ref="D39:L39"/>
    <mergeCell ref="D40:L43"/>
  </mergeCells>
  <pageMargins left="0.7" right="0.7" top="0.75" bottom="0.75" header="0.3" footer="0.3"/>
  <pageSetup scale="4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3"/>
  <sheetViews>
    <sheetView showGridLines="0" topLeftCell="A15" zoomScale="55" zoomScaleNormal="55" workbookViewId="0">
      <selection activeCell="G21" sqref="G21"/>
    </sheetView>
  </sheetViews>
  <sheetFormatPr baseColWidth="10" defaultColWidth="14.42578125" defaultRowHeight="15" customHeight="1"/>
  <cols>
    <col min="1" max="2" width="10.7109375" customWidth="1"/>
    <col min="3" max="3" width="40.5703125" customWidth="1"/>
    <col min="4" max="4" width="7.85546875" customWidth="1"/>
    <col min="5" max="5" width="42.28515625" customWidth="1"/>
    <col min="6" max="6" width="15" customWidth="1"/>
    <col min="7" max="7" width="30.7109375" customWidth="1"/>
    <col min="8" max="8" width="28.85546875" customWidth="1"/>
    <col min="9" max="9" width="26.28515625" customWidth="1"/>
    <col min="10" max="10" width="27.7109375" customWidth="1"/>
    <col min="11" max="11" width="24.85546875" customWidth="1"/>
    <col min="12" max="12" width="18" customWidth="1"/>
    <col min="13" max="13" width="20.42578125" customWidth="1"/>
    <col min="14" max="14" width="27.7109375" customWidth="1"/>
    <col min="15" max="16" width="27.140625" customWidth="1"/>
    <col min="17" max="17" width="13" customWidth="1"/>
    <col min="18" max="18" width="28.7109375" customWidth="1"/>
    <col min="19" max="19" width="10.7109375" customWidth="1"/>
    <col min="20" max="20" width="12.85546875" customWidth="1"/>
    <col min="21" max="21" width="23.5703125" customWidth="1"/>
    <col min="22" max="22" width="17.85546875" customWidth="1"/>
    <col min="23" max="23" width="25" customWidth="1"/>
    <col min="24" max="24" width="11.7109375" bestFit="1" customWidth="1"/>
    <col min="25" max="26" width="10.7109375" customWidth="1"/>
  </cols>
  <sheetData>
    <row r="1" spans="1:26">
      <c r="A1" s="4"/>
      <c r="B1" s="4"/>
      <c r="C1" s="4"/>
      <c r="D1" s="4"/>
      <c r="E1" s="4"/>
      <c r="F1" s="5"/>
      <c r="G1" s="5"/>
      <c r="H1" s="4"/>
      <c r="I1" s="4"/>
      <c r="J1" s="4"/>
      <c r="K1" s="4"/>
      <c r="L1" s="4"/>
      <c r="M1" s="4"/>
      <c r="N1" s="4"/>
      <c r="O1" s="4"/>
      <c r="P1" s="4"/>
      <c r="Q1" s="4"/>
      <c r="R1" s="4"/>
      <c r="S1" s="4"/>
      <c r="T1" s="4"/>
      <c r="U1" s="4"/>
      <c r="V1" s="4"/>
      <c r="W1" s="4"/>
      <c r="X1" s="4"/>
      <c r="Y1" s="4"/>
      <c r="Z1" s="4"/>
    </row>
    <row r="2" spans="1:26">
      <c r="A2" s="4"/>
      <c r="B2" s="802" t="s">
        <v>5</v>
      </c>
      <c r="C2" s="803"/>
      <c r="D2" s="804"/>
      <c r="E2" s="808" t="s">
        <v>6</v>
      </c>
      <c r="F2" s="809"/>
      <c r="G2" s="810"/>
      <c r="H2" s="4"/>
      <c r="I2" s="4"/>
      <c r="J2" s="4"/>
      <c r="K2" s="4"/>
      <c r="L2" s="4"/>
      <c r="M2" s="4"/>
      <c r="N2" s="4"/>
      <c r="O2" s="4"/>
      <c r="P2" s="4"/>
      <c r="Q2" s="4"/>
      <c r="R2" s="4"/>
      <c r="S2" s="4"/>
      <c r="T2" s="4"/>
      <c r="U2" s="4"/>
      <c r="V2" s="4"/>
      <c r="W2" s="4"/>
      <c r="X2" s="4"/>
      <c r="Y2" s="4"/>
      <c r="Z2" s="4"/>
    </row>
    <row r="3" spans="1:26">
      <c r="A3" s="4"/>
      <c r="B3" s="805"/>
      <c r="C3" s="806"/>
      <c r="D3" s="807"/>
      <c r="E3" s="808" t="s">
        <v>7</v>
      </c>
      <c r="F3" s="809"/>
      <c r="G3" s="810"/>
      <c r="H3" s="4"/>
      <c r="I3" s="4"/>
      <c r="J3" s="4"/>
      <c r="K3" s="4"/>
      <c r="L3" s="4"/>
      <c r="M3" s="4"/>
      <c r="N3" s="4"/>
      <c r="O3" s="4"/>
      <c r="P3" s="4"/>
      <c r="Q3" s="4"/>
      <c r="R3" s="4"/>
      <c r="S3" s="4"/>
      <c r="T3" s="4"/>
      <c r="U3" s="4"/>
      <c r="V3" s="4"/>
      <c r="W3" s="4"/>
      <c r="X3" s="4"/>
      <c r="Y3" s="4"/>
      <c r="Z3" s="4"/>
    </row>
    <row r="4" spans="1:26" ht="54" customHeight="1">
      <c r="A4" s="4"/>
      <c r="B4" s="811" t="s">
        <v>8</v>
      </c>
      <c r="C4" s="813" t="s">
        <v>9</v>
      </c>
      <c r="D4" s="803"/>
      <c r="E4" s="804"/>
      <c r="F4" s="814" t="s">
        <v>10</v>
      </c>
      <c r="G4" s="815" t="s">
        <v>11</v>
      </c>
      <c r="H4" s="4"/>
      <c r="I4" s="4"/>
      <c r="J4" s="4"/>
      <c r="K4" s="4"/>
      <c r="L4" s="4"/>
      <c r="M4" s="4"/>
      <c r="N4" s="4"/>
      <c r="O4" s="4"/>
      <c r="P4" s="4"/>
      <c r="Q4" s="4"/>
      <c r="R4" s="4"/>
      <c r="S4" s="4"/>
      <c r="T4" s="4"/>
      <c r="U4" s="4"/>
      <c r="V4" s="4"/>
      <c r="W4" s="4"/>
      <c r="X4" s="4"/>
      <c r="Y4" s="4"/>
      <c r="Z4" s="4"/>
    </row>
    <row r="5" spans="1:26" ht="21.75" customHeight="1">
      <c r="A5" s="4"/>
      <c r="B5" s="812"/>
      <c r="C5" s="805"/>
      <c r="D5" s="806"/>
      <c r="E5" s="807"/>
      <c r="F5" s="812"/>
      <c r="G5" s="812"/>
      <c r="H5" s="4"/>
      <c r="I5" s="4"/>
      <c r="J5" s="4"/>
      <c r="K5" s="4"/>
      <c r="L5" s="4"/>
      <c r="M5" s="4"/>
      <c r="N5" s="4"/>
      <c r="O5" s="4"/>
      <c r="P5" s="4"/>
      <c r="Q5" s="4"/>
      <c r="R5" s="4"/>
      <c r="S5" s="4"/>
      <c r="T5" s="4"/>
      <c r="U5" s="4"/>
      <c r="V5" s="4"/>
      <c r="W5" s="4"/>
      <c r="X5" s="4"/>
      <c r="Y5" s="4"/>
      <c r="Z5" s="4"/>
    </row>
    <row r="6" spans="1:26" ht="45.75" customHeight="1" thickBot="1">
      <c r="A6" s="4"/>
      <c r="B6" s="241"/>
      <c r="C6" s="241"/>
      <c r="D6" s="242"/>
      <c r="E6" s="243"/>
      <c r="F6" s="244"/>
      <c r="G6" s="244"/>
      <c r="H6" s="781" t="s">
        <v>366</v>
      </c>
      <c r="I6" s="782"/>
      <c r="J6" s="785" t="s">
        <v>12</v>
      </c>
      <c r="K6" s="786"/>
      <c r="L6" s="786"/>
      <c r="M6" s="786"/>
      <c r="N6" s="786"/>
      <c r="O6" s="786"/>
      <c r="P6" s="787"/>
      <c r="Q6" s="783" t="s">
        <v>13</v>
      </c>
      <c r="R6" s="784"/>
      <c r="S6" s="788" t="s">
        <v>14</v>
      </c>
      <c r="T6" s="789"/>
      <c r="U6" s="790"/>
      <c r="V6" s="783" t="e">
        <f>+'BIENESTAR GYM Y SALUD'!#REF!</f>
        <v>#REF!</v>
      </c>
      <c r="W6" s="784"/>
      <c r="X6" s="4"/>
      <c r="Y6" s="4"/>
      <c r="Z6" s="4"/>
    </row>
    <row r="7" spans="1:26" ht="30.75" customHeight="1">
      <c r="A7" s="4"/>
      <c r="B7" s="794" t="s">
        <v>15</v>
      </c>
      <c r="C7" s="795"/>
      <c r="D7" s="795"/>
      <c r="E7" s="795"/>
      <c r="F7" s="795"/>
      <c r="G7" s="795"/>
      <c r="H7" s="795"/>
      <c r="I7" s="796"/>
      <c r="J7" s="245" t="s">
        <v>16</v>
      </c>
      <c r="K7" s="797" t="s">
        <v>17</v>
      </c>
      <c r="L7" s="798"/>
      <c r="M7" s="799"/>
      <c r="N7" s="797" t="s">
        <v>18</v>
      </c>
      <c r="O7" s="798"/>
      <c r="P7" s="800"/>
      <c r="Q7" s="783" t="s">
        <v>19</v>
      </c>
      <c r="R7" s="784"/>
      <c r="S7" s="791"/>
      <c r="T7" s="792"/>
      <c r="U7" s="793"/>
      <c r="V7" s="783" t="s">
        <v>20</v>
      </c>
      <c r="W7" s="784"/>
      <c r="X7" s="4"/>
      <c r="Y7" s="4"/>
      <c r="Z7" s="4"/>
    </row>
    <row r="8" spans="1:26" ht="57" customHeight="1">
      <c r="A8" s="4"/>
      <c r="B8" s="246" t="s">
        <v>21</v>
      </c>
      <c r="C8" s="801" t="s">
        <v>22</v>
      </c>
      <c r="D8" s="775"/>
      <c r="E8" s="776"/>
      <c r="F8" s="247" t="s">
        <v>23</v>
      </c>
      <c r="G8" s="247" t="s">
        <v>367</v>
      </c>
      <c r="H8" s="247" t="s">
        <v>24</v>
      </c>
      <c r="I8" s="248" t="s">
        <v>25</v>
      </c>
      <c r="J8" s="249" t="s">
        <v>26</v>
      </c>
      <c r="K8" s="250" t="s">
        <v>27</v>
      </c>
      <c r="L8" s="251" t="s">
        <v>28</v>
      </c>
      <c r="M8" s="252" t="s">
        <v>29</v>
      </c>
      <c r="N8" s="250" t="s">
        <v>27</v>
      </c>
      <c r="O8" s="251" t="s">
        <v>28</v>
      </c>
      <c r="P8" s="249" t="s">
        <v>29</v>
      </c>
      <c r="Q8" s="253" t="s">
        <v>30</v>
      </c>
      <c r="R8" s="254" t="s">
        <v>31</v>
      </c>
      <c r="S8" s="255" t="s">
        <v>32</v>
      </c>
      <c r="T8" s="253" t="s">
        <v>30</v>
      </c>
      <c r="U8" s="255" t="s">
        <v>31</v>
      </c>
      <c r="V8" s="255" t="s">
        <v>30</v>
      </c>
      <c r="W8" s="256" t="s">
        <v>33</v>
      </c>
      <c r="X8" s="4"/>
      <c r="Y8" s="4"/>
      <c r="Z8" s="4"/>
    </row>
    <row r="9" spans="1:26" ht="64.5" customHeight="1">
      <c r="B9" s="257">
        <v>1</v>
      </c>
      <c r="C9" s="774" t="s">
        <v>34</v>
      </c>
      <c r="D9" s="775"/>
      <c r="E9" s="776"/>
      <c r="F9" s="258" t="s">
        <v>35</v>
      </c>
      <c r="G9" s="259">
        <v>38</v>
      </c>
      <c r="H9" s="260">
        <f>+APUS!H128</f>
        <v>66568.996000218394</v>
      </c>
      <c r="I9" s="261">
        <f t="shared" ref="I9:I23" si="0">+H9*G9</f>
        <v>2529621.8480082988</v>
      </c>
      <c r="J9" s="262">
        <f t="shared" ref="J9:J23" si="1">+I9/$I$27</f>
        <v>0.17918816341689386</v>
      </c>
      <c r="K9" s="263">
        <f t="shared" ref="K9:K10" si="2">21.4%*H9</f>
        <v>14245.765144046736</v>
      </c>
      <c r="L9" s="264">
        <f t="shared" ref="L9:L10" si="3">2.9%*H9</f>
        <v>1930.5008840063333</v>
      </c>
      <c r="M9" s="261">
        <f t="shared" ref="M9:M10" si="4">+H9-K9-L9</f>
        <v>50392.729972165325</v>
      </c>
      <c r="N9" s="263">
        <f t="shared" ref="N9:N23" si="5">+K9*G9</f>
        <v>541339.07547377597</v>
      </c>
      <c r="O9" s="264">
        <f t="shared" ref="O9:O23" si="6">+L9*G9</f>
        <v>73359.033592240667</v>
      </c>
      <c r="P9" s="265">
        <f t="shared" ref="P9:P23" si="7">+M9*G9</f>
        <v>1914923.7389422823</v>
      </c>
      <c r="Q9" s="197">
        <f t="shared" ref="Q9:Q23" si="8">V9-G9</f>
        <v>-38</v>
      </c>
      <c r="R9" s="198">
        <f t="shared" ref="R9:R23" si="9">Q9*H9</f>
        <v>-2529621.8480082988</v>
      </c>
      <c r="S9" s="199" t="str">
        <f t="shared" ref="S9:S23" si="10">IF(V9&gt;0,"+",IF(V9=0,"+","-"))</f>
        <v>+</v>
      </c>
      <c r="T9" s="197">
        <f t="shared" ref="T9:T23" si="11">(V9)-G9</f>
        <v>-38</v>
      </c>
      <c r="U9" s="200">
        <f t="shared" ref="U9:U23" si="12">T9*H9</f>
        <v>-2529621.8480082988</v>
      </c>
      <c r="V9" s="199">
        <v>0</v>
      </c>
      <c r="W9" s="201">
        <f t="shared" ref="W9:W23" si="13">V9*H9</f>
        <v>0</v>
      </c>
    </row>
    <row r="10" spans="1:26" ht="64.5" customHeight="1">
      <c r="B10" s="257">
        <v>2</v>
      </c>
      <c r="C10" s="774" t="s">
        <v>36</v>
      </c>
      <c r="D10" s="775"/>
      <c r="E10" s="776"/>
      <c r="F10" s="258" t="s">
        <v>23</v>
      </c>
      <c r="G10" s="259">
        <v>4</v>
      </c>
      <c r="H10" s="260">
        <v>77165</v>
      </c>
      <c r="I10" s="261">
        <f t="shared" si="0"/>
        <v>308660</v>
      </c>
      <c r="J10" s="262">
        <f t="shared" si="1"/>
        <v>2.1864223920980707E-2</v>
      </c>
      <c r="K10" s="263">
        <f t="shared" si="2"/>
        <v>16513.310000000001</v>
      </c>
      <c r="L10" s="264">
        <f t="shared" si="3"/>
        <v>2237.7849999999999</v>
      </c>
      <c r="M10" s="261">
        <f t="shared" si="4"/>
        <v>58413.904999999999</v>
      </c>
      <c r="N10" s="263">
        <f t="shared" si="5"/>
        <v>66053.240000000005</v>
      </c>
      <c r="O10" s="264">
        <f t="shared" si="6"/>
        <v>8951.14</v>
      </c>
      <c r="P10" s="265">
        <f t="shared" si="7"/>
        <v>233655.62</v>
      </c>
      <c r="Q10" s="197" t="e">
        <f t="shared" si="8"/>
        <v>#REF!</v>
      </c>
      <c r="R10" s="198" t="e">
        <f t="shared" si="9"/>
        <v>#REF!</v>
      </c>
      <c r="S10" s="199" t="e">
        <f t="shared" si="10"/>
        <v>#REF!</v>
      </c>
      <c r="T10" s="197" t="e">
        <f t="shared" si="11"/>
        <v>#REF!</v>
      </c>
      <c r="U10" s="200" t="e">
        <f t="shared" si="12"/>
        <v>#REF!</v>
      </c>
      <c r="V10" s="199" t="e">
        <f>#REF!</f>
        <v>#REF!</v>
      </c>
      <c r="W10" s="201" t="e">
        <f t="shared" si="13"/>
        <v>#REF!</v>
      </c>
    </row>
    <row r="11" spans="1:26" ht="48" customHeight="1">
      <c r="B11" s="257">
        <v>3</v>
      </c>
      <c r="C11" s="774" t="s">
        <v>37</v>
      </c>
      <c r="D11" s="775"/>
      <c r="E11" s="776"/>
      <c r="F11" s="258" t="s">
        <v>35</v>
      </c>
      <c r="G11" s="259">
        <v>4</v>
      </c>
      <c r="H11" s="260">
        <v>19302</v>
      </c>
      <c r="I11" s="261">
        <f t="shared" si="0"/>
        <v>77208</v>
      </c>
      <c r="J11" s="262">
        <f t="shared" si="1"/>
        <v>5.4691019260386126E-3</v>
      </c>
      <c r="K11" s="263">
        <f>95.2%*H11</f>
        <v>18375.504000000001</v>
      </c>
      <c r="L11" s="264">
        <f>+H11-K11</f>
        <v>926.49599999999919</v>
      </c>
      <c r="M11" s="261">
        <v>0</v>
      </c>
      <c r="N11" s="263">
        <f t="shared" si="5"/>
        <v>73502.016000000003</v>
      </c>
      <c r="O11" s="264">
        <f t="shared" si="6"/>
        <v>3705.9839999999967</v>
      </c>
      <c r="P11" s="265">
        <f t="shared" si="7"/>
        <v>0</v>
      </c>
      <c r="Q11" s="197" t="e">
        <f t="shared" si="8"/>
        <v>#REF!</v>
      </c>
      <c r="R11" s="198" t="e">
        <f t="shared" si="9"/>
        <v>#REF!</v>
      </c>
      <c r="S11" s="199" t="e">
        <f t="shared" si="10"/>
        <v>#REF!</v>
      </c>
      <c r="T11" s="197" t="e">
        <f t="shared" si="11"/>
        <v>#REF!</v>
      </c>
      <c r="U11" s="200" t="e">
        <f t="shared" si="12"/>
        <v>#REF!</v>
      </c>
      <c r="V11" s="199" t="e">
        <f>#REF!</f>
        <v>#REF!</v>
      </c>
      <c r="W11" s="201" t="e">
        <f t="shared" si="13"/>
        <v>#REF!</v>
      </c>
    </row>
    <row r="12" spans="1:26" ht="139.5" customHeight="1">
      <c r="B12" s="257">
        <v>4</v>
      </c>
      <c r="C12" s="774" t="s">
        <v>38</v>
      </c>
      <c r="D12" s="775"/>
      <c r="E12" s="776"/>
      <c r="F12" s="258" t="s">
        <v>35</v>
      </c>
      <c r="G12" s="259">
        <v>4</v>
      </c>
      <c r="H12" s="260">
        <v>225029</v>
      </c>
      <c r="I12" s="261">
        <f t="shared" si="0"/>
        <v>900116</v>
      </c>
      <c r="J12" s="262">
        <f t="shared" si="1"/>
        <v>6.3760570786164289E-2</v>
      </c>
      <c r="K12" s="263">
        <f>8.28%*H12</f>
        <v>18632.4012</v>
      </c>
      <c r="L12" s="264">
        <f>0.01%*H12</f>
        <v>22.5029</v>
      </c>
      <c r="M12" s="261">
        <f>+H12-K12-L12</f>
        <v>206374.09590000001</v>
      </c>
      <c r="N12" s="263">
        <f t="shared" si="5"/>
        <v>74529.604800000001</v>
      </c>
      <c r="O12" s="264">
        <f t="shared" si="6"/>
        <v>90.011600000000001</v>
      </c>
      <c r="P12" s="265">
        <f t="shared" si="7"/>
        <v>825496.38360000006</v>
      </c>
      <c r="Q12" s="197" t="e">
        <f t="shared" si="8"/>
        <v>#REF!</v>
      </c>
      <c r="R12" s="198" t="e">
        <f t="shared" si="9"/>
        <v>#REF!</v>
      </c>
      <c r="S12" s="199" t="e">
        <f t="shared" si="10"/>
        <v>#REF!</v>
      </c>
      <c r="T12" s="197" t="e">
        <f t="shared" si="11"/>
        <v>#REF!</v>
      </c>
      <c r="U12" s="200" t="e">
        <f t="shared" si="12"/>
        <v>#REF!</v>
      </c>
      <c r="V12" s="199" t="e">
        <f>#REF!</f>
        <v>#REF!</v>
      </c>
      <c r="W12" s="201" t="e">
        <f t="shared" si="13"/>
        <v>#REF!</v>
      </c>
    </row>
    <row r="13" spans="1:26" ht="57.75" customHeight="1">
      <c r="B13" s="257">
        <v>5</v>
      </c>
      <c r="C13" s="774" t="s">
        <v>39</v>
      </c>
      <c r="D13" s="775"/>
      <c r="E13" s="776"/>
      <c r="F13" s="258" t="s">
        <v>23</v>
      </c>
      <c r="G13" s="259">
        <v>1</v>
      </c>
      <c r="H13" s="260">
        <v>50000</v>
      </c>
      <c r="I13" s="261">
        <f t="shared" si="0"/>
        <v>50000</v>
      </c>
      <c r="J13" s="262">
        <f t="shared" si="1"/>
        <v>3.5417974342287152E-3</v>
      </c>
      <c r="K13" s="263">
        <f>95.2%*H13</f>
        <v>47600</v>
      </c>
      <c r="L13" s="264">
        <f>+H13-K13</f>
        <v>2400</v>
      </c>
      <c r="M13" s="261">
        <v>0</v>
      </c>
      <c r="N13" s="263">
        <f t="shared" si="5"/>
        <v>47600</v>
      </c>
      <c r="O13" s="264">
        <f t="shared" si="6"/>
        <v>2400</v>
      </c>
      <c r="P13" s="265">
        <f t="shared" si="7"/>
        <v>0</v>
      </c>
      <c r="Q13" s="197">
        <f t="shared" si="8"/>
        <v>-1</v>
      </c>
      <c r="R13" s="198">
        <f t="shared" si="9"/>
        <v>-50000</v>
      </c>
      <c r="S13" s="199" t="str">
        <f t="shared" si="10"/>
        <v>+</v>
      </c>
      <c r="T13" s="197">
        <f t="shared" si="11"/>
        <v>-1</v>
      </c>
      <c r="U13" s="200">
        <f t="shared" si="12"/>
        <v>-50000</v>
      </c>
      <c r="V13" s="199">
        <v>0</v>
      </c>
      <c r="W13" s="201">
        <f t="shared" si="13"/>
        <v>0</v>
      </c>
    </row>
    <row r="14" spans="1:26" ht="64.5" customHeight="1">
      <c r="B14" s="257">
        <v>6</v>
      </c>
      <c r="C14" s="774" t="s">
        <v>40</v>
      </c>
      <c r="D14" s="775"/>
      <c r="E14" s="776"/>
      <c r="F14" s="258" t="s">
        <v>23</v>
      </c>
      <c r="G14" s="259">
        <v>1</v>
      </c>
      <c r="H14" s="260">
        <f>+APUS!H140</f>
        <v>630000.00200000009</v>
      </c>
      <c r="I14" s="261">
        <f t="shared" si="0"/>
        <v>630000.00200000009</v>
      </c>
      <c r="J14" s="262">
        <f t="shared" si="1"/>
        <v>4.4626647812953717E-2</v>
      </c>
      <c r="K14" s="263">
        <f>+H14*10.75%</f>
        <v>67725.000215000007</v>
      </c>
      <c r="L14" s="264">
        <f>0.54%*H14</f>
        <v>3402.0000108000008</v>
      </c>
      <c r="M14" s="261">
        <f t="shared" ref="M14:M23" si="14">+H14-K14-L14</f>
        <v>558873.00177420012</v>
      </c>
      <c r="N14" s="263">
        <f t="shared" si="5"/>
        <v>67725.000215000007</v>
      </c>
      <c r="O14" s="264">
        <f t="shared" si="6"/>
        <v>3402.0000108000008</v>
      </c>
      <c r="P14" s="265">
        <f t="shared" si="7"/>
        <v>558873.00177420012</v>
      </c>
      <c r="Q14" s="197">
        <f t="shared" si="8"/>
        <v>-1</v>
      </c>
      <c r="R14" s="198">
        <f t="shared" si="9"/>
        <v>-630000.00200000009</v>
      </c>
      <c r="S14" s="199" t="str">
        <f t="shared" si="10"/>
        <v>+</v>
      </c>
      <c r="T14" s="197">
        <f t="shared" si="11"/>
        <v>-1</v>
      </c>
      <c r="U14" s="200">
        <f t="shared" si="12"/>
        <v>-630000.00200000009</v>
      </c>
      <c r="V14" s="199">
        <v>0</v>
      </c>
      <c r="W14" s="201">
        <f t="shared" si="13"/>
        <v>0</v>
      </c>
    </row>
    <row r="15" spans="1:26" ht="64.5" customHeight="1">
      <c r="B15" s="257">
        <v>8</v>
      </c>
      <c r="C15" s="774" t="s">
        <v>41</v>
      </c>
      <c r="D15" s="775"/>
      <c r="E15" s="776"/>
      <c r="F15" s="258" t="s">
        <v>42</v>
      </c>
      <c r="G15" s="259">
        <v>18</v>
      </c>
      <c r="H15" s="260">
        <f>+APUS!H67</f>
        <v>110000</v>
      </c>
      <c r="I15" s="261">
        <f t="shared" si="0"/>
        <v>1980000</v>
      </c>
      <c r="J15" s="262">
        <f t="shared" si="1"/>
        <v>0.14025517839545712</v>
      </c>
      <c r="K15" s="263">
        <f>+H15*26.15%</f>
        <v>28765</v>
      </c>
      <c r="L15" s="264">
        <f t="shared" ref="L15:L16" si="15">+H15*1.5%</f>
        <v>1650</v>
      </c>
      <c r="M15" s="261">
        <f t="shared" si="14"/>
        <v>79585</v>
      </c>
      <c r="N15" s="263">
        <f t="shared" si="5"/>
        <v>517770</v>
      </c>
      <c r="O15" s="264">
        <f t="shared" si="6"/>
        <v>29700</v>
      </c>
      <c r="P15" s="265">
        <f t="shared" si="7"/>
        <v>1432530</v>
      </c>
      <c r="Q15" s="197" t="e">
        <f t="shared" si="8"/>
        <v>#REF!</v>
      </c>
      <c r="R15" s="198" t="e">
        <f t="shared" si="9"/>
        <v>#REF!</v>
      </c>
      <c r="S15" s="199" t="e">
        <f t="shared" si="10"/>
        <v>#REF!</v>
      </c>
      <c r="T15" s="197" t="e">
        <f t="shared" si="11"/>
        <v>#REF!</v>
      </c>
      <c r="U15" s="200" t="e">
        <f t="shared" si="12"/>
        <v>#REF!</v>
      </c>
      <c r="V15" s="199" t="e">
        <f>#REF!</f>
        <v>#REF!</v>
      </c>
      <c r="W15" s="201" t="e">
        <f t="shared" si="13"/>
        <v>#REF!</v>
      </c>
    </row>
    <row r="16" spans="1:26" ht="64.5" customHeight="1">
      <c r="B16" s="257">
        <v>9</v>
      </c>
      <c r="C16" s="774" t="s">
        <v>43</v>
      </c>
      <c r="D16" s="775"/>
      <c r="E16" s="776"/>
      <c r="F16" s="258" t="s">
        <v>42</v>
      </c>
      <c r="G16" s="259">
        <v>2</v>
      </c>
      <c r="H16" s="264">
        <f>+APUS!H95</f>
        <v>60000</v>
      </c>
      <c r="I16" s="261">
        <f t="shared" si="0"/>
        <v>120000</v>
      </c>
      <c r="J16" s="262">
        <f t="shared" si="1"/>
        <v>8.5003138421489172E-3</v>
      </c>
      <c r="K16" s="263">
        <f>+H16*20.73%</f>
        <v>12438</v>
      </c>
      <c r="L16" s="264">
        <f t="shared" si="15"/>
        <v>900</v>
      </c>
      <c r="M16" s="261">
        <f t="shared" si="14"/>
        <v>46662</v>
      </c>
      <c r="N16" s="263">
        <f t="shared" si="5"/>
        <v>24876</v>
      </c>
      <c r="O16" s="264">
        <f t="shared" si="6"/>
        <v>1800</v>
      </c>
      <c r="P16" s="265">
        <f t="shared" si="7"/>
        <v>93324</v>
      </c>
      <c r="Q16" s="197" t="e">
        <f t="shared" si="8"/>
        <v>#REF!</v>
      </c>
      <c r="R16" s="198" t="e">
        <f t="shared" si="9"/>
        <v>#REF!</v>
      </c>
      <c r="S16" s="199" t="e">
        <f t="shared" si="10"/>
        <v>#REF!</v>
      </c>
      <c r="T16" s="197" t="e">
        <f t="shared" si="11"/>
        <v>#REF!</v>
      </c>
      <c r="U16" s="200" t="e">
        <f t="shared" si="12"/>
        <v>#REF!</v>
      </c>
      <c r="V16" s="199" t="e">
        <f>#REF!</f>
        <v>#REF!</v>
      </c>
      <c r="W16" s="201" t="e">
        <f t="shared" si="13"/>
        <v>#REF!</v>
      </c>
    </row>
    <row r="17" spans="2:24" ht="64.5" customHeight="1">
      <c r="B17" s="257">
        <v>10</v>
      </c>
      <c r="C17" s="774" t="s">
        <v>44</v>
      </c>
      <c r="D17" s="775"/>
      <c r="E17" s="776"/>
      <c r="F17" s="258" t="s">
        <v>42</v>
      </c>
      <c r="G17" s="259">
        <v>12</v>
      </c>
      <c r="H17" s="264">
        <f>+APUS!H76</f>
        <v>160000.000005985</v>
      </c>
      <c r="I17" s="261">
        <f t="shared" si="0"/>
        <v>1920000.0000718199</v>
      </c>
      <c r="J17" s="262">
        <f t="shared" si="1"/>
        <v>0.13600502147947011</v>
      </c>
      <c r="K17" s="263">
        <f>+H17*25.5%</f>
        <v>40800.000001526176</v>
      </c>
      <c r="L17" s="264">
        <f>+H17*3.55%</f>
        <v>5680.0000002124671</v>
      </c>
      <c r="M17" s="261">
        <f t="shared" si="14"/>
        <v>113520.00000424635</v>
      </c>
      <c r="N17" s="263">
        <f t="shared" si="5"/>
        <v>489600.00001831411</v>
      </c>
      <c r="O17" s="264">
        <f t="shared" si="6"/>
        <v>68160.000002549612</v>
      </c>
      <c r="P17" s="265">
        <f t="shared" si="7"/>
        <v>1362240.0000509562</v>
      </c>
      <c r="Q17" s="197" t="e">
        <f t="shared" si="8"/>
        <v>#REF!</v>
      </c>
      <c r="R17" s="198" t="e">
        <f t="shared" si="9"/>
        <v>#REF!</v>
      </c>
      <c r="S17" s="199" t="e">
        <f t="shared" si="10"/>
        <v>#REF!</v>
      </c>
      <c r="T17" s="197" t="e">
        <f t="shared" si="11"/>
        <v>#REF!</v>
      </c>
      <c r="U17" s="200" t="e">
        <f t="shared" si="12"/>
        <v>#REF!</v>
      </c>
      <c r="V17" s="199" t="e">
        <f>#REF!</f>
        <v>#REF!</v>
      </c>
      <c r="W17" s="201" t="e">
        <f t="shared" si="13"/>
        <v>#REF!</v>
      </c>
    </row>
    <row r="18" spans="2:24" ht="64.5" customHeight="1">
      <c r="B18" s="257">
        <v>11</v>
      </c>
      <c r="C18" s="774" t="s">
        <v>45</v>
      </c>
      <c r="D18" s="775"/>
      <c r="E18" s="776"/>
      <c r="F18" s="258" t="s">
        <v>46</v>
      </c>
      <c r="G18" s="259">
        <v>20</v>
      </c>
      <c r="H18" s="264">
        <v>9176</v>
      </c>
      <c r="I18" s="261">
        <f t="shared" si="0"/>
        <v>183520</v>
      </c>
      <c r="J18" s="262">
        <f t="shared" si="1"/>
        <v>1.2999813302593076E-2</v>
      </c>
      <c r="K18" s="263">
        <v>5085</v>
      </c>
      <c r="L18" s="264">
        <v>509</v>
      </c>
      <c r="M18" s="261">
        <f t="shared" si="14"/>
        <v>3582</v>
      </c>
      <c r="N18" s="263">
        <f t="shared" si="5"/>
        <v>101700</v>
      </c>
      <c r="O18" s="264">
        <f t="shared" si="6"/>
        <v>10180</v>
      </c>
      <c r="P18" s="265">
        <f t="shared" si="7"/>
        <v>71640</v>
      </c>
      <c r="Q18" s="197" t="e">
        <f t="shared" si="8"/>
        <v>#REF!</v>
      </c>
      <c r="R18" s="198" t="e">
        <f t="shared" si="9"/>
        <v>#REF!</v>
      </c>
      <c r="S18" s="199" t="e">
        <f t="shared" si="10"/>
        <v>#REF!</v>
      </c>
      <c r="T18" s="197" t="e">
        <f t="shared" si="11"/>
        <v>#REF!</v>
      </c>
      <c r="U18" s="200" t="e">
        <f t="shared" si="12"/>
        <v>#REF!</v>
      </c>
      <c r="V18" s="199" t="e">
        <f>#REF!</f>
        <v>#REF!</v>
      </c>
      <c r="W18" s="201" t="e">
        <f t="shared" si="13"/>
        <v>#REF!</v>
      </c>
    </row>
    <row r="19" spans="2:24" ht="64.5" customHeight="1">
      <c r="B19" s="257">
        <v>12</v>
      </c>
      <c r="C19" s="774" t="s">
        <v>47</v>
      </c>
      <c r="D19" s="775"/>
      <c r="E19" s="776"/>
      <c r="F19" s="258" t="s">
        <v>46</v>
      </c>
      <c r="G19" s="259">
        <v>10</v>
      </c>
      <c r="H19" s="264">
        <f>+APUS!H58</f>
        <v>89999.99924724501</v>
      </c>
      <c r="I19" s="261">
        <f t="shared" si="0"/>
        <v>899999.99247245013</v>
      </c>
      <c r="J19" s="262">
        <f t="shared" si="1"/>
        <v>6.3752353282895746E-2</v>
      </c>
      <c r="K19" s="263">
        <f>13.12%*H19</f>
        <v>11807.999901238543</v>
      </c>
      <c r="L19" s="264">
        <f>6.56%*H19</f>
        <v>5903.9999506192717</v>
      </c>
      <c r="M19" s="261">
        <f t="shared" si="14"/>
        <v>72287.999395387204</v>
      </c>
      <c r="N19" s="263">
        <f t="shared" si="5"/>
        <v>118079.99901238544</v>
      </c>
      <c r="O19" s="264">
        <f t="shared" si="6"/>
        <v>59039.999506192718</v>
      </c>
      <c r="P19" s="265">
        <f t="shared" si="7"/>
        <v>722879.99395387201</v>
      </c>
      <c r="Q19" s="197" t="e">
        <f t="shared" si="8"/>
        <v>#REF!</v>
      </c>
      <c r="R19" s="198" t="e">
        <f t="shared" si="9"/>
        <v>#REF!</v>
      </c>
      <c r="S19" s="199" t="e">
        <f t="shared" si="10"/>
        <v>#REF!</v>
      </c>
      <c r="T19" s="197" t="e">
        <f t="shared" si="11"/>
        <v>#REF!</v>
      </c>
      <c r="U19" s="200" t="e">
        <f t="shared" si="12"/>
        <v>#REF!</v>
      </c>
      <c r="V19" s="199" t="e">
        <f>#REF!</f>
        <v>#REF!</v>
      </c>
      <c r="W19" s="201" t="e">
        <f t="shared" si="13"/>
        <v>#REF!</v>
      </c>
    </row>
    <row r="20" spans="2:24" ht="51.75" customHeight="1">
      <c r="B20" s="257">
        <v>13</v>
      </c>
      <c r="C20" s="774" t="s">
        <v>48</v>
      </c>
      <c r="D20" s="775"/>
      <c r="E20" s="776"/>
      <c r="F20" s="258" t="s">
        <v>42</v>
      </c>
      <c r="G20" s="259">
        <v>1</v>
      </c>
      <c r="H20" s="264">
        <f>+APUS!H85</f>
        <v>765311.8</v>
      </c>
      <c r="I20" s="261">
        <f t="shared" si="0"/>
        <v>765311.8</v>
      </c>
      <c r="J20" s="262">
        <f t="shared" si="1"/>
        <v>5.4211587392499198E-2</v>
      </c>
      <c r="K20" s="263">
        <f>(40.77%*74211)+(351667*41.02%)</f>
        <v>174509.6281</v>
      </c>
      <c r="L20" s="264">
        <f>+K20*10%</f>
        <v>17450.962810000001</v>
      </c>
      <c r="M20" s="261">
        <f t="shared" si="14"/>
        <v>573351.20909000002</v>
      </c>
      <c r="N20" s="263">
        <f t="shared" si="5"/>
        <v>174509.6281</v>
      </c>
      <c r="O20" s="264">
        <f t="shared" si="6"/>
        <v>17450.962810000001</v>
      </c>
      <c r="P20" s="265">
        <f t="shared" si="7"/>
        <v>573351.20909000002</v>
      </c>
      <c r="Q20" s="197" t="e">
        <f t="shared" si="8"/>
        <v>#REF!</v>
      </c>
      <c r="R20" s="198" t="e">
        <f t="shared" si="9"/>
        <v>#REF!</v>
      </c>
      <c r="S20" s="199" t="e">
        <f t="shared" si="10"/>
        <v>#REF!</v>
      </c>
      <c r="T20" s="197" t="e">
        <f t="shared" si="11"/>
        <v>#REF!</v>
      </c>
      <c r="U20" s="200" t="e">
        <f t="shared" si="12"/>
        <v>#REF!</v>
      </c>
      <c r="V20" s="199" t="e">
        <f>#REF!</f>
        <v>#REF!</v>
      </c>
      <c r="W20" s="201" t="e">
        <f t="shared" si="13"/>
        <v>#REF!</v>
      </c>
    </row>
    <row r="21" spans="2:24" ht="64.5" customHeight="1">
      <c r="B21" s="257">
        <v>14</v>
      </c>
      <c r="C21" s="774" t="s">
        <v>49</v>
      </c>
      <c r="D21" s="775"/>
      <c r="E21" s="776"/>
      <c r="F21" s="258" t="s">
        <v>35</v>
      </c>
      <c r="G21" s="259">
        <v>38</v>
      </c>
      <c r="H21" s="264">
        <v>67104</v>
      </c>
      <c r="I21" s="261">
        <f t="shared" si="0"/>
        <v>2549952</v>
      </c>
      <c r="J21" s="262">
        <f t="shared" si="1"/>
        <v>0.18062826902012763</v>
      </c>
      <c r="K21" s="263">
        <f>23.22%*H21</f>
        <v>15581.548799999999</v>
      </c>
      <c r="L21" s="264">
        <f>3.32%*H21</f>
        <v>2227.8528000000001</v>
      </c>
      <c r="M21" s="261">
        <f t="shared" si="14"/>
        <v>49294.598400000003</v>
      </c>
      <c r="N21" s="263">
        <f t="shared" si="5"/>
        <v>592098.85439999995</v>
      </c>
      <c r="O21" s="264">
        <f t="shared" si="6"/>
        <v>84658.406400000007</v>
      </c>
      <c r="P21" s="265">
        <f t="shared" si="7"/>
        <v>1873194.7392000002</v>
      </c>
      <c r="Q21" s="197" t="e">
        <f t="shared" si="8"/>
        <v>#REF!</v>
      </c>
      <c r="R21" s="198" t="e">
        <f t="shared" si="9"/>
        <v>#REF!</v>
      </c>
      <c r="S21" s="199" t="e">
        <f t="shared" si="10"/>
        <v>#REF!</v>
      </c>
      <c r="T21" s="197" t="e">
        <f t="shared" si="11"/>
        <v>#REF!</v>
      </c>
      <c r="U21" s="200" t="e">
        <f t="shared" si="12"/>
        <v>#REF!</v>
      </c>
      <c r="V21" s="199" t="e">
        <f>#REF!</f>
        <v>#REF!</v>
      </c>
      <c r="W21" s="201" t="e">
        <f t="shared" si="13"/>
        <v>#REF!</v>
      </c>
    </row>
    <row r="22" spans="2:24" ht="64.5" customHeight="1">
      <c r="B22" s="257">
        <v>15</v>
      </c>
      <c r="C22" s="774" t="s">
        <v>50</v>
      </c>
      <c r="D22" s="775"/>
      <c r="E22" s="776"/>
      <c r="F22" s="258" t="s">
        <v>35</v>
      </c>
      <c r="G22" s="259">
        <v>20</v>
      </c>
      <c r="H22" s="264">
        <f>+APUS!H168</f>
        <v>15964.004000000001</v>
      </c>
      <c r="I22" s="261">
        <f t="shared" si="0"/>
        <v>319280.08</v>
      </c>
      <c r="J22" s="262">
        <f t="shared" si="1"/>
        <v>2.2616507362886781E-2</v>
      </c>
      <c r="K22" s="263">
        <f>31.82%*H22</f>
        <v>5079.7460727999996</v>
      </c>
      <c r="L22" s="264">
        <f>5.18%*H22</f>
        <v>826.93540719999999</v>
      </c>
      <c r="M22" s="261">
        <f t="shared" si="14"/>
        <v>10057.32252</v>
      </c>
      <c r="N22" s="263">
        <f t="shared" si="5"/>
        <v>101594.921456</v>
      </c>
      <c r="O22" s="264">
        <f t="shared" si="6"/>
        <v>16538.708144</v>
      </c>
      <c r="P22" s="265">
        <f t="shared" si="7"/>
        <v>201146.4504</v>
      </c>
      <c r="Q22" s="197" t="e">
        <f t="shared" si="8"/>
        <v>#REF!</v>
      </c>
      <c r="R22" s="198" t="e">
        <f t="shared" si="9"/>
        <v>#REF!</v>
      </c>
      <c r="S22" s="199" t="e">
        <f t="shared" si="10"/>
        <v>#REF!</v>
      </c>
      <c r="T22" s="197" t="e">
        <f t="shared" si="11"/>
        <v>#REF!</v>
      </c>
      <c r="U22" s="200" t="e">
        <f t="shared" si="12"/>
        <v>#REF!</v>
      </c>
      <c r="V22" s="199" t="e">
        <f>#REF!</f>
        <v>#REF!</v>
      </c>
      <c r="W22" s="201" t="e">
        <f t="shared" si="13"/>
        <v>#REF!</v>
      </c>
    </row>
    <row r="23" spans="2:24" ht="64.5" customHeight="1" thickBot="1">
      <c r="B23" s="266">
        <v>16</v>
      </c>
      <c r="C23" s="825" t="s">
        <v>51</v>
      </c>
      <c r="D23" s="826"/>
      <c r="E23" s="827"/>
      <c r="F23" s="267" t="s">
        <v>35</v>
      </c>
      <c r="G23" s="268">
        <v>64</v>
      </c>
      <c r="H23" s="269">
        <f>+APUS!H159</f>
        <v>13803.996800000001</v>
      </c>
      <c r="I23" s="270">
        <f t="shared" si="0"/>
        <v>883455.79520000005</v>
      </c>
      <c r="J23" s="271">
        <f t="shared" si="1"/>
        <v>6.2580429373876992E-2</v>
      </c>
      <c r="K23" s="272">
        <f>+H23*33.23%</f>
        <v>4587.0681366400004</v>
      </c>
      <c r="L23" s="269">
        <f>+H23*3.16%</f>
        <v>436.20629888000008</v>
      </c>
      <c r="M23" s="270">
        <f t="shared" si="14"/>
        <v>8780.7223644799997</v>
      </c>
      <c r="N23" s="272">
        <f t="shared" si="5"/>
        <v>293572.36074496002</v>
      </c>
      <c r="O23" s="269">
        <f t="shared" si="6"/>
        <v>27917.203128320005</v>
      </c>
      <c r="P23" s="273">
        <f t="shared" si="7"/>
        <v>561966.23132671998</v>
      </c>
      <c r="Q23" s="202" t="e">
        <f t="shared" si="8"/>
        <v>#REF!</v>
      </c>
      <c r="R23" s="203" t="e">
        <f t="shared" si="9"/>
        <v>#REF!</v>
      </c>
      <c r="S23" s="204" t="e">
        <f t="shared" si="10"/>
        <v>#REF!</v>
      </c>
      <c r="T23" s="202" t="e">
        <f t="shared" si="11"/>
        <v>#REF!</v>
      </c>
      <c r="U23" s="205" t="e">
        <f t="shared" si="12"/>
        <v>#REF!</v>
      </c>
      <c r="V23" s="204" t="e">
        <f>#REF!</f>
        <v>#REF!</v>
      </c>
      <c r="W23" s="206" t="e">
        <f t="shared" si="13"/>
        <v>#REF!</v>
      </c>
      <c r="X23" s="228" t="e">
        <f>+W23+W22+W21+W20+W19+W18+W17+W16+W15+W14+W13+W12+W11+W10+W9</f>
        <v>#REF!</v>
      </c>
    </row>
    <row r="24" spans="2:24" ht="64.5" customHeight="1" thickBot="1">
      <c r="B24" s="828" t="s">
        <v>52</v>
      </c>
      <c r="C24" s="829"/>
      <c r="D24" s="829"/>
      <c r="E24" s="829"/>
      <c r="F24" s="829"/>
      <c r="G24" s="829"/>
      <c r="H24" s="829"/>
      <c r="I24" s="829"/>
      <c r="J24" s="829"/>
      <c r="K24" s="829"/>
      <c r="L24" s="829"/>
      <c r="M24" s="829"/>
      <c r="N24" s="829"/>
      <c r="O24" s="829"/>
      <c r="P24" s="829"/>
      <c r="Q24" s="829"/>
      <c r="R24" s="829"/>
      <c r="S24" s="829"/>
      <c r="T24" s="829"/>
      <c r="U24" s="829"/>
      <c r="V24" s="829"/>
      <c r="W24" s="830"/>
      <c r="X24" s="6"/>
    </row>
    <row r="25" spans="2:24" ht="64.5" customHeight="1" thickBot="1">
      <c r="B25" s="274" t="s">
        <v>53</v>
      </c>
      <c r="C25" s="831" t="s">
        <v>54</v>
      </c>
      <c r="D25" s="823"/>
      <c r="E25" s="778"/>
      <c r="F25" s="275" t="s">
        <v>46</v>
      </c>
      <c r="G25" s="276"/>
      <c r="H25" s="277">
        <f>APUS!$H$177</f>
        <v>40600</v>
      </c>
      <c r="I25" s="277">
        <f t="shared" ref="I25:I26" si="16">+H25*G25</f>
        <v>0</v>
      </c>
      <c r="J25" s="278">
        <f t="shared" ref="J25:J26" si="17">+I25/$I$23</f>
        <v>0</v>
      </c>
      <c r="K25" s="279">
        <f>+H25*15%</f>
        <v>6090</v>
      </c>
      <c r="L25" s="280">
        <f t="shared" ref="L25:L26" si="18">+H25*3.16%</f>
        <v>1282.96</v>
      </c>
      <c r="M25" s="280">
        <f t="shared" ref="M25:M26" si="19">+H25-K25-L25</f>
        <v>33227.040000000001</v>
      </c>
      <c r="N25" s="272" t="e">
        <f>+K25*Q25</f>
        <v>#REF!</v>
      </c>
      <c r="O25" s="269" t="e">
        <f>+L25*Q25</f>
        <v>#REF!</v>
      </c>
      <c r="P25" s="273" t="e">
        <f>+M25*Q25</f>
        <v>#REF!</v>
      </c>
      <c r="Q25" s="281" t="e">
        <f t="shared" ref="Q25:Q26" si="20">V25-G25</f>
        <v>#REF!</v>
      </c>
      <c r="R25" s="282" t="e">
        <f t="shared" ref="R25:R26" si="21">Q25*H25</f>
        <v>#REF!</v>
      </c>
      <c r="S25" s="283" t="e">
        <f t="shared" ref="S25:S26" si="22">IF(V25&gt;0,"+",IF(V25=0,"+","-"))</f>
        <v>#REF!</v>
      </c>
      <c r="T25" s="284" t="e">
        <f t="shared" ref="T25:T26" si="23">(V25)-G25</f>
        <v>#REF!</v>
      </c>
      <c r="U25" s="285" t="e">
        <f t="shared" ref="U25:U26" si="24">T25*H25</f>
        <v>#REF!</v>
      </c>
      <c r="V25" s="283" t="e">
        <f>#REF!</f>
        <v>#REF!</v>
      </c>
      <c r="W25" s="286" t="e">
        <f t="shared" ref="W25:W26" si="25">V25*H25</f>
        <v>#REF!</v>
      </c>
      <c r="X25" s="6"/>
    </row>
    <row r="26" spans="2:24" ht="64.5" customHeight="1" thickBot="1">
      <c r="B26" s="257" t="s">
        <v>55</v>
      </c>
      <c r="C26" s="774" t="e">
        <f>#REF!</f>
        <v>#REF!</v>
      </c>
      <c r="D26" s="775"/>
      <c r="E26" s="776"/>
      <c r="F26" s="258" t="s">
        <v>23</v>
      </c>
      <c r="G26" s="287"/>
      <c r="H26" s="264">
        <f>APUS!$H$184</f>
        <v>800211.25599999994</v>
      </c>
      <c r="I26" s="264">
        <f t="shared" si="16"/>
        <v>0</v>
      </c>
      <c r="J26" s="288">
        <f t="shared" si="17"/>
        <v>0</v>
      </c>
      <c r="K26" s="289">
        <f>+H26*8%</f>
        <v>64016.900479999997</v>
      </c>
      <c r="L26" s="290">
        <f t="shared" si="18"/>
        <v>25286.675689600001</v>
      </c>
      <c r="M26" s="290">
        <f t="shared" si="19"/>
        <v>710907.67983040004</v>
      </c>
      <c r="N26" s="272" t="e">
        <f>+K26*Q26</f>
        <v>#REF!</v>
      </c>
      <c r="O26" s="269" t="e">
        <f>+L26*Q26</f>
        <v>#REF!</v>
      </c>
      <c r="P26" s="273" t="e">
        <f>+M26*Q26</f>
        <v>#REF!</v>
      </c>
      <c r="Q26" s="291" t="e">
        <f t="shared" si="20"/>
        <v>#REF!</v>
      </c>
      <c r="R26" s="292" t="e">
        <f t="shared" si="21"/>
        <v>#REF!</v>
      </c>
      <c r="S26" s="293" t="e">
        <f t="shared" si="22"/>
        <v>#REF!</v>
      </c>
      <c r="T26" s="294" t="e">
        <f t="shared" si="23"/>
        <v>#REF!</v>
      </c>
      <c r="U26" s="295" t="e">
        <f t="shared" si="24"/>
        <v>#REF!</v>
      </c>
      <c r="V26" s="293" t="e">
        <f>#REF!</f>
        <v>#REF!</v>
      </c>
      <c r="W26" s="296" t="e">
        <f t="shared" si="25"/>
        <v>#REF!</v>
      </c>
      <c r="X26" s="6"/>
    </row>
    <row r="27" spans="2:24" ht="45" customHeight="1">
      <c r="B27" s="777" t="s">
        <v>56</v>
      </c>
      <c r="C27" s="832"/>
      <c r="D27" s="832"/>
      <c r="E27" s="832"/>
      <c r="F27" s="778"/>
      <c r="G27" s="777" t="s">
        <v>361</v>
      </c>
      <c r="H27" s="778"/>
      <c r="I27" s="297">
        <f>SUM(I9:I26)+0.3</f>
        <v>14117125.817752568</v>
      </c>
      <c r="J27" s="298">
        <f>SUM(J9:J23)</f>
        <v>0.99999997874921542</v>
      </c>
      <c r="K27" s="321"/>
      <c r="L27" s="299"/>
      <c r="M27" s="299"/>
      <c r="N27" s="300" t="e">
        <f>SUM(N9:N23)+N25+N26</f>
        <v>#REF!</v>
      </c>
      <c r="O27" s="325" t="e">
        <f t="shared" ref="O27:P27" si="26">SUM(O9:O23)+O25+O26</f>
        <v>#REF!</v>
      </c>
      <c r="P27" s="325" t="e">
        <f t="shared" si="26"/>
        <v>#REF!</v>
      </c>
      <c r="Q27" s="301"/>
      <c r="R27" s="297" t="e">
        <f>SUM(R9:R26)+0.3</f>
        <v>#REF!</v>
      </c>
      <c r="S27" s="301"/>
      <c r="T27" s="301"/>
      <c r="U27" s="297" t="e">
        <f>SUM(U9:U26)+0.3</f>
        <v>#REF!</v>
      </c>
      <c r="V27" s="301"/>
      <c r="W27" s="297" t="e">
        <f>SUM(W9:W26)+0.3</f>
        <v>#REF!</v>
      </c>
      <c r="X27" s="228" t="e">
        <f>+W26+W25</f>
        <v>#REF!</v>
      </c>
    </row>
    <row r="28" spans="2:24" ht="22.5" customHeight="1">
      <c r="B28" s="816" t="s">
        <v>360</v>
      </c>
      <c r="C28" s="817"/>
      <c r="D28" s="817"/>
      <c r="E28" s="817"/>
      <c r="F28" s="818"/>
      <c r="G28" s="302">
        <v>0.08</v>
      </c>
      <c r="H28" s="303" t="s">
        <v>1</v>
      </c>
      <c r="I28" s="304">
        <f t="shared" ref="I28:I30" si="27">+$I$27*G28</f>
        <v>1129370.0654202055</v>
      </c>
      <c r="J28" s="299"/>
      <c r="K28" s="322"/>
      <c r="L28" s="299"/>
      <c r="M28" s="299"/>
      <c r="N28" s="305" t="s">
        <v>27</v>
      </c>
      <c r="O28" s="306" t="s">
        <v>28</v>
      </c>
      <c r="P28" s="307" t="s">
        <v>29</v>
      </c>
      <c r="Q28" s="304"/>
      <c r="R28" s="304" t="e">
        <f>R27*$G$28</f>
        <v>#REF!</v>
      </c>
      <c r="S28" s="304"/>
      <c r="T28" s="304"/>
      <c r="U28" s="304" t="e">
        <f>U27*$G$28</f>
        <v>#REF!</v>
      </c>
      <c r="V28" s="304"/>
      <c r="W28" s="304" t="e">
        <f>W27*$G$28</f>
        <v>#REF!</v>
      </c>
    </row>
    <row r="29" spans="2:24" ht="22.5" customHeight="1">
      <c r="B29" s="819"/>
      <c r="C29" s="820"/>
      <c r="D29" s="820"/>
      <c r="E29" s="820"/>
      <c r="F29" s="821"/>
      <c r="G29" s="302">
        <v>0.03</v>
      </c>
      <c r="H29" s="303" t="s">
        <v>2</v>
      </c>
      <c r="I29" s="304">
        <f t="shared" si="27"/>
        <v>423513.77453257702</v>
      </c>
      <c r="J29" s="299"/>
      <c r="K29" s="324"/>
      <c r="L29" s="299"/>
      <c r="M29" s="299"/>
      <c r="N29" s="308" t="e">
        <f t="shared" ref="N29:P29" si="28">+N27/$I$27</f>
        <v>#REF!</v>
      </c>
      <c r="O29" s="309" t="e">
        <f t="shared" si="28"/>
        <v>#REF!</v>
      </c>
      <c r="P29" s="310" t="e">
        <f t="shared" si="28"/>
        <v>#REF!</v>
      </c>
      <c r="Q29" s="304"/>
      <c r="R29" s="304" t="e">
        <f>R27*$G$29</f>
        <v>#REF!</v>
      </c>
      <c r="S29" s="304"/>
      <c r="T29" s="304"/>
      <c r="U29" s="304" t="e">
        <f>U27*$G$29</f>
        <v>#REF!</v>
      </c>
      <c r="V29" s="304"/>
      <c r="W29" s="304" t="e">
        <f>W27*$G$29</f>
        <v>#REF!</v>
      </c>
    </row>
    <row r="30" spans="2:24" ht="22.5" customHeight="1">
      <c r="B30" s="819"/>
      <c r="C30" s="820"/>
      <c r="D30" s="820"/>
      <c r="E30" s="820"/>
      <c r="F30" s="821"/>
      <c r="G30" s="302">
        <v>0.02</v>
      </c>
      <c r="H30" s="303" t="s">
        <v>3</v>
      </c>
      <c r="I30" s="304">
        <f t="shared" si="27"/>
        <v>282342.51635505137</v>
      </c>
      <c r="J30" s="299"/>
      <c r="K30" s="299"/>
      <c r="L30" s="299"/>
      <c r="M30" s="299"/>
      <c r="N30" s="299"/>
      <c r="O30" s="299"/>
      <c r="P30" s="299"/>
      <c r="Q30" s="304"/>
      <c r="R30" s="304" t="e">
        <f>R27*$G$30</f>
        <v>#REF!</v>
      </c>
      <c r="S30" s="304"/>
      <c r="T30" s="304"/>
      <c r="U30" s="304" t="e">
        <f>U27*$G$30</f>
        <v>#REF!</v>
      </c>
      <c r="V30" s="304"/>
      <c r="W30" s="304" t="e">
        <f>W27*$G$30</f>
        <v>#REF!</v>
      </c>
    </row>
    <row r="31" spans="2:24" ht="22.5" customHeight="1">
      <c r="B31" s="822"/>
      <c r="C31" s="823"/>
      <c r="D31" s="823"/>
      <c r="E31" s="823"/>
      <c r="F31" s="824"/>
      <c r="G31" s="311">
        <f>+G30+G29+G28</f>
        <v>0.13</v>
      </c>
      <c r="H31" s="312" t="s">
        <v>4</v>
      </c>
      <c r="I31" s="313">
        <f>+I30+I29+I28</f>
        <v>1835226.3563078339</v>
      </c>
      <c r="J31" s="299"/>
      <c r="K31" s="299"/>
      <c r="L31" s="299"/>
      <c r="M31" s="299"/>
      <c r="N31" s="299"/>
      <c r="O31" s="299"/>
      <c r="P31" s="320"/>
      <c r="Q31" s="313"/>
      <c r="R31" s="313" t="e">
        <f>+R30+R29+R28</f>
        <v>#REF!</v>
      </c>
      <c r="S31" s="313"/>
      <c r="T31" s="313"/>
      <c r="U31" s="313" t="e">
        <f>+U30+U29+U28</f>
        <v>#REF!</v>
      </c>
      <c r="V31" s="313"/>
      <c r="W31" s="313" t="e">
        <f>+W30+W29+W28</f>
        <v>#REF!</v>
      </c>
    </row>
    <row r="32" spans="2:24" ht="42.75" customHeight="1">
      <c r="B32" s="299"/>
      <c r="C32" s="299"/>
      <c r="D32" s="299"/>
      <c r="E32" s="299"/>
      <c r="F32" s="314"/>
      <c r="G32" s="299"/>
      <c r="H32" s="315" t="s">
        <v>57</v>
      </c>
      <c r="I32" s="316">
        <f>+I31+I27</f>
        <v>15952352.174060402</v>
      </c>
      <c r="J32" s="299"/>
      <c r="K32" s="299"/>
      <c r="L32" s="299"/>
      <c r="M32" s="299"/>
      <c r="N32" s="299"/>
      <c r="O32" s="299"/>
      <c r="P32" s="299"/>
      <c r="Q32" s="317"/>
      <c r="R32" s="317" t="e">
        <f>+R31+R27</f>
        <v>#REF!</v>
      </c>
      <c r="S32" s="317"/>
      <c r="T32" s="317"/>
      <c r="U32" s="317" t="e">
        <f>+U31+U27</f>
        <v>#REF!</v>
      </c>
      <c r="V32" s="317"/>
      <c r="W32" s="317" t="e">
        <f>+W31+W27</f>
        <v>#REF!</v>
      </c>
    </row>
    <row r="33" spans="2:23" ht="48" customHeight="1">
      <c r="B33" s="7"/>
      <c r="C33" s="7"/>
      <c r="D33" s="7"/>
      <c r="E33" s="7"/>
      <c r="F33" s="8"/>
      <c r="G33" s="8"/>
      <c r="H33" s="7"/>
      <c r="I33" s="9"/>
      <c r="J33" s="7"/>
      <c r="K33" s="7"/>
      <c r="L33" s="7"/>
      <c r="M33" s="7"/>
      <c r="N33" s="10"/>
      <c r="O33" s="10"/>
      <c r="P33" s="10"/>
      <c r="W33" s="323" t="e">
        <f>4.2%*W32</f>
        <v>#REF!</v>
      </c>
    </row>
    <row r="34" spans="2:23" ht="15.75" customHeight="1">
      <c r="B34" s="7"/>
      <c r="C34" s="7"/>
      <c r="D34" s="7"/>
      <c r="F34" s="11"/>
      <c r="G34" s="11"/>
      <c r="K34" s="7"/>
      <c r="L34" s="7"/>
      <c r="M34" s="7"/>
      <c r="N34" s="7"/>
      <c r="O34" s="7"/>
      <c r="P34" s="7"/>
    </row>
    <row r="35" spans="2:23" ht="27" customHeight="1">
      <c r="F35" s="11"/>
      <c r="G35" s="229"/>
      <c r="H35" s="196"/>
      <c r="I35" s="230" t="s">
        <v>362</v>
      </c>
      <c r="J35" s="230" t="s">
        <v>363</v>
      </c>
      <c r="K35" s="230" t="s">
        <v>365</v>
      </c>
    </row>
    <row r="36" spans="2:23" ht="21.75" customHeight="1">
      <c r="F36" s="11"/>
      <c r="G36" s="779" t="s">
        <v>364</v>
      </c>
      <c r="H36" s="780"/>
      <c r="I36" s="234">
        <f>+I27</f>
        <v>14117125.817752568</v>
      </c>
      <c r="J36" s="234">
        <v>12220883.4237682</v>
      </c>
      <c r="K36" s="234">
        <f>+J36-I36</f>
        <v>-1896242.3939843681</v>
      </c>
    </row>
    <row r="37" spans="2:23" ht="15.75" customHeight="1">
      <c r="F37" s="11"/>
      <c r="G37" s="235">
        <v>0.08</v>
      </c>
      <c r="H37" s="236" t="s">
        <v>1</v>
      </c>
      <c r="I37" s="237">
        <f t="shared" ref="I37:I39" si="29">+$I$27*G37</f>
        <v>1129370.0654202055</v>
      </c>
      <c r="J37" s="237">
        <v>977670.67390145676</v>
      </c>
      <c r="K37" s="237">
        <f>+J37-I37</f>
        <v>-151699.39151874871</v>
      </c>
    </row>
    <row r="38" spans="2:23" ht="15.75" customHeight="1">
      <c r="F38" s="11"/>
      <c r="G38" s="235">
        <v>0.03</v>
      </c>
      <c r="H38" s="236" t="s">
        <v>2</v>
      </c>
      <c r="I38" s="237">
        <f t="shared" si="29"/>
        <v>423513.77453257702</v>
      </c>
      <c r="J38" s="237">
        <v>366626.50271304627</v>
      </c>
      <c r="K38" s="237">
        <f>+J38-I38</f>
        <v>-56887.271819530753</v>
      </c>
    </row>
    <row r="39" spans="2:23" ht="15.75" customHeight="1">
      <c r="F39" s="11"/>
      <c r="G39" s="235">
        <v>0.02</v>
      </c>
      <c r="H39" s="236" t="s">
        <v>3</v>
      </c>
      <c r="I39" s="237">
        <f t="shared" si="29"/>
        <v>282342.51635505137</v>
      </c>
      <c r="J39" s="237">
        <v>244417.66847536419</v>
      </c>
      <c r="K39" s="237">
        <f t="shared" ref="K39:K40" si="30">+J39-I39</f>
        <v>-37924.847879687179</v>
      </c>
    </row>
    <row r="40" spans="2:23" ht="15.75" customHeight="1">
      <c r="F40" s="11"/>
      <c r="G40" s="238">
        <f>+G39+G38+G37</f>
        <v>0.13</v>
      </c>
      <c r="H40" s="239" t="s">
        <v>4</v>
      </c>
      <c r="I40" s="240">
        <f>+I39+I38+I37</f>
        <v>1835226.3563078339</v>
      </c>
      <c r="J40" s="240">
        <v>1588714.8450898672</v>
      </c>
      <c r="K40" s="237">
        <f t="shared" si="30"/>
        <v>-246511.51121796668</v>
      </c>
    </row>
    <row r="41" spans="2:23" ht="15.75" customHeight="1">
      <c r="F41" s="11"/>
      <c r="G41" s="231"/>
      <c r="H41" s="232" t="s">
        <v>57</v>
      </c>
      <c r="I41" s="233">
        <f>+I40+I36</f>
        <v>15952352.174060402</v>
      </c>
      <c r="J41" s="233">
        <v>13809598.268858077</v>
      </c>
      <c r="K41" s="233">
        <f>+J41-I41</f>
        <v>-2142753.9052023254</v>
      </c>
    </row>
    <row r="42" spans="2:23" ht="15.75" customHeight="1">
      <c r="F42" s="11"/>
      <c r="G42" s="11"/>
    </row>
    <row r="43" spans="2:23" ht="15.75" customHeight="1">
      <c r="F43" s="11"/>
      <c r="G43" s="11"/>
    </row>
    <row r="44" spans="2:23" ht="15.75" customHeight="1">
      <c r="F44" s="11"/>
      <c r="G44" s="11"/>
    </row>
    <row r="45" spans="2:23" ht="15.75" customHeight="1">
      <c r="F45" s="11"/>
      <c r="G45" s="11"/>
    </row>
    <row r="46" spans="2:23" ht="15.75" customHeight="1">
      <c r="F46" s="11"/>
      <c r="G46" s="11"/>
    </row>
    <row r="47" spans="2:23" ht="15.75" customHeight="1">
      <c r="F47" s="11"/>
      <c r="G47" s="11"/>
    </row>
    <row r="48" spans="2:23" ht="15.75" customHeight="1">
      <c r="F48" s="11"/>
      <c r="G48" s="11"/>
    </row>
    <row r="49" spans="6:7" ht="15.75" customHeight="1">
      <c r="F49" s="11"/>
      <c r="G49" s="11"/>
    </row>
    <row r="50" spans="6:7" ht="15.75" customHeight="1">
      <c r="F50" s="11"/>
      <c r="G50" s="11"/>
    </row>
    <row r="51" spans="6:7" ht="15.75" customHeight="1">
      <c r="F51" s="11"/>
      <c r="G51" s="11"/>
    </row>
    <row r="52" spans="6:7" ht="15.75" customHeight="1">
      <c r="F52" s="11"/>
      <c r="G52" s="11"/>
    </row>
    <row r="53" spans="6:7" ht="15.75" customHeight="1">
      <c r="F53" s="11"/>
      <c r="G53" s="11"/>
    </row>
    <row r="54" spans="6:7" ht="15.75" customHeight="1">
      <c r="F54" s="11"/>
      <c r="G54" s="11"/>
    </row>
    <row r="55" spans="6:7" ht="15.75" customHeight="1">
      <c r="F55" s="11"/>
      <c r="G55" s="11"/>
    </row>
    <row r="56" spans="6:7" ht="15.75" customHeight="1">
      <c r="F56" s="11"/>
      <c r="G56" s="11"/>
    </row>
    <row r="57" spans="6:7" ht="15.75" customHeight="1">
      <c r="F57" s="11"/>
      <c r="G57" s="11"/>
    </row>
    <row r="58" spans="6:7" ht="15.75" customHeight="1">
      <c r="F58" s="11"/>
      <c r="G58" s="11"/>
    </row>
    <row r="59" spans="6:7" ht="15.75" customHeight="1">
      <c r="F59" s="11"/>
      <c r="G59" s="11"/>
    </row>
    <row r="60" spans="6:7" ht="15.75" customHeight="1">
      <c r="F60" s="11"/>
      <c r="G60" s="11"/>
    </row>
    <row r="61" spans="6:7" ht="15.75" customHeight="1">
      <c r="F61" s="11"/>
      <c r="G61" s="11"/>
    </row>
    <row r="62" spans="6:7" ht="15.75" customHeight="1">
      <c r="F62" s="11"/>
      <c r="G62" s="11"/>
    </row>
    <row r="63" spans="6:7" ht="15.75" customHeight="1">
      <c r="F63" s="11"/>
      <c r="G63" s="11"/>
    </row>
    <row r="64" spans="6:7" ht="15.75" customHeight="1">
      <c r="F64" s="11"/>
      <c r="G64" s="11"/>
    </row>
    <row r="65" spans="6:7" ht="15.75" customHeight="1">
      <c r="F65" s="11"/>
      <c r="G65" s="11"/>
    </row>
    <row r="66" spans="6:7" ht="15.75" customHeight="1">
      <c r="F66" s="11"/>
      <c r="G66" s="11"/>
    </row>
    <row r="67" spans="6:7" ht="15.75" customHeight="1">
      <c r="F67" s="11"/>
      <c r="G67" s="11"/>
    </row>
    <row r="68" spans="6:7" ht="15.75" customHeight="1">
      <c r="F68" s="11"/>
      <c r="G68" s="11"/>
    </row>
    <row r="69" spans="6:7" ht="15.75" customHeight="1">
      <c r="F69" s="11"/>
      <c r="G69" s="11"/>
    </row>
    <row r="70" spans="6:7" ht="15.75" customHeight="1">
      <c r="F70" s="11"/>
      <c r="G70" s="11"/>
    </row>
    <row r="71" spans="6:7" ht="15.75" customHeight="1">
      <c r="F71" s="11"/>
      <c r="G71" s="11"/>
    </row>
    <row r="72" spans="6:7" ht="15.75" customHeight="1">
      <c r="F72" s="11"/>
      <c r="G72" s="11"/>
    </row>
    <row r="73" spans="6:7" ht="15.75" customHeight="1">
      <c r="F73" s="11"/>
      <c r="G73" s="11"/>
    </row>
    <row r="74" spans="6:7" ht="15.75" customHeight="1">
      <c r="F74" s="11"/>
      <c r="G74" s="11"/>
    </row>
    <row r="75" spans="6:7" ht="15.75" customHeight="1">
      <c r="F75" s="11"/>
      <c r="G75" s="11"/>
    </row>
    <row r="76" spans="6:7" ht="15.75" customHeight="1">
      <c r="F76" s="11"/>
      <c r="G76" s="11"/>
    </row>
    <row r="77" spans="6:7" ht="15.75" customHeight="1">
      <c r="F77" s="11"/>
      <c r="G77" s="11"/>
    </row>
    <row r="78" spans="6:7" ht="15.75" customHeight="1">
      <c r="F78" s="11"/>
      <c r="G78" s="11"/>
    </row>
    <row r="79" spans="6:7" ht="15.75" customHeight="1">
      <c r="F79" s="11"/>
      <c r="G79" s="11"/>
    </row>
    <row r="80" spans="6:7" ht="15.75" customHeight="1">
      <c r="F80" s="11"/>
      <c r="G80" s="11"/>
    </row>
    <row r="81" spans="6:7" ht="15.75" customHeight="1">
      <c r="F81" s="11"/>
      <c r="G81" s="11"/>
    </row>
    <row r="82" spans="6:7" ht="15.75" customHeight="1">
      <c r="F82" s="11"/>
      <c r="G82" s="11"/>
    </row>
    <row r="83" spans="6:7" ht="15.75" customHeight="1">
      <c r="F83" s="11"/>
      <c r="G83" s="11"/>
    </row>
    <row r="84" spans="6:7" ht="15.75" customHeight="1">
      <c r="F84" s="11"/>
      <c r="G84" s="11"/>
    </row>
    <row r="85" spans="6:7" ht="15.75" customHeight="1">
      <c r="F85" s="11"/>
      <c r="G85" s="11"/>
    </row>
    <row r="86" spans="6:7" ht="15.75" customHeight="1">
      <c r="F86" s="11"/>
      <c r="G86" s="11"/>
    </row>
    <row r="87" spans="6:7" ht="15.75" customHeight="1">
      <c r="F87" s="11"/>
      <c r="G87" s="11"/>
    </row>
    <row r="88" spans="6:7" ht="15.75" customHeight="1">
      <c r="F88" s="11"/>
      <c r="G88" s="11"/>
    </row>
    <row r="89" spans="6:7" ht="15.75" customHeight="1">
      <c r="F89" s="11"/>
      <c r="G89" s="11"/>
    </row>
    <row r="90" spans="6:7" ht="15.75" customHeight="1">
      <c r="F90" s="11"/>
      <c r="G90" s="11"/>
    </row>
    <row r="91" spans="6:7" ht="15.75" customHeight="1">
      <c r="F91" s="11"/>
      <c r="G91" s="11"/>
    </row>
    <row r="92" spans="6:7" ht="15.75" customHeight="1">
      <c r="F92" s="11"/>
      <c r="G92" s="11"/>
    </row>
    <row r="93" spans="6:7" ht="15.75" customHeight="1">
      <c r="F93" s="11"/>
      <c r="G93" s="11"/>
    </row>
    <row r="94" spans="6:7" ht="15.75" customHeight="1">
      <c r="F94" s="11"/>
      <c r="G94" s="11"/>
    </row>
    <row r="95" spans="6:7" ht="15.75" customHeight="1">
      <c r="F95" s="11"/>
      <c r="G95" s="11"/>
    </row>
    <row r="96" spans="6:7" ht="15.75" customHeight="1">
      <c r="F96" s="11"/>
      <c r="G96" s="11"/>
    </row>
    <row r="97" spans="6:7" ht="15.75" customHeight="1">
      <c r="F97" s="11"/>
      <c r="G97" s="11"/>
    </row>
    <row r="98" spans="6:7" ht="15.75" customHeight="1">
      <c r="F98" s="11"/>
      <c r="G98" s="11"/>
    </row>
    <row r="99" spans="6:7" ht="15.75" customHeight="1">
      <c r="F99" s="11"/>
      <c r="G99" s="11"/>
    </row>
    <row r="100" spans="6:7" ht="15.75" customHeight="1">
      <c r="F100" s="11"/>
      <c r="G100" s="11"/>
    </row>
    <row r="101" spans="6:7" ht="15.75" customHeight="1">
      <c r="F101" s="11"/>
      <c r="G101" s="11"/>
    </row>
    <row r="102" spans="6:7" ht="15.75" customHeight="1">
      <c r="F102" s="11"/>
      <c r="G102" s="11"/>
    </row>
    <row r="103" spans="6:7" ht="15.75" customHeight="1">
      <c r="F103" s="11"/>
      <c r="G103" s="11"/>
    </row>
    <row r="104" spans="6:7" ht="15.75" customHeight="1">
      <c r="F104" s="11"/>
      <c r="G104" s="11"/>
    </row>
    <row r="105" spans="6:7" ht="15.75" customHeight="1">
      <c r="F105" s="11"/>
      <c r="G105" s="11"/>
    </row>
    <row r="106" spans="6:7" ht="15.75" customHeight="1">
      <c r="F106" s="11"/>
      <c r="G106" s="11"/>
    </row>
    <row r="107" spans="6:7" ht="15.75" customHeight="1">
      <c r="F107" s="11"/>
      <c r="G107" s="11"/>
    </row>
    <row r="108" spans="6:7" ht="15.75" customHeight="1">
      <c r="F108" s="11"/>
      <c r="G108" s="11"/>
    </row>
    <row r="109" spans="6:7" ht="15.75" customHeight="1">
      <c r="F109" s="11"/>
      <c r="G109" s="11"/>
    </row>
    <row r="110" spans="6:7" ht="15.75" customHeight="1">
      <c r="F110" s="11"/>
      <c r="G110" s="11"/>
    </row>
    <row r="111" spans="6:7" ht="15.75" customHeight="1">
      <c r="F111" s="11"/>
      <c r="G111" s="11"/>
    </row>
    <row r="112" spans="6:7" ht="15.75" customHeight="1">
      <c r="F112" s="11"/>
      <c r="G112" s="11"/>
    </row>
    <row r="113" spans="6:7" ht="15.75" customHeight="1">
      <c r="F113" s="11"/>
      <c r="G113" s="11"/>
    </row>
    <row r="114" spans="6:7" ht="15.75" customHeight="1">
      <c r="F114" s="11"/>
      <c r="G114" s="11"/>
    </row>
    <row r="115" spans="6:7" ht="15.75" customHeight="1">
      <c r="F115" s="11"/>
      <c r="G115" s="11"/>
    </row>
    <row r="116" spans="6:7" ht="15.75" customHeight="1">
      <c r="F116" s="11"/>
      <c r="G116" s="11"/>
    </row>
    <row r="117" spans="6:7" ht="15.75" customHeight="1">
      <c r="F117" s="11"/>
      <c r="G117" s="11"/>
    </row>
    <row r="118" spans="6:7" ht="15.75" customHeight="1">
      <c r="F118" s="11"/>
      <c r="G118" s="11"/>
    </row>
    <row r="119" spans="6:7" ht="15.75" customHeight="1">
      <c r="F119" s="11"/>
      <c r="G119" s="11"/>
    </row>
    <row r="120" spans="6:7" ht="15.75" customHeight="1">
      <c r="F120" s="11"/>
      <c r="G120" s="11"/>
    </row>
    <row r="121" spans="6:7" ht="15.75" customHeight="1">
      <c r="F121" s="11"/>
      <c r="G121" s="11"/>
    </row>
    <row r="122" spans="6:7" ht="15.75" customHeight="1">
      <c r="F122" s="11"/>
      <c r="G122" s="11"/>
    </row>
    <row r="123" spans="6:7" ht="15.75" customHeight="1">
      <c r="F123" s="11"/>
      <c r="G123" s="11"/>
    </row>
    <row r="124" spans="6:7" ht="15.75" customHeight="1">
      <c r="F124" s="11"/>
      <c r="G124" s="11"/>
    </row>
    <row r="125" spans="6:7" ht="15.75" customHeight="1">
      <c r="F125" s="11"/>
      <c r="G125" s="11"/>
    </row>
    <row r="126" spans="6:7" ht="15.75" customHeight="1">
      <c r="F126" s="11"/>
      <c r="G126" s="11"/>
    </row>
    <row r="127" spans="6:7" ht="15.75" customHeight="1">
      <c r="F127" s="11"/>
      <c r="G127" s="11"/>
    </row>
    <row r="128" spans="6:7" ht="15.75" customHeight="1">
      <c r="F128" s="11"/>
      <c r="G128" s="11"/>
    </row>
    <row r="129" spans="6:7" ht="15.75" customHeight="1">
      <c r="F129" s="11"/>
      <c r="G129" s="11"/>
    </row>
    <row r="130" spans="6:7" ht="15.75" customHeight="1">
      <c r="F130" s="11"/>
      <c r="G130" s="11"/>
    </row>
    <row r="131" spans="6:7" ht="15.75" customHeight="1">
      <c r="F131" s="11"/>
      <c r="G131" s="11"/>
    </row>
    <row r="132" spans="6:7" ht="15.75" customHeight="1">
      <c r="F132" s="11"/>
      <c r="G132" s="11"/>
    </row>
    <row r="133" spans="6:7" ht="15.75" customHeight="1">
      <c r="F133" s="11"/>
      <c r="G133" s="11"/>
    </row>
    <row r="134" spans="6:7" ht="15.75" customHeight="1">
      <c r="F134" s="11"/>
      <c r="G134" s="11"/>
    </row>
    <row r="135" spans="6:7" ht="15.75" customHeight="1">
      <c r="F135" s="11"/>
      <c r="G135" s="11"/>
    </row>
    <row r="136" spans="6:7" ht="15.75" customHeight="1">
      <c r="F136" s="11"/>
      <c r="G136" s="11"/>
    </row>
    <row r="137" spans="6:7" ht="15.75" customHeight="1">
      <c r="F137" s="11"/>
      <c r="G137" s="11"/>
    </row>
    <row r="138" spans="6:7" ht="15.75" customHeight="1">
      <c r="F138" s="11"/>
      <c r="G138" s="11"/>
    </row>
    <row r="139" spans="6:7" ht="15.75" customHeight="1">
      <c r="F139" s="11"/>
      <c r="G139" s="11"/>
    </row>
    <row r="140" spans="6:7" ht="15.75" customHeight="1">
      <c r="F140" s="11"/>
      <c r="G140" s="11"/>
    </row>
    <row r="141" spans="6:7" ht="15.75" customHeight="1">
      <c r="F141" s="11"/>
      <c r="G141" s="11"/>
    </row>
    <row r="142" spans="6:7" ht="15.75" customHeight="1">
      <c r="F142" s="11"/>
      <c r="G142" s="11"/>
    </row>
    <row r="143" spans="6:7" ht="15.75" customHeight="1">
      <c r="F143" s="11"/>
      <c r="G143" s="11"/>
    </row>
    <row r="144" spans="6:7" ht="15.75" customHeight="1">
      <c r="F144" s="11"/>
      <c r="G144" s="11"/>
    </row>
    <row r="145" spans="6:7" ht="15.75" customHeight="1">
      <c r="F145" s="11"/>
      <c r="G145" s="11"/>
    </row>
    <row r="146" spans="6:7" ht="15.75" customHeight="1">
      <c r="F146" s="11"/>
      <c r="G146" s="11"/>
    </row>
    <row r="147" spans="6:7" ht="15.75" customHeight="1">
      <c r="F147" s="11"/>
      <c r="G147" s="11"/>
    </row>
    <row r="148" spans="6:7" ht="15.75" customHeight="1">
      <c r="F148" s="11"/>
      <c r="G148" s="11"/>
    </row>
    <row r="149" spans="6:7" ht="15.75" customHeight="1">
      <c r="F149" s="11"/>
      <c r="G149" s="11"/>
    </row>
    <row r="150" spans="6:7" ht="15.75" customHeight="1">
      <c r="F150" s="11"/>
      <c r="G150" s="11"/>
    </row>
    <row r="151" spans="6:7" ht="15.75" customHeight="1">
      <c r="F151" s="11"/>
      <c r="G151" s="11"/>
    </row>
    <row r="152" spans="6:7" ht="15.75" customHeight="1">
      <c r="F152" s="11"/>
      <c r="G152" s="11"/>
    </row>
    <row r="153" spans="6:7" ht="15.75" customHeight="1">
      <c r="F153" s="11"/>
      <c r="G153" s="11"/>
    </row>
    <row r="154" spans="6:7" ht="15.75" customHeight="1">
      <c r="F154" s="11"/>
      <c r="G154" s="11"/>
    </row>
    <row r="155" spans="6:7" ht="15.75" customHeight="1">
      <c r="F155" s="11"/>
      <c r="G155" s="11"/>
    </row>
    <row r="156" spans="6:7" ht="15.75" customHeight="1">
      <c r="F156" s="11"/>
      <c r="G156" s="11"/>
    </row>
    <row r="157" spans="6:7" ht="15.75" customHeight="1">
      <c r="F157" s="11"/>
      <c r="G157" s="11"/>
    </row>
    <row r="158" spans="6:7" ht="15.75" customHeight="1">
      <c r="F158" s="11"/>
      <c r="G158" s="11"/>
    </row>
    <row r="159" spans="6:7" ht="15.75" customHeight="1">
      <c r="F159" s="11"/>
      <c r="G159" s="11"/>
    </row>
    <row r="160" spans="6:7" ht="15.75" customHeight="1">
      <c r="F160" s="11"/>
      <c r="G160" s="11"/>
    </row>
    <row r="161" spans="6:7" ht="15.75" customHeight="1">
      <c r="F161" s="11"/>
      <c r="G161" s="11"/>
    </row>
    <row r="162" spans="6:7" ht="15.75" customHeight="1">
      <c r="F162" s="11"/>
      <c r="G162" s="11"/>
    </row>
    <row r="163" spans="6:7" ht="15.75" customHeight="1">
      <c r="F163" s="11"/>
      <c r="G163" s="11"/>
    </row>
    <row r="164" spans="6:7" ht="15.75" customHeight="1">
      <c r="F164" s="11"/>
      <c r="G164" s="11"/>
    </row>
    <row r="165" spans="6:7" ht="15.75" customHeight="1">
      <c r="F165" s="11"/>
      <c r="G165" s="11"/>
    </row>
    <row r="166" spans="6:7" ht="15.75" customHeight="1">
      <c r="F166" s="11"/>
      <c r="G166" s="11"/>
    </row>
    <row r="167" spans="6:7" ht="15.75" customHeight="1">
      <c r="F167" s="11"/>
      <c r="G167" s="11"/>
    </row>
    <row r="168" spans="6:7" ht="15.75" customHeight="1">
      <c r="F168" s="11"/>
      <c r="G168" s="11"/>
    </row>
    <row r="169" spans="6:7" ht="15.75" customHeight="1">
      <c r="F169" s="11"/>
      <c r="G169" s="11"/>
    </row>
    <row r="170" spans="6:7" ht="15.75" customHeight="1">
      <c r="F170" s="11"/>
      <c r="G170" s="11"/>
    </row>
    <row r="171" spans="6:7" ht="15.75" customHeight="1">
      <c r="F171" s="11"/>
      <c r="G171" s="11"/>
    </row>
    <row r="172" spans="6:7" ht="15.75" customHeight="1">
      <c r="F172" s="11"/>
      <c r="G172" s="11"/>
    </row>
    <row r="173" spans="6:7" ht="15.75" customHeight="1">
      <c r="F173" s="11"/>
      <c r="G173" s="11"/>
    </row>
    <row r="174" spans="6:7" ht="15.75" customHeight="1">
      <c r="F174" s="11"/>
      <c r="G174" s="11"/>
    </row>
    <row r="175" spans="6:7" ht="15.75" customHeight="1">
      <c r="F175" s="11"/>
      <c r="G175" s="11"/>
    </row>
    <row r="176" spans="6:7" ht="15.75" customHeight="1">
      <c r="F176" s="11"/>
      <c r="G176" s="11"/>
    </row>
    <row r="177" spans="6:7" ht="15.75" customHeight="1">
      <c r="F177" s="11"/>
      <c r="G177" s="11"/>
    </row>
    <row r="178" spans="6:7" ht="15.75" customHeight="1">
      <c r="F178" s="11"/>
      <c r="G178" s="11"/>
    </row>
    <row r="179" spans="6:7" ht="15.75" customHeight="1">
      <c r="F179" s="11"/>
      <c r="G179" s="11"/>
    </row>
    <row r="180" spans="6:7" ht="15.75" customHeight="1">
      <c r="F180" s="11"/>
      <c r="G180" s="11"/>
    </row>
    <row r="181" spans="6:7" ht="15.75" customHeight="1">
      <c r="F181" s="11"/>
      <c r="G181" s="11"/>
    </row>
    <row r="182" spans="6:7" ht="15.75" customHeight="1">
      <c r="F182" s="11"/>
      <c r="G182" s="11"/>
    </row>
    <row r="183" spans="6:7" ht="15.75" customHeight="1">
      <c r="F183" s="11"/>
      <c r="G183" s="11"/>
    </row>
    <row r="184" spans="6:7" ht="15.75" customHeight="1">
      <c r="F184" s="11"/>
      <c r="G184" s="11"/>
    </row>
    <row r="185" spans="6:7" ht="15.75" customHeight="1">
      <c r="F185" s="11"/>
      <c r="G185" s="11"/>
    </row>
    <row r="186" spans="6:7" ht="15.75" customHeight="1">
      <c r="F186" s="11"/>
      <c r="G186" s="11"/>
    </row>
    <row r="187" spans="6:7" ht="15.75" customHeight="1">
      <c r="F187" s="11"/>
      <c r="G187" s="11"/>
    </row>
    <row r="188" spans="6:7" ht="15.75" customHeight="1">
      <c r="F188" s="11"/>
      <c r="G188" s="11"/>
    </row>
    <row r="189" spans="6:7" ht="15.75" customHeight="1">
      <c r="F189" s="11"/>
      <c r="G189" s="11"/>
    </row>
    <row r="190" spans="6:7" ht="15.75" customHeight="1">
      <c r="F190" s="11"/>
      <c r="G190" s="11"/>
    </row>
    <row r="191" spans="6:7" ht="15.75" customHeight="1">
      <c r="F191" s="11"/>
      <c r="G191" s="11"/>
    </row>
    <row r="192" spans="6:7" ht="15.75" customHeight="1">
      <c r="F192" s="11"/>
      <c r="G192" s="11"/>
    </row>
    <row r="193" spans="6:7" ht="15.75" customHeight="1">
      <c r="F193" s="11"/>
      <c r="G193" s="11"/>
    </row>
    <row r="194" spans="6:7" ht="15.75" customHeight="1">
      <c r="F194" s="11"/>
      <c r="G194" s="11"/>
    </row>
    <row r="195" spans="6:7" ht="15.75" customHeight="1">
      <c r="F195" s="11"/>
      <c r="G195" s="11"/>
    </row>
    <row r="196" spans="6:7" ht="15.75" customHeight="1">
      <c r="F196" s="11"/>
      <c r="G196" s="11"/>
    </row>
    <row r="197" spans="6:7" ht="15.75" customHeight="1">
      <c r="F197" s="11"/>
      <c r="G197" s="11"/>
    </row>
    <row r="198" spans="6:7" ht="15.75" customHeight="1">
      <c r="F198" s="11"/>
      <c r="G198" s="11"/>
    </row>
    <row r="199" spans="6:7" ht="15.75" customHeight="1">
      <c r="F199" s="11"/>
      <c r="G199" s="11"/>
    </row>
    <row r="200" spans="6:7" ht="15.75" customHeight="1">
      <c r="F200" s="11"/>
      <c r="G200" s="11"/>
    </row>
    <row r="201" spans="6:7" ht="15.75" customHeight="1">
      <c r="F201" s="11"/>
      <c r="G201" s="11"/>
    </row>
    <row r="202" spans="6:7" ht="15.75" customHeight="1">
      <c r="F202" s="11"/>
      <c r="G202" s="11"/>
    </row>
    <row r="203" spans="6:7" ht="15.75" customHeight="1">
      <c r="F203" s="11"/>
      <c r="G203" s="11"/>
    </row>
    <row r="204" spans="6:7" ht="15.75" customHeight="1">
      <c r="F204" s="11"/>
      <c r="G204" s="11"/>
    </row>
    <row r="205" spans="6:7" ht="15.75" customHeight="1">
      <c r="F205" s="11"/>
      <c r="G205" s="11"/>
    </row>
    <row r="206" spans="6:7" ht="15.75" customHeight="1">
      <c r="F206" s="11"/>
      <c r="G206" s="11"/>
    </row>
    <row r="207" spans="6:7" ht="15.75" customHeight="1">
      <c r="F207" s="11"/>
      <c r="G207" s="11"/>
    </row>
    <row r="208" spans="6:7" ht="15.75" customHeight="1">
      <c r="F208" s="11"/>
      <c r="G208" s="11"/>
    </row>
    <row r="209" spans="6:7" ht="15.75" customHeight="1">
      <c r="F209" s="11"/>
      <c r="G209" s="11"/>
    </row>
    <row r="210" spans="6:7" ht="15.75" customHeight="1">
      <c r="F210" s="11"/>
      <c r="G210" s="11"/>
    </row>
    <row r="211" spans="6:7" ht="15.75" customHeight="1">
      <c r="F211" s="11"/>
      <c r="G211" s="11"/>
    </row>
    <row r="212" spans="6:7" ht="15.75" customHeight="1">
      <c r="F212" s="11"/>
      <c r="G212" s="11"/>
    </row>
    <row r="213" spans="6:7" ht="15.75" customHeight="1">
      <c r="F213" s="11"/>
      <c r="G213" s="11"/>
    </row>
    <row r="214" spans="6:7" ht="15.75" customHeight="1">
      <c r="F214" s="11"/>
      <c r="G214" s="11"/>
    </row>
    <row r="215" spans="6:7" ht="15.75" customHeight="1">
      <c r="F215" s="11"/>
      <c r="G215" s="11"/>
    </row>
    <row r="216" spans="6:7" ht="15.75" customHeight="1">
      <c r="F216" s="11"/>
      <c r="G216" s="11"/>
    </row>
    <row r="217" spans="6:7" ht="15.75" customHeight="1">
      <c r="F217" s="11"/>
      <c r="G217" s="11"/>
    </row>
    <row r="218" spans="6:7" ht="15.75" customHeight="1">
      <c r="F218" s="11"/>
      <c r="G218" s="11"/>
    </row>
    <row r="219" spans="6:7" ht="15.75" customHeight="1">
      <c r="F219" s="11"/>
      <c r="G219" s="11"/>
    </row>
    <row r="220" spans="6:7" ht="15.75" customHeight="1">
      <c r="F220" s="11"/>
      <c r="G220" s="11"/>
    </row>
    <row r="221" spans="6:7" ht="15.75" customHeight="1">
      <c r="F221" s="11"/>
      <c r="G221" s="11"/>
    </row>
    <row r="222" spans="6:7" ht="15.75" customHeight="1">
      <c r="F222" s="11"/>
      <c r="G222" s="11"/>
    </row>
    <row r="223" spans="6:7" ht="15.75" customHeight="1">
      <c r="F223" s="11"/>
      <c r="G223" s="11"/>
    </row>
    <row r="224" spans="6:7" ht="15.75" customHeight="1">
      <c r="F224" s="11"/>
      <c r="G224" s="11"/>
    </row>
    <row r="225" spans="6:7" ht="15.75" customHeight="1">
      <c r="F225" s="11"/>
      <c r="G225" s="11"/>
    </row>
    <row r="226" spans="6:7" ht="15.75" customHeight="1">
      <c r="F226" s="11"/>
      <c r="G226" s="11"/>
    </row>
    <row r="227" spans="6:7" ht="15.75" customHeight="1">
      <c r="F227" s="11"/>
      <c r="G227" s="11"/>
    </row>
    <row r="228" spans="6:7" ht="15.75" customHeight="1">
      <c r="F228" s="11"/>
      <c r="G228" s="11"/>
    </row>
    <row r="229" spans="6:7" ht="15.75" customHeight="1">
      <c r="F229" s="11"/>
      <c r="G229" s="11"/>
    </row>
    <row r="230" spans="6:7" ht="15.75" customHeight="1">
      <c r="F230" s="11"/>
      <c r="G230" s="11"/>
    </row>
    <row r="231" spans="6:7" ht="15.75" customHeight="1">
      <c r="F231" s="11"/>
      <c r="G231" s="11"/>
    </row>
    <row r="232" spans="6:7" ht="15.75" customHeight="1">
      <c r="F232" s="11"/>
      <c r="G232" s="11"/>
    </row>
    <row r="233" spans="6:7" ht="15.75" customHeight="1">
      <c r="F233" s="11"/>
      <c r="G233" s="11"/>
    </row>
    <row r="234" spans="6:7" ht="15.75" customHeight="1">
      <c r="F234" s="11"/>
      <c r="G234" s="11"/>
    </row>
    <row r="235" spans="6:7" ht="15.75" customHeight="1">
      <c r="F235" s="11"/>
      <c r="G235" s="11"/>
    </row>
    <row r="236" spans="6:7" ht="15.75" customHeight="1">
      <c r="F236" s="11"/>
      <c r="G236" s="11"/>
    </row>
    <row r="237" spans="6:7" ht="15.75" customHeight="1">
      <c r="F237" s="11"/>
      <c r="G237" s="11"/>
    </row>
    <row r="238" spans="6:7" ht="15.75" customHeight="1">
      <c r="F238" s="11"/>
      <c r="G238" s="11"/>
    </row>
    <row r="239" spans="6:7" ht="15.75" customHeight="1">
      <c r="F239" s="11"/>
      <c r="G239" s="11"/>
    </row>
    <row r="240" spans="6:7" ht="15.75" customHeight="1">
      <c r="F240" s="11"/>
      <c r="G240" s="11"/>
    </row>
    <row r="241" spans="6:7" ht="15.75" customHeight="1">
      <c r="F241" s="11"/>
      <c r="G241" s="11"/>
    </row>
    <row r="242" spans="6:7" ht="15.75" customHeight="1">
      <c r="F242" s="11"/>
      <c r="G242" s="11"/>
    </row>
    <row r="243" spans="6:7" ht="15.75" customHeight="1">
      <c r="F243" s="11"/>
      <c r="G243" s="11"/>
    </row>
    <row r="244" spans="6:7" ht="15.75" customHeight="1">
      <c r="F244" s="11"/>
      <c r="G244" s="11"/>
    </row>
    <row r="245" spans="6:7" ht="15.75" customHeight="1">
      <c r="F245" s="11"/>
      <c r="G245" s="11"/>
    </row>
    <row r="246" spans="6:7" ht="15.75" customHeight="1">
      <c r="F246" s="11"/>
      <c r="G246" s="11"/>
    </row>
    <row r="247" spans="6:7" ht="15.75" customHeight="1">
      <c r="F247" s="11"/>
      <c r="G247" s="11"/>
    </row>
    <row r="248" spans="6:7" ht="15.75" customHeight="1">
      <c r="F248" s="11"/>
      <c r="G248" s="11"/>
    </row>
    <row r="249" spans="6:7" ht="15.75" customHeight="1">
      <c r="F249" s="11"/>
      <c r="G249" s="11"/>
    </row>
    <row r="250" spans="6:7" ht="15.75" customHeight="1">
      <c r="F250" s="11"/>
      <c r="G250" s="11"/>
    </row>
    <row r="251" spans="6:7" ht="15.75" customHeight="1">
      <c r="F251" s="11"/>
      <c r="G251" s="11"/>
    </row>
    <row r="252" spans="6:7" ht="15.75" customHeight="1">
      <c r="F252" s="11"/>
      <c r="G252" s="11"/>
    </row>
    <row r="253" spans="6:7" ht="15.75" customHeight="1">
      <c r="F253" s="11"/>
      <c r="G253" s="11"/>
    </row>
    <row r="254" spans="6:7" ht="15.75" customHeight="1">
      <c r="F254" s="11"/>
      <c r="G254" s="11"/>
    </row>
    <row r="255" spans="6:7" ht="15.75" customHeight="1">
      <c r="F255" s="11"/>
      <c r="G255" s="11"/>
    </row>
    <row r="256" spans="6:7" ht="15.75" customHeight="1">
      <c r="F256" s="11"/>
      <c r="G256" s="11"/>
    </row>
    <row r="257" spans="6:7" ht="15.75" customHeight="1">
      <c r="F257" s="11"/>
      <c r="G257" s="11"/>
    </row>
    <row r="258" spans="6:7" ht="15.75" customHeight="1">
      <c r="F258" s="11"/>
      <c r="G258" s="11"/>
    </row>
    <row r="259" spans="6:7" ht="15.75" customHeight="1">
      <c r="F259" s="11"/>
      <c r="G259" s="11"/>
    </row>
    <row r="260" spans="6:7" ht="15.75" customHeight="1">
      <c r="F260" s="11"/>
      <c r="G260" s="11"/>
    </row>
    <row r="261" spans="6:7" ht="15.75" customHeight="1">
      <c r="F261" s="11"/>
      <c r="G261" s="11"/>
    </row>
    <row r="262" spans="6:7" ht="15.75" customHeight="1">
      <c r="F262" s="11"/>
      <c r="G262" s="11"/>
    </row>
    <row r="263" spans="6:7" ht="15.75" customHeight="1">
      <c r="F263" s="11"/>
      <c r="G263" s="11"/>
    </row>
    <row r="264" spans="6:7" ht="15.75" customHeight="1">
      <c r="F264" s="11"/>
      <c r="G264" s="11"/>
    </row>
    <row r="265" spans="6:7" ht="15.75" customHeight="1">
      <c r="F265" s="11"/>
      <c r="G265" s="11"/>
    </row>
    <row r="266" spans="6:7" ht="15.75" customHeight="1">
      <c r="F266" s="11"/>
      <c r="G266" s="11"/>
    </row>
    <row r="267" spans="6:7" ht="15.75" customHeight="1">
      <c r="F267" s="11"/>
      <c r="G267" s="11"/>
    </row>
    <row r="268" spans="6:7" ht="15.75" customHeight="1">
      <c r="F268" s="11"/>
      <c r="G268" s="11"/>
    </row>
    <row r="269" spans="6:7" ht="15.75" customHeight="1">
      <c r="F269" s="11"/>
      <c r="G269" s="11"/>
    </row>
    <row r="270" spans="6:7" ht="15.75" customHeight="1">
      <c r="F270" s="11"/>
      <c r="G270" s="11"/>
    </row>
    <row r="271" spans="6:7" ht="15.75" customHeight="1">
      <c r="F271" s="11"/>
      <c r="G271" s="11"/>
    </row>
    <row r="272" spans="6:7" ht="15.75" customHeight="1">
      <c r="F272" s="11"/>
      <c r="G272" s="11"/>
    </row>
    <row r="273" spans="6:7" ht="15.75" customHeight="1">
      <c r="F273" s="11"/>
      <c r="G273" s="11"/>
    </row>
    <row r="274" spans="6:7" ht="15.75" customHeight="1">
      <c r="F274" s="11"/>
      <c r="G274" s="11"/>
    </row>
    <row r="275" spans="6:7" ht="15.75" customHeight="1">
      <c r="F275" s="11"/>
      <c r="G275" s="11"/>
    </row>
    <row r="276" spans="6:7" ht="15.75" customHeight="1">
      <c r="F276" s="11"/>
      <c r="G276" s="11"/>
    </row>
    <row r="277" spans="6:7" ht="15.75" customHeight="1">
      <c r="F277" s="11"/>
      <c r="G277" s="11"/>
    </row>
    <row r="278" spans="6:7" ht="15.75" customHeight="1">
      <c r="F278" s="11"/>
      <c r="G278" s="11"/>
    </row>
    <row r="279" spans="6:7" ht="15.75" customHeight="1">
      <c r="F279" s="11"/>
      <c r="G279" s="11"/>
    </row>
    <row r="280" spans="6:7" ht="15.75" customHeight="1">
      <c r="F280" s="11"/>
      <c r="G280" s="11"/>
    </row>
    <row r="281" spans="6:7" ht="15.75" customHeight="1">
      <c r="F281" s="11"/>
      <c r="G281" s="11"/>
    </row>
    <row r="282" spans="6:7" ht="15.75" customHeight="1">
      <c r="F282" s="11"/>
      <c r="G282" s="11"/>
    </row>
    <row r="283" spans="6:7" ht="15.75" customHeight="1">
      <c r="F283" s="11"/>
      <c r="G283" s="11"/>
    </row>
    <row r="284" spans="6:7" ht="15.75" customHeight="1">
      <c r="F284" s="11"/>
      <c r="G284" s="11"/>
    </row>
    <row r="285" spans="6:7" ht="15.75" customHeight="1">
      <c r="F285" s="11"/>
      <c r="G285" s="11"/>
    </row>
    <row r="286" spans="6:7" ht="15.75" customHeight="1">
      <c r="F286" s="11"/>
      <c r="G286" s="11"/>
    </row>
    <row r="287" spans="6:7" ht="15.75" customHeight="1">
      <c r="F287" s="11"/>
      <c r="G287" s="11"/>
    </row>
    <row r="288" spans="6:7" ht="15.75" customHeight="1">
      <c r="F288" s="11"/>
      <c r="G288" s="11"/>
    </row>
    <row r="289" spans="6:7" ht="15.75" customHeight="1">
      <c r="F289" s="11"/>
      <c r="G289" s="11"/>
    </row>
    <row r="290" spans="6:7" ht="15.75" customHeight="1">
      <c r="F290" s="11"/>
      <c r="G290" s="11"/>
    </row>
    <row r="291" spans="6:7" ht="15.75" customHeight="1">
      <c r="F291" s="11"/>
      <c r="G291" s="11"/>
    </row>
    <row r="292" spans="6:7" ht="15.75" customHeight="1">
      <c r="F292" s="11"/>
      <c r="G292" s="11"/>
    </row>
    <row r="293" spans="6:7" ht="15.75" customHeight="1">
      <c r="F293" s="11"/>
      <c r="G293" s="11"/>
    </row>
    <row r="294" spans="6:7" ht="15.75" customHeight="1">
      <c r="F294" s="11"/>
      <c r="G294" s="11"/>
    </row>
    <row r="295" spans="6:7" ht="15.75" customHeight="1">
      <c r="F295" s="11"/>
      <c r="G295" s="11"/>
    </row>
    <row r="296" spans="6:7" ht="15.75" customHeight="1">
      <c r="F296" s="11"/>
      <c r="G296" s="11"/>
    </row>
    <row r="297" spans="6:7" ht="15.75" customHeight="1">
      <c r="F297" s="11"/>
      <c r="G297" s="11"/>
    </row>
    <row r="298" spans="6:7" ht="15.75" customHeight="1">
      <c r="F298" s="11"/>
      <c r="G298" s="11"/>
    </row>
    <row r="299" spans="6:7" ht="15.75" customHeight="1">
      <c r="F299" s="11"/>
      <c r="G299" s="11"/>
    </row>
    <row r="300" spans="6:7" ht="15.75" customHeight="1">
      <c r="F300" s="11"/>
      <c r="G300" s="11"/>
    </row>
    <row r="301" spans="6:7" ht="15.75" customHeight="1">
      <c r="F301" s="11"/>
      <c r="G301" s="11"/>
    </row>
    <row r="302" spans="6:7" ht="15.75" customHeight="1">
      <c r="F302" s="11"/>
      <c r="G302" s="11"/>
    </row>
    <row r="303" spans="6:7" ht="15.75" customHeight="1">
      <c r="F303" s="11"/>
      <c r="G303" s="11"/>
    </row>
    <row r="304" spans="6:7" ht="15.75" customHeight="1">
      <c r="F304" s="11"/>
      <c r="G304" s="11"/>
    </row>
    <row r="305" spans="6:7" ht="15.75" customHeight="1">
      <c r="F305" s="11"/>
      <c r="G305" s="11"/>
    </row>
    <row r="306" spans="6:7" ht="15.75" customHeight="1">
      <c r="F306" s="11"/>
      <c r="G306" s="11"/>
    </row>
    <row r="307" spans="6:7" ht="15.75" customHeight="1">
      <c r="F307" s="11"/>
      <c r="G307" s="11"/>
    </row>
    <row r="308" spans="6:7" ht="15.75" customHeight="1">
      <c r="F308" s="11"/>
      <c r="G308" s="11"/>
    </row>
    <row r="309" spans="6:7" ht="15.75" customHeight="1">
      <c r="F309" s="11"/>
      <c r="G309" s="11"/>
    </row>
    <row r="310" spans="6:7" ht="15.75" customHeight="1">
      <c r="F310" s="11"/>
      <c r="G310" s="11"/>
    </row>
    <row r="311" spans="6:7" ht="15.75" customHeight="1">
      <c r="F311" s="11"/>
      <c r="G311" s="11"/>
    </row>
    <row r="312" spans="6:7" ht="15.75" customHeight="1">
      <c r="F312" s="11"/>
      <c r="G312" s="11"/>
    </row>
    <row r="313" spans="6:7" ht="15.75" customHeight="1">
      <c r="F313" s="11"/>
      <c r="G313" s="11"/>
    </row>
    <row r="314" spans="6:7" ht="15.75" customHeight="1">
      <c r="F314" s="11"/>
      <c r="G314" s="11"/>
    </row>
    <row r="315" spans="6:7" ht="15.75" customHeight="1">
      <c r="F315" s="11"/>
      <c r="G315" s="11"/>
    </row>
    <row r="316" spans="6:7" ht="15.75" customHeight="1">
      <c r="F316" s="11"/>
      <c r="G316" s="11"/>
    </row>
    <row r="317" spans="6:7" ht="15.75" customHeight="1">
      <c r="F317" s="11"/>
      <c r="G317" s="11"/>
    </row>
    <row r="318" spans="6:7" ht="15.75" customHeight="1">
      <c r="F318" s="11"/>
      <c r="G318" s="11"/>
    </row>
    <row r="319" spans="6:7" ht="15.75" customHeight="1">
      <c r="F319" s="11"/>
      <c r="G319" s="11"/>
    </row>
    <row r="320" spans="6:7" ht="15.75" customHeight="1">
      <c r="F320" s="11"/>
      <c r="G320" s="11"/>
    </row>
    <row r="321" spans="6:7" ht="15.75" customHeight="1">
      <c r="F321" s="11"/>
      <c r="G321" s="11"/>
    </row>
    <row r="322" spans="6:7" ht="15.75" customHeight="1">
      <c r="F322" s="11"/>
      <c r="G322" s="11"/>
    </row>
    <row r="323" spans="6:7" ht="15.75" customHeight="1">
      <c r="F323" s="11"/>
      <c r="G323" s="11"/>
    </row>
    <row r="324" spans="6:7" ht="15.75" customHeight="1">
      <c r="F324" s="11"/>
      <c r="G324" s="11"/>
    </row>
    <row r="325" spans="6:7" ht="15.75" customHeight="1">
      <c r="F325" s="11"/>
      <c r="G325" s="11"/>
    </row>
    <row r="326" spans="6:7" ht="15.75" customHeight="1">
      <c r="F326" s="11"/>
      <c r="G326" s="11"/>
    </row>
    <row r="327" spans="6:7" ht="15.75" customHeight="1">
      <c r="F327" s="11"/>
      <c r="G327" s="11"/>
    </row>
    <row r="328" spans="6:7" ht="15.75" customHeight="1">
      <c r="F328" s="11"/>
      <c r="G328" s="11"/>
    </row>
    <row r="329" spans="6:7" ht="15.75" customHeight="1">
      <c r="F329" s="11"/>
      <c r="G329" s="11"/>
    </row>
    <row r="330" spans="6:7" ht="15.75" customHeight="1">
      <c r="F330" s="11"/>
      <c r="G330" s="11"/>
    </row>
    <row r="331" spans="6:7" ht="15.75" customHeight="1">
      <c r="F331" s="11"/>
      <c r="G331" s="11"/>
    </row>
    <row r="332" spans="6:7" ht="15.75" customHeight="1">
      <c r="F332" s="11"/>
      <c r="G332" s="11"/>
    </row>
    <row r="333" spans="6:7" ht="15.75" customHeight="1">
      <c r="F333" s="11"/>
      <c r="G333" s="11"/>
    </row>
    <row r="334" spans="6:7" ht="15.75" customHeight="1">
      <c r="F334" s="11"/>
      <c r="G334" s="11"/>
    </row>
    <row r="335" spans="6:7" ht="15.75" customHeight="1">
      <c r="F335" s="11"/>
      <c r="G335" s="11"/>
    </row>
    <row r="336" spans="6:7" ht="15.75" customHeight="1">
      <c r="F336" s="11"/>
      <c r="G336" s="11"/>
    </row>
    <row r="337" spans="6:7" ht="15.75" customHeight="1">
      <c r="F337" s="11"/>
      <c r="G337" s="11"/>
    </row>
    <row r="338" spans="6:7" ht="15.75" customHeight="1">
      <c r="F338" s="11"/>
      <c r="G338" s="11"/>
    </row>
    <row r="339" spans="6:7" ht="15.75" customHeight="1">
      <c r="F339" s="11"/>
      <c r="G339" s="11"/>
    </row>
    <row r="340" spans="6:7" ht="15.75" customHeight="1">
      <c r="F340" s="11"/>
      <c r="G340" s="11"/>
    </row>
    <row r="341" spans="6:7" ht="15.75" customHeight="1">
      <c r="F341" s="11"/>
      <c r="G341" s="11"/>
    </row>
    <row r="342" spans="6:7" ht="15.75" customHeight="1">
      <c r="F342" s="11"/>
      <c r="G342" s="11"/>
    </row>
    <row r="343" spans="6:7" ht="15.75" customHeight="1">
      <c r="F343" s="11"/>
      <c r="G343" s="11"/>
    </row>
    <row r="344" spans="6:7" ht="15.75" customHeight="1">
      <c r="F344" s="11"/>
      <c r="G344" s="11"/>
    </row>
    <row r="345" spans="6:7" ht="15.75" customHeight="1">
      <c r="F345" s="11"/>
      <c r="G345" s="11"/>
    </row>
    <row r="346" spans="6:7" ht="15.75" customHeight="1">
      <c r="F346" s="11"/>
      <c r="G346" s="11"/>
    </row>
    <row r="347" spans="6:7" ht="15.75" customHeight="1">
      <c r="F347" s="11"/>
      <c r="G347" s="11"/>
    </row>
    <row r="348" spans="6:7" ht="15.75" customHeight="1">
      <c r="F348" s="11"/>
      <c r="G348" s="11"/>
    </row>
    <row r="349" spans="6:7" ht="15.75" customHeight="1">
      <c r="F349" s="11"/>
      <c r="G349" s="11"/>
    </row>
    <row r="350" spans="6:7" ht="15.75" customHeight="1">
      <c r="F350" s="11"/>
      <c r="G350" s="11"/>
    </row>
    <row r="351" spans="6:7" ht="15.75" customHeight="1">
      <c r="F351" s="11"/>
      <c r="G351" s="11"/>
    </row>
    <row r="352" spans="6:7" ht="15.75" customHeight="1">
      <c r="F352" s="11"/>
      <c r="G352" s="11"/>
    </row>
    <row r="353" spans="6:7" ht="15.75" customHeight="1">
      <c r="F353" s="11"/>
      <c r="G353" s="11"/>
    </row>
    <row r="354" spans="6:7" ht="15.75" customHeight="1">
      <c r="F354" s="11"/>
      <c r="G354" s="11"/>
    </row>
    <row r="355" spans="6:7" ht="15.75" customHeight="1">
      <c r="F355" s="11"/>
      <c r="G355" s="11"/>
    </row>
    <row r="356" spans="6:7" ht="15.75" customHeight="1">
      <c r="F356" s="11"/>
      <c r="G356" s="11"/>
    </row>
    <row r="357" spans="6:7" ht="15.75" customHeight="1">
      <c r="F357" s="11"/>
      <c r="G357" s="11"/>
    </row>
    <row r="358" spans="6:7" ht="15.75" customHeight="1">
      <c r="F358" s="11"/>
      <c r="G358" s="11"/>
    </row>
    <row r="359" spans="6:7" ht="15.75" customHeight="1">
      <c r="F359" s="11"/>
      <c r="G359" s="11"/>
    </row>
    <row r="360" spans="6:7" ht="15.75" customHeight="1">
      <c r="F360" s="11"/>
      <c r="G360" s="11"/>
    </row>
    <row r="361" spans="6:7" ht="15.75" customHeight="1">
      <c r="F361" s="11"/>
      <c r="G361" s="11"/>
    </row>
    <row r="362" spans="6:7" ht="15.75" customHeight="1">
      <c r="F362" s="11"/>
      <c r="G362" s="11"/>
    </row>
    <row r="363" spans="6:7" ht="15.75" customHeight="1">
      <c r="F363" s="11"/>
      <c r="G363" s="11"/>
    </row>
    <row r="364" spans="6:7" ht="15.75" customHeight="1">
      <c r="F364" s="11"/>
      <c r="G364" s="11"/>
    </row>
    <row r="365" spans="6:7" ht="15.75" customHeight="1">
      <c r="F365" s="11"/>
      <c r="G365" s="11"/>
    </row>
    <row r="366" spans="6:7" ht="15.75" customHeight="1">
      <c r="F366" s="11"/>
      <c r="G366" s="11"/>
    </row>
    <row r="367" spans="6:7" ht="15.75" customHeight="1">
      <c r="F367" s="11"/>
      <c r="G367" s="11"/>
    </row>
    <row r="368" spans="6:7" ht="15.75" customHeight="1">
      <c r="F368" s="11"/>
      <c r="G368" s="11"/>
    </row>
    <row r="369" spans="6:7" ht="15.75" customHeight="1">
      <c r="F369" s="11"/>
      <c r="G369" s="11"/>
    </row>
    <row r="370" spans="6:7" ht="15.75" customHeight="1">
      <c r="F370" s="11"/>
      <c r="G370" s="11"/>
    </row>
    <row r="371" spans="6:7" ht="15.75" customHeight="1">
      <c r="F371" s="11"/>
      <c r="G371" s="11"/>
    </row>
    <row r="372" spans="6:7" ht="15.75" customHeight="1">
      <c r="F372" s="11"/>
      <c r="G372" s="11"/>
    </row>
    <row r="373" spans="6:7" ht="15.75" customHeight="1">
      <c r="F373" s="11"/>
      <c r="G373" s="11"/>
    </row>
    <row r="374" spans="6:7" ht="15.75" customHeight="1">
      <c r="F374" s="11"/>
      <c r="G374" s="11"/>
    </row>
    <row r="375" spans="6:7" ht="15.75" customHeight="1">
      <c r="F375" s="11"/>
      <c r="G375" s="11"/>
    </row>
    <row r="376" spans="6:7" ht="15.75" customHeight="1">
      <c r="F376" s="11"/>
      <c r="G376" s="11"/>
    </row>
    <row r="377" spans="6:7" ht="15.75" customHeight="1">
      <c r="F377" s="11"/>
      <c r="G377" s="11"/>
    </row>
    <row r="378" spans="6:7" ht="15.75" customHeight="1">
      <c r="F378" s="11"/>
      <c r="G378" s="11"/>
    </row>
    <row r="379" spans="6:7" ht="15.75" customHeight="1">
      <c r="F379" s="11"/>
      <c r="G379" s="11"/>
    </row>
    <row r="380" spans="6:7" ht="15.75" customHeight="1">
      <c r="F380" s="11"/>
      <c r="G380" s="11"/>
    </row>
    <row r="381" spans="6:7" ht="15.75" customHeight="1">
      <c r="F381" s="11"/>
      <c r="G381" s="11"/>
    </row>
    <row r="382" spans="6:7" ht="15.75" customHeight="1">
      <c r="F382" s="11"/>
      <c r="G382" s="11"/>
    </row>
    <row r="383" spans="6:7" ht="15.75" customHeight="1">
      <c r="F383" s="11"/>
      <c r="G383" s="11"/>
    </row>
    <row r="384" spans="6:7" ht="15.75" customHeight="1">
      <c r="F384" s="11"/>
      <c r="G384" s="11"/>
    </row>
    <row r="385" spans="6:7" ht="15.75" customHeight="1">
      <c r="F385" s="11"/>
      <c r="G385" s="11"/>
    </row>
    <row r="386" spans="6:7" ht="15.75" customHeight="1">
      <c r="F386" s="11"/>
      <c r="G386" s="11"/>
    </row>
    <row r="387" spans="6:7" ht="15.75" customHeight="1">
      <c r="F387" s="11"/>
      <c r="G387" s="11"/>
    </row>
    <row r="388" spans="6:7" ht="15.75" customHeight="1">
      <c r="F388" s="11"/>
      <c r="G388" s="11"/>
    </row>
    <row r="389" spans="6:7" ht="15.75" customHeight="1">
      <c r="F389" s="11"/>
      <c r="G389" s="11"/>
    </row>
    <row r="390" spans="6:7" ht="15.75" customHeight="1">
      <c r="F390" s="11"/>
      <c r="G390" s="11"/>
    </row>
    <row r="391" spans="6:7" ht="15.75" customHeight="1">
      <c r="F391" s="11"/>
      <c r="G391" s="11"/>
    </row>
    <row r="392" spans="6:7" ht="15.75" customHeight="1">
      <c r="F392" s="11"/>
      <c r="G392" s="11"/>
    </row>
    <row r="393" spans="6:7" ht="15.75" customHeight="1">
      <c r="F393" s="11"/>
      <c r="G393" s="11"/>
    </row>
    <row r="394" spans="6:7" ht="15.75" customHeight="1">
      <c r="F394" s="11"/>
      <c r="G394" s="11"/>
    </row>
    <row r="395" spans="6:7" ht="15.75" customHeight="1">
      <c r="F395" s="11"/>
      <c r="G395" s="11"/>
    </row>
    <row r="396" spans="6:7" ht="15.75" customHeight="1">
      <c r="F396" s="11"/>
      <c r="G396" s="11"/>
    </row>
    <row r="397" spans="6:7" ht="15.75" customHeight="1">
      <c r="F397" s="11"/>
      <c r="G397" s="11"/>
    </row>
    <row r="398" spans="6:7" ht="15.75" customHeight="1">
      <c r="F398" s="11"/>
      <c r="G398" s="11"/>
    </row>
    <row r="399" spans="6:7" ht="15.75" customHeight="1">
      <c r="F399" s="11"/>
      <c r="G399" s="11"/>
    </row>
    <row r="400" spans="6:7" ht="15.75" customHeight="1">
      <c r="F400" s="11"/>
      <c r="G400" s="11"/>
    </row>
    <row r="401" spans="6:7" ht="15.75" customHeight="1">
      <c r="F401" s="11"/>
      <c r="G401" s="11"/>
    </row>
    <row r="402" spans="6:7" ht="15.75" customHeight="1">
      <c r="F402" s="11"/>
      <c r="G402" s="11"/>
    </row>
    <row r="403" spans="6:7" ht="15.75" customHeight="1">
      <c r="F403" s="11"/>
      <c r="G403" s="11"/>
    </row>
    <row r="404" spans="6:7" ht="15.75" customHeight="1">
      <c r="F404" s="11"/>
      <c r="G404" s="11"/>
    </row>
    <row r="405" spans="6:7" ht="15.75" customHeight="1">
      <c r="F405" s="11"/>
      <c r="G405" s="11"/>
    </row>
    <row r="406" spans="6:7" ht="15.75" customHeight="1">
      <c r="F406" s="11"/>
      <c r="G406" s="11"/>
    </row>
    <row r="407" spans="6:7" ht="15.75" customHeight="1">
      <c r="F407" s="11"/>
      <c r="G407" s="11"/>
    </row>
    <row r="408" spans="6:7" ht="15.75" customHeight="1">
      <c r="F408" s="11"/>
      <c r="G408" s="11"/>
    </row>
    <row r="409" spans="6:7" ht="15.75" customHeight="1">
      <c r="F409" s="11"/>
      <c r="G409" s="11"/>
    </row>
    <row r="410" spans="6:7" ht="15.75" customHeight="1">
      <c r="F410" s="11"/>
      <c r="G410" s="11"/>
    </row>
    <row r="411" spans="6:7" ht="15.75" customHeight="1">
      <c r="F411" s="11"/>
      <c r="G411" s="11"/>
    </row>
    <row r="412" spans="6:7" ht="15.75" customHeight="1">
      <c r="F412" s="11"/>
      <c r="G412" s="11"/>
    </row>
    <row r="413" spans="6:7" ht="15.75" customHeight="1">
      <c r="F413" s="11"/>
      <c r="G413" s="11"/>
    </row>
    <row r="414" spans="6:7" ht="15.75" customHeight="1">
      <c r="F414" s="11"/>
      <c r="G414" s="11"/>
    </row>
    <row r="415" spans="6:7" ht="15.75" customHeight="1">
      <c r="F415" s="11"/>
      <c r="G415" s="11"/>
    </row>
    <row r="416" spans="6:7" ht="15.75" customHeight="1">
      <c r="F416" s="11"/>
      <c r="G416" s="11"/>
    </row>
    <row r="417" spans="6:7" ht="15.75" customHeight="1">
      <c r="F417" s="11"/>
      <c r="G417" s="11"/>
    </row>
    <row r="418" spans="6:7" ht="15.75" customHeight="1">
      <c r="F418" s="11"/>
      <c r="G418" s="11"/>
    </row>
    <row r="419" spans="6:7" ht="15.75" customHeight="1">
      <c r="F419" s="11"/>
      <c r="G419" s="11"/>
    </row>
    <row r="420" spans="6:7" ht="15.75" customHeight="1">
      <c r="F420" s="11"/>
      <c r="G420" s="11"/>
    </row>
    <row r="421" spans="6:7" ht="15.75" customHeight="1">
      <c r="F421" s="11"/>
      <c r="G421" s="11"/>
    </row>
    <row r="422" spans="6:7" ht="15.75" customHeight="1">
      <c r="F422" s="11"/>
      <c r="G422" s="11"/>
    </row>
    <row r="423" spans="6:7" ht="15.75" customHeight="1">
      <c r="F423" s="11"/>
      <c r="G423" s="11"/>
    </row>
    <row r="424" spans="6:7" ht="15.75" customHeight="1">
      <c r="F424" s="11"/>
      <c r="G424" s="11"/>
    </row>
    <row r="425" spans="6:7" ht="15.75" customHeight="1">
      <c r="F425" s="11"/>
      <c r="G425" s="11"/>
    </row>
    <row r="426" spans="6:7" ht="15.75" customHeight="1">
      <c r="F426" s="11"/>
      <c r="G426" s="11"/>
    </row>
    <row r="427" spans="6:7" ht="15.75" customHeight="1">
      <c r="F427" s="11"/>
      <c r="G427" s="11"/>
    </row>
    <row r="428" spans="6:7" ht="15.75" customHeight="1">
      <c r="F428" s="11"/>
      <c r="G428" s="11"/>
    </row>
    <row r="429" spans="6:7" ht="15.75" customHeight="1">
      <c r="F429" s="11"/>
      <c r="G429" s="11"/>
    </row>
    <row r="430" spans="6:7" ht="15.75" customHeight="1">
      <c r="F430" s="11"/>
      <c r="G430" s="11"/>
    </row>
    <row r="431" spans="6:7" ht="15.75" customHeight="1">
      <c r="F431" s="11"/>
      <c r="G431" s="11"/>
    </row>
    <row r="432" spans="6:7" ht="15.75" customHeight="1">
      <c r="F432" s="11"/>
      <c r="G432" s="11"/>
    </row>
    <row r="433" spans="6:7" ht="15.75" customHeight="1">
      <c r="F433" s="11"/>
      <c r="G433" s="11"/>
    </row>
    <row r="434" spans="6:7" ht="15.75" customHeight="1">
      <c r="F434" s="11"/>
      <c r="G434" s="11"/>
    </row>
    <row r="435" spans="6:7" ht="15.75" customHeight="1">
      <c r="F435" s="11"/>
      <c r="G435" s="11"/>
    </row>
    <row r="436" spans="6:7" ht="15.75" customHeight="1">
      <c r="F436" s="11"/>
      <c r="G436" s="11"/>
    </row>
    <row r="437" spans="6:7" ht="15.75" customHeight="1">
      <c r="F437" s="11"/>
      <c r="G437" s="11"/>
    </row>
    <row r="438" spans="6:7" ht="15.75" customHeight="1">
      <c r="F438" s="11"/>
      <c r="G438" s="11"/>
    </row>
    <row r="439" spans="6:7" ht="15.75" customHeight="1">
      <c r="F439" s="11"/>
      <c r="G439" s="11"/>
    </row>
    <row r="440" spans="6:7" ht="15.75" customHeight="1">
      <c r="F440" s="11"/>
      <c r="G440" s="11"/>
    </row>
    <row r="441" spans="6:7" ht="15.75" customHeight="1">
      <c r="F441" s="11"/>
      <c r="G441" s="11"/>
    </row>
    <row r="442" spans="6:7" ht="15.75" customHeight="1">
      <c r="F442" s="11"/>
      <c r="G442" s="11"/>
    </row>
    <row r="443" spans="6:7" ht="15.75" customHeight="1">
      <c r="F443" s="11"/>
      <c r="G443" s="11"/>
    </row>
    <row r="444" spans="6:7" ht="15.75" customHeight="1">
      <c r="F444" s="11"/>
      <c r="G444" s="11"/>
    </row>
    <row r="445" spans="6:7" ht="15.75" customHeight="1">
      <c r="F445" s="11"/>
      <c r="G445" s="11"/>
    </row>
    <row r="446" spans="6:7" ht="15.75" customHeight="1">
      <c r="F446" s="11"/>
      <c r="G446" s="11"/>
    </row>
    <row r="447" spans="6:7" ht="15.75" customHeight="1">
      <c r="F447" s="11"/>
      <c r="G447" s="11"/>
    </row>
    <row r="448" spans="6:7" ht="15.75" customHeight="1">
      <c r="F448" s="11"/>
      <c r="G448" s="11"/>
    </row>
    <row r="449" spans="6:7" ht="15.75" customHeight="1">
      <c r="F449" s="11"/>
      <c r="G449" s="11"/>
    </row>
    <row r="450" spans="6:7" ht="15.75" customHeight="1">
      <c r="F450" s="11"/>
      <c r="G450" s="11"/>
    </row>
    <row r="451" spans="6:7" ht="15.75" customHeight="1">
      <c r="F451" s="11"/>
      <c r="G451" s="11"/>
    </row>
    <row r="452" spans="6:7" ht="15.75" customHeight="1">
      <c r="F452" s="11"/>
      <c r="G452" s="11"/>
    </row>
    <row r="453" spans="6:7" ht="15.75" customHeight="1">
      <c r="F453" s="11"/>
      <c r="G453" s="11"/>
    </row>
    <row r="454" spans="6:7" ht="15.75" customHeight="1">
      <c r="F454" s="11"/>
      <c r="G454" s="11"/>
    </row>
    <row r="455" spans="6:7" ht="15.75" customHeight="1">
      <c r="F455" s="11"/>
      <c r="G455" s="11"/>
    </row>
    <row r="456" spans="6:7" ht="15.75" customHeight="1">
      <c r="F456" s="11"/>
      <c r="G456" s="11"/>
    </row>
    <row r="457" spans="6:7" ht="15.75" customHeight="1">
      <c r="F457" s="11"/>
      <c r="G457" s="11"/>
    </row>
    <row r="458" spans="6:7" ht="15.75" customHeight="1">
      <c r="F458" s="11"/>
      <c r="G458" s="11"/>
    </row>
    <row r="459" spans="6:7" ht="15.75" customHeight="1">
      <c r="F459" s="11"/>
      <c r="G459" s="11"/>
    </row>
    <row r="460" spans="6:7" ht="15.75" customHeight="1">
      <c r="F460" s="11"/>
      <c r="G460" s="11"/>
    </row>
    <row r="461" spans="6:7" ht="15.75" customHeight="1">
      <c r="F461" s="11"/>
      <c r="G461" s="11"/>
    </row>
    <row r="462" spans="6:7" ht="15.75" customHeight="1">
      <c r="F462" s="11"/>
      <c r="G462" s="11"/>
    </row>
    <row r="463" spans="6:7" ht="15.75" customHeight="1">
      <c r="F463" s="11"/>
      <c r="G463" s="11"/>
    </row>
    <row r="464" spans="6:7" ht="15.75" customHeight="1">
      <c r="F464" s="11"/>
      <c r="G464" s="11"/>
    </row>
    <row r="465" spans="6:7" ht="15.75" customHeight="1">
      <c r="F465" s="11"/>
      <c r="G465" s="11"/>
    </row>
    <row r="466" spans="6:7" ht="15.75" customHeight="1">
      <c r="F466" s="11"/>
      <c r="G466" s="11"/>
    </row>
    <row r="467" spans="6:7" ht="15.75" customHeight="1">
      <c r="F467" s="11"/>
      <c r="G467" s="11"/>
    </row>
    <row r="468" spans="6:7" ht="15.75" customHeight="1">
      <c r="F468" s="11"/>
      <c r="G468" s="11"/>
    </row>
    <row r="469" spans="6:7" ht="15.75" customHeight="1">
      <c r="F469" s="11"/>
      <c r="G469" s="11"/>
    </row>
    <row r="470" spans="6:7" ht="15.75" customHeight="1">
      <c r="F470" s="11"/>
      <c r="G470" s="11"/>
    </row>
    <row r="471" spans="6:7" ht="15.75" customHeight="1">
      <c r="F471" s="11"/>
      <c r="G471" s="11"/>
    </row>
    <row r="472" spans="6:7" ht="15.75" customHeight="1">
      <c r="F472" s="11"/>
      <c r="G472" s="11"/>
    </row>
    <row r="473" spans="6:7" ht="15.75" customHeight="1">
      <c r="F473" s="11"/>
      <c r="G473" s="11"/>
    </row>
    <row r="474" spans="6:7" ht="15.75" customHeight="1">
      <c r="F474" s="11"/>
      <c r="G474" s="11"/>
    </row>
    <row r="475" spans="6:7" ht="15.75" customHeight="1">
      <c r="F475" s="11"/>
      <c r="G475" s="11"/>
    </row>
    <row r="476" spans="6:7" ht="15.75" customHeight="1">
      <c r="F476" s="11"/>
      <c r="G476" s="11"/>
    </row>
    <row r="477" spans="6:7" ht="15.75" customHeight="1">
      <c r="F477" s="11"/>
      <c r="G477" s="11"/>
    </row>
    <row r="478" spans="6:7" ht="15.75" customHeight="1">
      <c r="F478" s="11"/>
      <c r="G478" s="11"/>
    </row>
    <row r="479" spans="6:7" ht="15.75" customHeight="1">
      <c r="F479" s="11"/>
      <c r="G479" s="11"/>
    </row>
    <row r="480" spans="6:7" ht="15.75" customHeight="1">
      <c r="F480" s="11"/>
      <c r="G480" s="11"/>
    </row>
    <row r="481" spans="6:7" ht="15.75" customHeight="1">
      <c r="F481" s="11"/>
      <c r="G481" s="11"/>
    </row>
    <row r="482" spans="6:7" ht="15.75" customHeight="1">
      <c r="F482" s="11"/>
      <c r="G482" s="11"/>
    </row>
    <row r="483" spans="6:7" ht="15.75" customHeight="1">
      <c r="F483" s="11"/>
      <c r="G483" s="11"/>
    </row>
    <row r="484" spans="6:7" ht="15.75" customHeight="1">
      <c r="F484" s="11"/>
      <c r="G484" s="11"/>
    </row>
    <row r="485" spans="6:7" ht="15.75" customHeight="1">
      <c r="F485" s="11"/>
      <c r="G485" s="11"/>
    </row>
    <row r="486" spans="6:7" ht="15.75" customHeight="1">
      <c r="F486" s="11"/>
      <c r="G486" s="11"/>
    </row>
    <row r="487" spans="6:7" ht="15.75" customHeight="1">
      <c r="F487" s="11"/>
      <c r="G487" s="11"/>
    </row>
    <row r="488" spans="6:7" ht="15.75" customHeight="1">
      <c r="F488" s="11"/>
      <c r="G488" s="11"/>
    </row>
    <row r="489" spans="6:7" ht="15.75" customHeight="1">
      <c r="F489" s="11"/>
      <c r="G489" s="11"/>
    </row>
    <row r="490" spans="6:7" ht="15.75" customHeight="1">
      <c r="F490" s="11"/>
      <c r="G490" s="11"/>
    </row>
    <row r="491" spans="6:7" ht="15.75" customHeight="1">
      <c r="F491" s="11"/>
      <c r="G491" s="11"/>
    </row>
    <row r="492" spans="6:7" ht="15.75" customHeight="1">
      <c r="F492" s="11"/>
      <c r="G492" s="11"/>
    </row>
    <row r="493" spans="6:7" ht="15.75" customHeight="1">
      <c r="F493" s="11"/>
      <c r="G493" s="11"/>
    </row>
    <row r="494" spans="6:7" ht="15.75" customHeight="1">
      <c r="F494" s="11"/>
      <c r="G494" s="11"/>
    </row>
    <row r="495" spans="6:7" ht="15.75" customHeight="1">
      <c r="F495" s="11"/>
      <c r="G495" s="11"/>
    </row>
    <row r="496" spans="6:7" ht="15.75" customHeight="1">
      <c r="F496" s="11"/>
      <c r="G496" s="11"/>
    </row>
    <row r="497" spans="6:7" ht="15.75" customHeight="1">
      <c r="F497" s="11"/>
      <c r="G497" s="11"/>
    </row>
    <row r="498" spans="6:7" ht="15.75" customHeight="1">
      <c r="F498" s="11"/>
      <c r="G498" s="11"/>
    </row>
    <row r="499" spans="6:7" ht="15.75" customHeight="1">
      <c r="F499" s="11"/>
      <c r="G499" s="11"/>
    </row>
    <row r="500" spans="6:7" ht="15.75" customHeight="1">
      <c r="F500" s="11"/>
      <c r="G500" s="11"/>
    </row>
    <row r="501" spans="6:7" ht="15.75" customHeight="1">
      <c r="F501" s="11"/>
      <c r="G501" s="11"/>
    </row>
    <row r="502" spans="6:7" ht="15.75" customHeight="1">
      <c r="F502" s="11"/>
      <c r="G502" s="11"/>
    </row>
    <row r="503" spans="6:7" ht="15.75" customHeight="1">
      <c r="F503" s="11"/>
      <c r="G503" s="11"/>
    </row>
    <row r="504" spans="6:7" ht="15.75" customHeight="1">
      <c r="F504" s="11"/>
      <c r="G504" s="11"/>
    </row>
    <row r="505" spans="6:7" ht="15.75" customHeight="1">
      <c r="F505" s="11"/>
      <c r="G505" s="11"/>
    </row>
    <row r="506" spans="6:7" ht="15.75" customHeight="1">
      <c r="F506" s="11"/>
      <c r="G506" s="11"/>
    </row>
    <row r="507" spans="6:7" ht="15.75" customHeight="1">
      <c r="F507" s="11"/>
      <c r="G507" s="11"/>
    </row>
    <row r="508" spans="6:7" ht="15.75" customHeight="1">
      <c r="F508" s="11"/>
      <c r="G508" s="11"/>
    </row>
    <row r="509" spans="6:7" ht="15.75" customHeight="1">
      <c r="F509" s="11"/>
      <c r="G509" s="11"/>
    </row>
    <row r="510" spans="6:7" ht="15.75" customHeight="1">
      <c r="F510" s="11"/>
      <c r="G510" s="11"/>
    </row>
    <row r="511" spans="6:7" ht="15.75" customHeight="1">
      <c r="F511" s="11"/>
      <c r="G511" s="11"/>
    </row>
    <row r="512" spans="6:7" ht="15.75" customHeight="1">
      <c r="F512" s="11"/>
      <c r="G512" s="11"/>
    </row>
    <row r="513" spans="6:7" ht="15.75" customHeight="1">
      <c r="F513" s="11"/>
      <c r="G513" s="11"/>
    </row>
    <row r="514" spans="6:7" ht="15.75" customHeight="1">
      <c r="F514" s="11"/>
      <c r="G514" s="11"/>
    </row>
    <row r="515" spans="6:7" ht="15.75" customHeight="1">
      <c r="F515" s="11"/>
      <c r="G515" s="11"/>
    </row>
    <row r="516" spans="6:7" ht="15.75" customHeight="1">
      <c r="F516" s="11"/>
      <c r="G516" s="11"/>
    </row>
    <row r="517" spans="6:7" ht="15.75" customHeight="1">
      <c r="F517" s="11"/>
      <c r="G517" s="11"/>
    </row>
    <row r="518" spans="6:7" ht="15.75" customHeight="1">
      <c r="F518" s="11"/>
      <c r="G518" s="11"/>
    </row>
    <row r="519" spans="6:7" ht="15.75" customHeight="1">
      <c r="F519" s="11"/>
      <c r="G519" s="11"/>
    </row>
    <row r="520" spans="6:7" ht="15.75" customHeight="1">
      <c r="F520" s="11"/>
      <c r="G520" s="11"/>
    </row>
    <row r="521" spans="6:7" ht="15.75" customHeight="1">
      <c r="F521" s="11"/>
      <c r="G521" s="11"/>
    </row>
    <row r="522" spans="6:7" ht="15.75" customHeight="1">
      <c r="F522" s="11"/>
      <c r="G522" s="11"/>
    </row>
    <row r="523" spans="6:7" ht="15.75" customHeight="1">
      <c r="F523" s="11"/>
      <c r="G523" s="11"/>
    </row>
    <row r="524" spans="6:7" ht="15.75" customHeight="1">
      <c r="F524" s="11"/>
      <c r="G524" s="11"/>
    </row>
    <row r="525" spans="6:7" ht="15.75" customHeight="1">
      <c r="F525" s="11"/>
      <c r="G525" s="11"/>
    </row>
    <row r="526" spans="6:7" ht="15.75" customHeight="1">
      <c r="F526" s="11"/>
      <c r="G526" s="11"/>
    </row>
    <row r="527" spans="6:7" ht="15.75" customHeight="1">
      <c r="F527" s="11"/>
      <c r="G527" s="11"/>
    </row>
    <row r="528" spans="6:7" ht="15.75" customHeight="1">
      <c r="F528" s="11"/>
      <c r="G528" s="11"/>
    </row>
    <row r="529" spans="6:7" ht="15.75" customHeight="1">
      <c r="F529" s="11"/>
      <c r="G529" s="11"/>
    </row>
    <row r="530" spans="6:7" ht="15.75" customHeight="1">
      <c r="F530" s="11"/>
      <c r="G530" s="11"/>
    </row>
    <row r="531" spans="6:7" ht="15.75" customHeight="1">
      <c r="F531" s="11"/>
      <c r="G531" s="11"/>
    </row>
    <row r="532" spans="6:7" ht="15.75" customHeight="1">
      <c r="F532" s="11"/>
      <c r="G532" s="11"/>
    </row>
    <row r="533" spans="6:7" ht="15.75" customHeight="1">
      <c r="F533" s="11"/>
      <c r="G533" s="11"/>
    </row>
    <row r="534" spans="6:7" ht="15.75" customHeight="1">
      <c r="F534" s="11"/>
      <c r="G534" s="11"/>
    </row>
    <row r="535" spans="6:7" ht="15.75" customHeight="1">
      <c r="F535" s="11"/>
      <c r="G535" s="11"/>
    </row>
    <row r="536" spans="6:7" ht="15.75" customHeight="1">
      <c r="F536" s="11"/>
      <c r="G536" s="11"/>
    </row>
    <row r="537" spans="6:7" ht="15.75" customHeight="1">
      <c r="F537" s="11"/>
      <c r="G537" s="11"/>
    </row>
    <row r="538" spans="6:7" ht="15.75" customHeight="1">
      <c r="F538" s="11"/>
      <c r="G538" s="11"/>
    </row>
    <row r="539" spans="6:7" ht="15.75" customHeight="1">
      <c r="F539" s="11"/>
      <c r="G539" s="11"/>
    </row>
    <row r="540" spans="6:7" ht="15.75" customHeight="1">
      <c r="F540" s="11"/>
      <c r="G540" s="11"/>
    </row>
    <row r="541" spans="6:7" ht="15.75" customHeight="1">
      <c r="F541" s="11"/>
      <c r="G541" s="11"/>
    </row>
    <row r="542" spans="6:7" ht="15.75" customHeight="1">
      <c r="F542" s="11"/>
      <c r="G542" s="11"/>
    </row>
    <row r="543" spans="6:7" ht="15.75" customHeight="1">
      <c r="F543" s="11"/>
      <c r="G543" s="11"/>
    </row>
    <row r="544" spans="6:7" ht="15.75" customHeight="1">
      <c r="F544" s="11"/>
      <c r="G544" s="11"/>
    </row>
    <row r="545" spans="6:7" ht="15.75" customHeight="1">
      <c r="F545" s="11"/>
      <c r="G545" s="11"/>
    </row>
    <row r="546" spans="6:7" ht="15.75" customHeight="1">
      <c r="F546" s="11"/>
      <c r="G546" s="11"/>
    </row>
    <row r="547" spans="6:7" ht="15.75" customHeight="1">
      <c r="F547" s="11"/>
      <c r="G547" s="11"/>
    </row>
    <row r="548" spans="6:7" ht="15.75" customHeight="1">
      <c r="F548" s="11"/>
      <c r="G548" s="11"/>
    </row>
    <row r="549" spans="6:7" ht="15.75" customHeight="1">
      <c r="F549" s="11"/>
      <c r="G549" s="11"/>
    </row>
    <row r="550" spans="6:7" ht="15.75" customHeight="1">
      <c r="F550" s="11"/>
      <c r="G550" s="11"/>
    </row>
    <row r="551" spans="6:7" ht="15.75" customHeight="1">
      <c r="F551" s="11"/>
      <c r="G551" s="11"/>
    </row>
    <row r="552" spans="6:7" ht="15.75" customHeight="1">
      <c r="F552" s="11"/>
      <c r="G552" s="11"/>
    </row>
    <row r="553" spans="6:7" ht="15.75" customHeight="1">
      <c r="F553" s="11"/>
      <c r="G553" s="11"/>
    </row>
    <row r="554" spans="6:7" ht="15.75" customHeight="1">
      <c r="F554" s="11"/>
      <c r="G554" s="11"/>
    </row>
    <row r="555" spans="6:7" ht="15.75" customHeight="1">
      <c r="F555" s="11"/>
      <c r="G555" s="11"/>
    </row>
    <row r="556" spans="6:7" ht="15.75" customHeight="1">
      <c r="F556" s="11"/>
      <c r="G556" s="11"/>
    </row>
    <row r="557" spans="6:7" ht="15.75" customHeight="1">
      <c r="F557" s="11"/>
      <c r="G557" s="11"/>
    </row>
    <row r="558" spans="6:7" ht="15.75" customHeight="1">
      <c r="F558" s="11"/>
      <c r="G558" s="11"/>
    </row>
    <row r="559" spans="6:7" ht="15.75" customHeight="1">
      <c r="F559" s="11"/>
      <c r="G559" s="11"/>
    </row>
    <row r="560" spans="6:7" ht="15.75" customHeight="1">
      <c r="F560" s="11"/>
      <c r="G560" s="11"/>
    </row>
    <row r="561" spans="6:7" ht="15.75" customHeight="1">
      <c r="F561" s="11"/>
      <c r="G561" s="11"/>
    </row>
    <row r="562" spans="6:7" ht="15.75" customHeight="1">
      <c r="F562" s="11"/>
      <c r="G562" s="11"/>
    </row>
    <row r="563" spans="6:7" ht="15.75" customHeight="1">
      <c r="F563" s="11"/>
      <c r="G563" s="11"/>
    </row>
    <row r="564" spans="6:7" ht="15.75" customHeight="1">
      <c r="F564" s="11"/>
      <c r="G564" s="11"/>
    </row>
    <row r="565" spans="6:7" ht="15.75" customHeight="1">
      <c r="F565" s="11"/>
      <c r="G565" s="11"/>
    </row>
    <row r="566" spans="6:7" ht="15.75" customHeight="1">
      <c r="F566" s="11"/>
      <c r="G566" s="11"/>
    </row>
    <row r="567" spans="6:7" ht="15.75" customHeight="1">
      <c r="F567" s="11"/>
      <c r="G567" s="11"/>
    </row>
    <row r="568" spans="6:7" ht="15.75" customHeight="1">
      <c r="F568" s="11"/>
      <c r="G568" s="11"/>
    </row>
    <row r="569" spans="6:7" ht="15.75" customHeight="1">
      <c r="F569" s="11"/>
      <c r="G569" s="11"/>
    </row>
    <row r="570" spans="6:7" ht="15.75" customHeight="1">
      <c r="F570" s="11"/>
      <c r="G570" s="11"/>
    </row>
    <row r="571" spans="6:7" ht="15.75" customHeight="1">
      <c r="F571" s="11"/>
      <c r="G571" s="11"/>
    </row>
    <row r="572" spans="6:7" ht="15.75" customHeight="1">
      <c r="F572" s="11"/>
      <c r="G572" s="11"/>
    </row>
    <row r="573" spans="6:7" ht="15.75" customHeight="1">
      <c r="F573" s="11"/>
      <c r="G573" s="11"/>
    </row>
    <row r="574" spans="6:7" ht="15.75" customHeight="1">
      <c r="F574" s="11"/>
      <c r="G574" s="11"/>
    </row>
    <row r="575" spans="6:7" ht="15.75" customHeight="1">
      <c r="F575" s="11"/>
      <c r="G575" s="11"/>
    </row>
    <row r="576" spans="6:7" ht="15.75" customHeight="1">
      <c r="F576" s="11"/>
      <c r="G576" s="11"/>
    </row>
    <row r="577" spans="6:7" ht="15.75" customHeight="1">
      <c r="F577" s="11"/>
      <c r="G577" s="11"/>
    </row>
    <row r="578" spans="6:7" ht="15.75" customHeight="1">
      <c r="F578" s="11"/>
      <c r="G578" s="11"/>
    </row>
    <row r="579" spans="6:7" ht="15.75" customHeight="1">
      <c r="F579" s="11"/>
      <c r="G579" s="11"/>
    </row>
    <row r="580" spans="6:7" ht="15.75" customHeight="1">
      <c r="F580" s="11"/>
      <c r="G580" s="11"/>
    </row>
    <row r="581" spans="6:7" ht="15.75" customHeight="1">
      <c r="F581" s="11"/>
      <c r="G581" s="11"/>
    </row>
    <row r="582" spans="6:7" ht="15.75" customHeight="1">
      <c r="F582" s="11"/>
      <c r="G582" s="11"/>
    </row>
    <row r="583" spans="6:7" ht="15.75" customHeight="1">
      <c r="F583" s="11"/>
      <c r="G583" s="11"/>
    </row>
    <row r="584" spans="6:7" ht="15.75" customHeight="1">
      <c r="F584" s="11"/>
      <c r="G584" s="11"/>
    </row>
    <row r="585" spans="6:7" ht="15.75" customHeight="1">
      <c r="F585" s="11"/>
      <c r="G585" s="11"/>
    </row>
    <row r="586" spans="6:7" ht="15.75" customHeight="1">
      <c r="F586" s="11"/>
      <c r="G586" s="11"/>
    </row>
    <row r="587" spans="6:7" ht="15.75" customHeight="1">
      <c r="F587" s="11"/>
      <c r="G587" s="11"/>
    </row>
    <row r="588" spans="6:7" ht="15.75" customHeight="1">
      <c r="F588" s="11"/>
      <c r="G588" s="11"/>
    </row>
    <row r="589" spans="6:7" ht="15.75" customHeight="1">
      <c r="F589" s="11"/>
      <c r="G589" s="11"/>
    </row>
    <row r="590" spans="6:7" ht="15.75" customHeight="1">
      <c r="F590" s="11"/>
      <c r="G590" s="11"/>
    </row>
    <row r="591" spans="6:7" ht="15.75" customHeight="1">
      <c r="F591" s="11"/>
      <c r="G591" s="11"/>
    </row>
    <row r="592" spans="6:7" ht="15.75" customHeight="1">
      <c r="F592" s="11"/>
      <c r="G592" s="11"/>
    </row>
    <row r="593" spans="6:7" ht="15.75" customHeight="1">
      <c r="F593" s="11"/>
      <c r="G593" s="11"/>
    </row>
    <row r="594" spans="6:7" ht="15.75" customHeight="1">
      <c r="F594" s="11"/>
      <c r="G594" s="11"/>
    </row>
    <row r="595" spans="6:7" ht="15.75" customHeight="1">
      <c r="F595" s="11"/>
      <c r="G595" s="11"/>
    </row>
    <row r="596" spans="6:7" ht="15.75" customHeight="1">
      <c r="F596" s="11"/>
      <c r="G596" s="11"/>
    </row>
    <row r="597" spans="6:7" ht="15.75" customHeight="1">
      <c r="F597" s="11"/>
      <c r="G597" s="11"/>
    </row>
    <row r="598" spans="6:7" ht="15.75" customHeight="1">
      <c r="F598" s="11"/>
      <c r="G598" s="11"/>
    </row>
    <row r="599" spans="6:7" ht="15.75" customHeight="1">
      <c r="F599" s="11"/>
      <c r="G599" s="11"/>
    </row>
    <row r="600" spans="6:7" ht="15.75" customHeight="1">
      <c r="F600" s="11"/>
      <c r="G600" s="11"/>
    </row>
    <row r="601" spans="6:7" ht="15.75" customHeight="1">
      <c r="F601" s="11"/>
      <c r="G601" s="11"/>
    </row>
    <row r="602" spans="6:7" ht="15.75" customHeight="1">
      <c r="F602" s="11"/>
      <c r="G602" s="11"/>
    </row>
    <row r="603" spans="6:7" ht="15.75" customHeight="1">
      <c r="F603" s="11"/>
      <c r="G603" s="11"/>
    </row>
    <row r="604" spans="6:7" ht="15.75" customHeight="1">
      <c r="F604" s="11"/>
      <c r="G604" s="11"/>
    </row>
    <row r="605" spans="6:7" ht="15.75" customHeight="1">
      <c r="F605" s="11"/>
      <c r="G605" s="11"/>
    </row>
    <row r="606" spans="6:7" ht="15.75" customHeight="1">
      <c r="F606" s="11"/>
      <c r="G606" s="11"/>
    </row>
    <row r="607" spans="6:7" ht="15.75" customHeight="1">
      <c r="F607" s="11"/>
      <c r="G607" s="11"/>
    </row>
    <row r="608" spans="6:7" ht="15.75" customHeight="1">
      <c r="F608" s="11"/>
      <c r="G608" s="11"/>
    </row>
    <row r="609" spans="6:7" ht="15.75" customHeight="1">
      <c r="F609" s="11"/>
      <c r="G609" s="11"/>
    </row>
    <row r="610" spans="6:7" ht="15.75" customHeight="1">
      <c r="F610" s="11"/>
      <c r="G610" s="11"/>
    </row>
    <row r="611" spans="6:7" ht="15.75" customHeight="1">
      <c r="F611" s="11"/>
      <c r="G611" s="11"/>
    </row>
    <row r="612" spans="6:7" ht="15.75" customHeight="1">
      <c r="F612" s="11"/>
      <c r="G612" s="11"/>
    </row>
    <row r="613" spans="6:7" ht="15.75" customHeight="1">
      <c r="F613" s="11"/>
      <c r="G613" s="11"/>
    </row>
    <row r="614" spans="6:7" ht="15.75" customHeight="1">
      <c r="F614" s="11"/>
      <c r="G614" s="11"/>
    </row>
    <row r="615" spans="6:7" ht="15.75" customHeight="1">
      <c r="F615" s="11"/>
      <c r="G615" s="11"/>
    </row>
    <row r="616" spans="6:7" ht="15.75" customHeight="1">
      <c r="F616" s="11"/>
      <c r="G616" s="11"/>
    </row>
    <row r="617" spans="6:7" ht="15.75" customHeight="1">
      <c r="F617" s="11"/>
      <c r="G617" s="11"/>
    </row>
    <row r="618" spans="6:7" ht="15.75" customHeight="1">
      <c r="F618" s="11"/>
      <c r="G618" s="11"/>
    </row>
    <row r="619" spans="6:7" ht="15.75" customHeight="1">
      <c r="F619" s="11"/>
      <c r="G619" s="11"/>
    </row>
    <row r="620" spans="6:7" ht="15.75" customHeight="1">
      <c r="F620" s="11"/>
      <c r="G620" s="11"/>
    </row>
    <row r="621" spans="6:7" ht="15.75" customHeight="1">
      <c r="F621" s="11"/>
      <c r="G621" s="11"/>
    </row>
    <row r="622" spans="6:7" ht="15.75" customHeight="1">
      <c r="F622" s="11"/>
      <c r="G622" s="11"/>
    </row>
    <row r="623" spans="6:7" ht="15.75" customHeight="1">
      <c r="F623" s="11"/>
      <c r="G623" s="11"/>
    </row>
    <row r="624" spans="6:7" ht="15.75" customHeight="1">
      <c r="F624" s="11"/>
      <c r="G624" s="11"/>
    </row>
    <row r="625" spans="6:7" ht="15.75" customHeight="1">
      <c r="F625" s="11"/>
      <c r="G625" s="11"/>
    </row>
    <row r="626" spans="6:7" ht="15.75" customHeight="1">
      <c r="F626" s="11"/>
      <c r="G626" s="11"/>
    </row>
    <row r="627" spans="6:7" ht="15.75" customHeight="1">
      <c r="F627" s="11"/>
      <c r="G627" s="11"/>
    </row>
    <row r="628" spans="6:7" ht="15.75" customHeight="1">
      <c r="F628" s="11"/>
      <c r="G628" s="11"/>
    </row>
    <row r="629" spans="6:7" ht="15.75" customHeight="1">
      <c r="F629" s="11"/>
      <c r="G629" s="11"/>
    </row>
    <row r="630" spans="6:7" ht="15.75" customHeight="1">
      <c r="F630" s="11"/>
      <c r="G630" s="11"/>
    </row>
    <row r="631" spans="6:7" ht="15.75" customHeight="1">
      <c r="F631" s="11"/>
      <c r="G631" s="11"/>
    </row>
    <row r="632" spans="6:7" ht="15.75" customHeight="1">
      <c r="F632" s="11"/>
      <c r="G632" s="11"/>
    </row>
    <row r="633" spans="6:7" ht="15.75" customHeight="1">
      <c r="F633" s="11"/>
      <c r="G633" s="11"/>
    </row>
    <row r="634" spans="6:7" ht="15.75" customHeight="1">
      <c r="F634" s="11"/>
      <c r="G634" s="11"/>
    </row>
    <row r="635" spans="6:7" ht="15.75" customHeight="1">
      <c r="F635" s="11"/>
      <c r="G635" s="11"/>
    </row>
    <row r="636" spans="6:7" ht="15.75" customHeight="1">
      <c r="F636" s="11"/>
      <c r="G636" s="11"/>
    </row>
    <row r="637" spans="6:7" ht="15.75" customHeight="1">
      <c r="F637" s="11"/>
      <c r="G637" s="11"/>
    </row>
    <row r="638" spans="6:7" ht="15.75" customHeight="1">
      <c r="F638" s="11"/>
      <c r="G638" s="11"/>
    </row>
    <row r="639" spans="6:7" ht="15.75" customHeight="1">
      <c r="F639" s="11"/>
      <c r="G639" s="11"/>
    </row>
    <row r="640" spans="6:7" ht="15.75" customHeight="1">
      <c r="F640" s="11"/>
      <c r="G640" s="11"/>
    </row>
    <row r="641" spans="6:7" ht="15.75" customHeight="1">
      <c r="F641" s="11"/>
      <c r="G641" s="11"/>
    </row>
    <row r="642" spans="6:7" ht="15.75" customHeight="1">
      <c r="F642" s="11"/>
      <c r="G642" s="11"/>
    </row>
    <row r="643" spans="6:7" ht="15.75" customHeight="1">
      <c r="F643" s="11"/>
      <c r="G643" s="11"/>
    </row>
    <row r="644" spans="6:7" ht="15.75" customHeight="1">
      <c r="F644" s="11"/>
      <c r="G644" s="11"/>
    </row>
    <row r="645" spans="6:7" ht="15.75" customHeight="1">
      <c r="F645" s="11"/>
      <c r="G645" s="11"/>
    </row>
    <row r="646" spans="6:7" ht="15.75" customHeight="1">
      <c r="F646" s="11"/>
      <c r="G646" s="11"/>
    </row>
    <row r="647" spans="6:7" ht="15.75" customHeight="1">
      <c r="F647" s="11"/>
      <c r="G647" s="11"/>
    </row>
    <row r="648" spans="6:7" ht="15.75" customHeight="1">
      <c r="F648" s="11"/>
      <c r="G648" s="11"/>
    </row>
    <row r="649" spans="6:7" ht="15.75" customHeight="1">
      <c r="F649" s="11"/>
      <c r="G649" s="11"/>
    </row>
    <row r="650" spans="6:7" ht="15.75" customHeight="1">
      <c r="F650" s="11"/>
      <c r="G650" s="11"/>
    </row>
    <row r="651" spans="6:7" ht="15.75" customHeight="1">
      <c r="F651" s="11"/>
      <c r="G651" s="11"/>
    </row>
    <row r="652" spans="6:7" ht="15.75" customHeight="1">
      <c r="F652" s="11"/>
      <c r="G652" s="11"/>
    </row>
    <row r="653" spans="6:7" ht="15.75" customHeight="1">
      <c r="F653" s="11"/>
      <c r="G653" s="11"/>
    </row>
    <row r="654" spans="6:7" ht="15.75" customHeight="1">
      <c r="F654" s="11"/>
      <c r="G654" s="11"/>
    </row>
    <row r="655" spans="6:7" ht="15.75" customHeight="1">
      <c r="F655" s="11"/>
      <c r="G655" s="11"/>
    </row>
    <row r="656" spans="6:7" ht="15.75" customHeight="1">
      <c r="F656" s="11"/>
      <c r="G656" s="11"/>
    </row>
    <row r="657" spans="6:7" ht="15.75" customHeight="1">
      <c r="F657" s="11"/>
      <c r="G657" s="11"/>
    </row>
    <row r="658" spans="6:7" ht="15.75" customHeight="1">
      <c r="F658" s="11"/>
      <c r="G658" s="11"/>
    </row>
    <row r="659" spans="6:7" ht="15.75" customHeight="1">
      <c r="F659" s="11"/>
      <c r="G659" s="11"/>
    </row>
    <row r="660" spans="6:7" ht="15.75" customHeight="1">
      <c r="F660" s="11"/>
      <c r="G660" s="11"/>
    </row>
    <row r="661" spans="6:7" ht="15.75" customHeight="1">
      <c r="F661" s="11"/>
      <c r="G661" s="11"/>
    </row>
    <row r="662" spans="6:7" ht="15.75" customHeight="1">
      <c r="F662" s="11"/>
      <c r="G662" s="11"/>
    </row>
    <row r="663" spans="6:7" ht="15.75" customHeight="1">
      <c r="F663" s="11"/>
      <c r="G663" s="11"/>
    </row>
    <row r="664" spans="6:7" ht="15.75" customHeight="1">
      <c r="F664" s="11"/>
      <c r="G664" s="11"/>
    </row>
    <row r="665" spans="6:7" ht="15.75" customHeight="1">
      <c r="F665" s="11"/>
      <c r="G665" s="11"/>
    </row>
    <row r="666" spans="6:7" ht="15.75" customHeight="1">
      <c r="F666" s="11"/>
      <c r="G666" s="11"/>
    </row>
    <row r="667" spans="6:7" ht="15.75" customHeight="1">
      <c r="F667" s="11"/>
      <c r="G667" s="11"/>
    </row>
    <row r="668" spans="6:7" ht="15.75" customHeight="1">
      <c r="F668" s="11"/>
      <c r="G668" s="11"/>
    </row>
    <row r="669" spans="6:7" ht="15.75" customHeight="1">
      <c r="F669" s="11"/>
      <c r="G669" s="11"/>
    </row>
    <row r="670" spans="6:7" ht="15.75" customHeight="1">
      <c r="F670" s="11"/>
      <c r="G670" s="11"/>
    </row>
    <row r="671" spans="6:7" ht="15.75" customHeight="1">
      <c r="F671" s="11"/>
      <c r="G671" s="11"/>
    </row>
    <row r="672" spans="6:7" ht="15.75" customHeight="1">
      <c r="F672" s="11"/>
      <c r="G672" s="11"/>
    </row>
    <row r="673" spans="6:7" ht="15.75" customHeight="1">
      <c r="F673" s="11"/>
      <c r="G673" s="11"/>
    </row>
    <row r="674" spans="6:7" ht="15.75" customHeight="1">
      <c r="F674" s="11"/>
      <c r="G674" s="11"/>
    </row>
    <row r="675" spans="6:7" ht="15.75" customHeight="1">
      <c r="F675" s="11"/>
      <c r="G675" s="11"/>
    </row>
    <row r="676" spans="6:7" ht="15.75" customHeight="1">
      <c r="F676" s="11"/>
      <c r="G676" s="11"/>
    </row>
    <row r="677" spans="6:7" ht="15.75" customHeight="1">
      <c r="F677" s="11"/>
      <c r="G677" s="11"/>
    </row>
    <row r="678" spans="6:7" ht="15.75" customHeight="1">
      <c r="F678" s="11"/>
      <c r="G678" s="11"/>
    </row>
    <row r="679" spans="6:7" ht="15.75" customHeight="1">
      <c r="F679" s="11"/>
      <c r="G679" s="11"/>
    </row>
    <row r="680" spans="6:7" ht="15.75" customHeight="1">
      <c r="F680" s="11"/>
      <c r="G680" s="11"/>
    </row>
    <row r="681" spans="6:7" ht="15.75" customHeight="1">
      <c r="F681" s="11"/>
      <c r="G681" s="11"/>
    </row>
    <row r="682" spans="6:7" ht="15.75" customHeight="1">
      <c r="F682" s="11"/>
      <c r="G682" s="11"/>
    </row>
    <row r="683" spans="6:7" ht="15.75" customHeight="1">
      <c r="F683" s="11"/>
      <c r="G683" s="11"/>
    </row>
    <row r="684" spans="6:7" ht="15.75" customHeight="1">
      <c r="F684" s="11"/>
      <c r="G684" s="11"/>
    </row>
    <row r="685" spans="6:7" ht="15.75" customHeight="1">
      <c r="F685" s="11"/>
      <c r="G685" s="11"/>
    </row>
    <row r="686" spans="6:7" ht="15.75" customHeight="1">
      <c r="F686" s="11"/>
      <c r="G686" s="11"/>
    </row>
    <row r="687" spans="6:7" ht="15.75" customHeight="1">
      <c r="F687" s="11"/>
      <c r="G687" s="11"/>
    </row>
    <row r="688" spans="6:7" ht="15.75" customHeight="1">
      <c r="F688" s="11"/>
      <c r="G688" s="11"/>
    </row>
    <row r="689" spans="6:7" ht="15.75" customHeight="1">
      <c r="F689" s="11"/>
      <c r="G689" s="11"/>
    </row>
    <row r="690" spans="6:7" ht="15.75" customHeight="1">
      <c r="F690" s="11"/>
      <c r="G690" s="11"/>
    </row>
    <row r="691" spans="6:7" ht="15.75" customHeight="1">
      <c r="F691" s="11"/>
      <c r="G691" s="11"/>
    </row>
    <row r="692" spans="6:7" ht="15.75" customHeight="1">
      <c r="F692" s="11"/>
      <c r="G692" s="11"/>
    </row>
    <row r="693" spans="6:7" ht="15.75" customHeight="1">
      <c r="F693" s="11"/>
      <c r="G693" s="11"/>
    </row>
    <row r="694" spans="6:7" ht="15.75" customHeight="1">
      <c r="F694" s="11"/>
      <c r="G694" s="11"/>
    </row>
    <row r="695" spans="6:7" ht="15.75" customHeight="1">
      <c r="F695" s="11"/>
      <c r="G695" s="11"/>
    </row>
    <row r="696" spans="6:7" ht="15.75" customHeight="1">
      <c r="F696" s="11"/>
      <c r="G696" s="11"/>
    </row>
    <row r="697" spans="6:7" ht="15.75" customHeight="1">
      <c r="F697" s="11"/>
      <c r="G697" s="11"/>
    </row>
    <row r="698" spans="6:7" ht="15.75" customHeight="1">
      <c r="F698" s="11"/>
      <c r="G698" s="11"/>
    </row>
    <row r="699" spans="6:7" ht="15.75" customHeight="1">
      <c r="F699" s="11"/>
      <c r="G699" s="11"/>
    </row>
    <row r="700" spans="6:7" ht="15.75" customHeight="1">
      <c r="F700" s="11"/>
      <c r="G700" s="11"/>
    </row>
    <row r="701" spans="6:7" ht="15.75" customHeight="1">
      <c r="F701" s="11"/>
      <c r="G701" s="11"/>
    </row>
    <row r="702" spans="6:7" ht="15.75" customHeight="1">
      <c r="F702" s="11"/>
      <c r="G702" s="11"/>
    </row>
    <row r="703" spans="6:7" ht="15.75" customHeight="1">
      <c r="F703" s="11"/>
      <c r="G703" s="11"/>
    </row>
    <row r="704" spans="6:7" ht="15.75" customHeight="1">
      <c r="F704" s="11"/>
      <c r="G704" s="11"/>
    </row>
    <row r="705" spans="6:7" ht="15.75" customHeight="1">
      <c r="F705" s="11"/>
      <c r="G705" s="11"/>
    </row>
    <row r="706" spans="6:7" ht="15.75" customHeight="1">
      <c r="F706" s="11"/>
      <c r="G706" s="11"/>
    </row>
    <row r="707" spans="6:7" ht="15.75" customHeight="1">
      <c r="F707" s="11"/>
      <c r="G707" s="11"/>
    </row>
    <row r="708" spans="6:7" ht="15.75" customHeight="1">
      <c r="F708" s="11"/>
      <c r="G708" s="11"/>
    </row>
    <row r="709" spans="6:7" ht="15.75" customHeight="1">
      <c r="F709" s="11"/>
      <c r="G709" s="11"/>
    </row>
    <row r="710" spans="6:7" ht="15.75" customHeight="1">
      <c r="F710" s="11"/>
      <c r="G710" s="11"/>
    </row>
    <row r="711" spans="6:7" ht="15.75" customHeight="1">
      <c r="F711" s="11"/>
      <c r="G711" s="11"/>
    </row>
    <row r="712" spans="6:7" ht="15.75" customHeight="1">
      <c r="F712" s="11"/>
      <c r="G712" s="11"/>
    </row>
    <row r="713" spans="6:7" ht="15.75" customHeight="1">
      <c r="F713" s="11"/>
      <c r="G713" s="11"/>
    </row>
    <row r="714" spans="6:7" ht="15.75" customHeight="1">
      <c r="F714" s="11"/>
      <c r="G714" s="11"/>
    </row>
    <row r="715" spans="6:7" ht="15.75" customHeight="1">
      <c r="F715" s="11"/>
      <c r="G715" s="11"/>
    </row>
    <row r="716" spans="6:7" ht="15.75" customHeight="1">
      <c r="F716" s="11"/>
      <c r="G716" s="11"/>
    </row>
    <row r="717" spans="6:7" ht="15.75" customHeight="1">
      <c r="F717" s="11"/>
      <c r="G717" s="11"/>
    </row>
    <row r="718" spans="6:7" ht="15.75" customHeight="1">
      <c r="F718" s="11"/>
      <c r="G718" s="11"/>
    </row>
    <row r="719" spans="6:7" ht="15.75" customHeight="1">
      <c r="F719" s="11"/>
      <c r="G719" s="11"/>
    </row>
    <row r="720" spans="6:7" ht="15.75" customHeight="1">
      <c r="F720" s="11"/>
      <c r="G720" s="11"/>
    </row>
    <row r="721" spans="6:7" ht="15.75" customHeight="1">
      <c r="F721" s="11"/>
      <c r="G721" s="11"/>
    </row>
    <row r="722" spans="6:7" ht="15.75" customHeight="1">
      <c r="F722" s="11"/>
      <c r="G722" s="11"/>
    </row>
    <row r="723" spans="6:7" ht="15.75" customHeight="1">
      <c r="F723" s="11"/>
      <c r="G723" s="11"/>
    </row>
    <row r="724" spans="6:7" ht="15.75" customHeight="1">
      <c r="F724" s="11"/>
      <c r="G724" s="11"/>
    </row>
    <row r="725" spans="6:7" ht="15.75" customHeight="1">
      <c r="F725" s="11"/>
      <c r="G725" s="11"/>
    </row>
    <row r="726" spans="6:7" ht="15.75" customHeight="1">
      <c r="F726" s="11"/>
      <c r="G726" s="11"/>
    </row>
    <row r="727" spans="6:7" ht="15.75" customHeight="1">
      <c r="F727" s="11"/>
      <c r="G727" s="11"/>
    </row>
    <row r="728" spans="6:7" ht="15.75" customHeight="1">
      <c r="F728" s="11"/>
      <c r="G728" s="11"/>
    </row>
    <row r="729" spans="6:7" ht="15.75" customHeight="1">
      <c r="F729" s="11"/>
      <c r="G729" s="11"/>
    </row>
    <row r="730" spans="6:7" ht="15.75" customHeight="1">
      <c r="F730" s="11"/>
      <c r="G730" s="11"/>
    </row>
    <row r="731" spans="6:7" ht="15.75" customHeight="1">
      <c r="F731" s="11"/>
      <c r="G731" s="11"/>
    </row>
    <row r="732" spans="6:7" ht="15.75" customHeight="1">
      <c r="F732" s="11"/>
      <c r="G732" s="11"/>
    </row>
    <row r="733" spans="6:7" ht="15.75" customHeight="1">
      <c r="F733" s="11"/>
      <c r="G733" s="11"/>
    </row>
    <row r="734" spans="6:7" ht="15.75" customHeight="1">
      <c r="F734" s="11"/>
      <c r="G734" s="11"/>
    </row>
    <row r="735" spans="6:7" ht="15.75" customHeight="1">
      <c r="F735" s="11"/>
      <c r="G735" s="11"/>
    </row>
    <row r="736" spans="6:7" ht="15.75" customHeight="1">
      <c r="F736" s="11"/>
      <c r="G736" s="11"/>
    </row>
    <row r="737" spans="6:7" ht="15.75" customHeight="1">
      <c r="F737" s="11"/>
      <c r="G737" s="11"/>
    </row>
    <row r="738" spans="6:7" ht="15.75" customHeight="1">
      <c r="F738" s="11"/>
      <c r="G738" s="11"/>
    </row>
    <row r="739" spans="6:7" ht="15.75" customHeight="1">
      <c r="F739" s="11"/>
      <c r="G739" s="11"/>
    </row>
    <row r="740" spans="6:7" ht="15.75" customHeight="1">
      <c r="F740" s="11"/>
      <c r="G740" s="11"/>
    </row>
    <row r="741" spans="6:7" ht="15.75" customHeight="1">
      <c r="F741" s="11"/>
      <c r="G741" s="11"/>
    </row>
    <row r="742" spans="6:7" ht="15.75" customHeight="1">
      <c r="F742" s="11"/>
      <c r="G742" s="11"/>
    </row>
    <row r="743" spans="6:7" ht="15.75" customHeight="1">
      <c r="F743" s="11"/>
      <c r="G743" s="11"/>
    </row>
    <row r="744" spans="6:7" ht="15.75" customHeight="1">
      <c r="F744" s="11"/>
      <c r="G744" s="11"/>
    </row>
    <row r="745" spans="6:7" ht="15.75" customHeight="1">
      <c r="F745" s="11"/>
      <c r="G745" s="11"/>
    </row>
    <row r="746" spans="6:7" ht="15.75" customHeight="1">
      <c r="F746" s="11"/>
      <c r="G746" s="11"/>
    </row>
    <row r="747" spans="6:7" ht="15.75" customHeight="1">
      <c r="F747" s="11"/>
      <c r="G747" s="11"/>
    </row>
    <row r="748" spans="6:7" ht="15.75" customHeight="1">
      <c r="F748" s="11"/>
      <c r="G748" s="11"/>
    </row>
    <row r="749" spans="6:7" ht="15.75" customHeight="1">
      <c r="F749" s="11"/>
      <c r="G749" s="11"/>
    </row>
    <row r="750" spans="6:7" ht="15.75" customHeight="1">
      <c r="F750" s="11"/>
      <c r="G750" s="11"/>
    </row>
    <row r="751" spans="6:7" ht="15.75" customHeight="1">
      <c r="F751" s="11"/>
      <c r="G751" s="11"/>
    </row>
    <row r="752" spans="6:7" ht="15.75" customHeight="1">
      <c r="F752" s="11"/>
      <c r="G752" s="11"/>
    </row>
    <row r="753" spans="6:7" ht="15.75" customHeight="1">
      <c r="F753" s="11"/>
      <c r="G753" s="11"/>
    </row>
    <row r="754" spans="6:7" ht="15.75" customHeight="1">
      <c r="F754" s="11"/>
      <c r="G754" s="11"/>
    </row>
    <row r="755" spans="6:7" ht="15.75" customHeight="1">
      <c r="F755" s="11"/>
      <c r="G755" s="11"/>
    </row>
    <row r="756" spans="6:7" ht="15.75" customHeight="1">
      <c r="F756" s="11"/>
      <c r="G756" s="11"/>
    </row>
    <row r="757" spans="6:7" ht="15.75" customHeight="1">
      <c r="F757" s="11"/>
      <c r="G757" s="11"/>
    </row>
    <row r="758" spans="6:7" ht="15.75" customHeight="1">
      <c r="F758" s="11"/>
      <c r="G758" s="11"/>
    </row>
    <row r="759" spans="6:7" ht="15.75" customHeight="1">
      <c r="F759" s="11"/>
      <c r="G759" s="11"/>
    </row>
    <row r="760" spans="6:7" ht="15.75" customHeight="1">
      <c r="F760" s="11"/>
      <c r="G760" s="11"/>
    </row>
    <row r="761" spans="6:7" ht="15.75" customHeight="1">
      <c r="F761" s="11"/>
      <c r="G761" s="11"/>
    </row>
    <row r="762" spans="6:7" ht="15.75" customHeight="1">
      <c r="F762" s="11"/>
      <c r="G762" s="11"/>
    </row>
    <row r="763" spans="6:7" ht="15.75" customHeight="1">
      <c r="F763" s="11"/>
      <c r="G763" s="11"/>
    </row>
    <row r="764" spans="6:7" ht="15.75" customHeight="1">
      <c r="F764" s="11"/>
      <c r="G764" s="11"/>
    </row>
    <row r="765" spans="6:7" ht="15.75" customHeight="1">
      <c r="F765" s="11"/>
      <c r="G765" s="11"/>
    </row>
    <row r="766" spans="6:7" ht="15.75" customHeight="1">
      <c r="F766" s="11"/>
      <c r="G766" s="11"/>
    </row>
    <row r="767" spans="6:7" ht="15.75" customHeight="1">
      <c r="F767" s="11"/>
      <c r="G767" s="11"/>
    </row>
    <row r="768" spans="6:7" ht="15.75" customHeight="1">
      <c r="F768" s="11"/>
      <c r="G768" s="11"/>
    </row>
    <row r="769" spans="6:7" ht="15.75" customHeight="1">
      <c r="F769" s="11"/>
      <c r="G769" s="11"/>
    </row>
    <row r="770" spans="6:7" ht="15.75" customHeight="1">
      <c r="F770" s="11"/>
      <c r="G770" s="11"/>
    </row>
    <row r="771" spans="6:7" ht="15.75" customHeight="1">
      <c r="F771" s="11"/>
      <c r="G771" s="11"/>
    </row>
    <row r="772" spans="6:7" ht="15.75" customHeight="1">
      <c r="F772" s="11"/>
      <c r="G772" s="11"/>
    </row>
    <row r="773" spans="6:7" ht="15.75" customHeight="1">
      <c r="F773" s="11"/>
      <c r="G773" s="11"/>
    </row>
    <row r="774" spans="6:7" ht="15.75" customHeight="1">
      <c r="F774" s="11"/>
      <c r="G774" s="11"/>
    </row>
    <row r="775" spans="6:7" ht="15.75" customHeight="1">
      <c r="F775" s="11"/>
      <c r="G775" s="11"/>
    </row>
    <row r="776" spans="6:7" ht="15.75" customHeight="1">
      <c r="F776" s="11"/>
      <c r="G776" s="11"/>
    </row>
    <row r="777" spans="6:7" ht="15.75" customHeight="1">
      <c r="F777" s="11"/>
      <c r="G777" s="11"/>
    </row>
    <row r="778" spans="6:7" ht="15.75" customHeight="1">
      <c r="F778" s="11"/>
      <c r="G778" s="11"/>
    </row>
    <row r="779" spans="6:7" ht="15.75" customHeight="1">
      <c r="F779" s="11"/>
      <c r="G779" s="11"/>
    </row>
    <row r="780" spans="6:7" ht="15.75" customHeight="1">
      <c r="F780" s="11"/>
      <c r="G780" s="11"/>
    </row>
    <row r="781" spans="6:7" ht="15.75" customHeight="1">
      <c r="F781" s="11"/>
      <c r="G781" s="11"/>
    </row>
    <row r="782" spans="6:7" ht="15.75" customHeight="1">
      <c r="F782" s="11"/>
      <c r="G782" s="11"/>
    </row>
    <row r="783" spans="6:7" ht="15.75" customHeight="1">
      <c r="F783" s="11"/>
      <c r="G783" s="11"/>
    </row>
    <row r="784" spans="6:7" ht="15.75" customHeight="1">
      <c r="F784" s="11"/>
      <c r="G784" s="11"/>
    </row>
    <row r="785" spans="6:7" ht="15.75" customHeight="1">
      <c r="F785" s="11"/>
      <c r="G785" s="11"/>
    </row>
    <row r="786" spans="6:7" ht="15.75" customHeight="1">
      <c r="F786" s="11"/>
      <c r="G786" s="11"/>
    </row>
    <row r="787" spans="6:7" ht="15.75" customHeight="1">
      <c r="F787" s="11"/>
      <c r="G787" s="11"/>
    </row>
    <row r="788" spans="6:7" ht="15.75" customHeight="1">
      <c r="F788" s="11"/>
      <c r="G788" s="11"/>
    </row>
    <row r="789" spans="6:7" ht="15.75" customHeight="1">
      <c r="F789" s="11"/>
      <c r="G789" s="11"/>
    </row>
    <row r="790" spans="6:7" ht="15.75" customHeight="1">
      <c r="F790" s="11"/>
      <c r="G790" s="11"/>
    </row>
    <row r="791" spans="6:7" ht="15.75" customHeight="1">
      <c r="F791" s="11"/>
      <c r="G791" s="11"/>
    </row>
    <row r="792" spans="6:7" ht="15.75" customHeight="1">
      <c r="F792" s="11"/>
      <c r="G792" s="11"/>
    </row>
    <row r="793" spans="6:7" ht="15.75" customHeight="1">
      <c r="F793" s="11"/>
      <c r="G793" s="11"/>
    </row>
    <row r="794" spans="6:7" ht="15.75" customHeight="1">
      <c r="F794" s="11"/>
      <c r="G794" s="11"/>
    </row>
    <row r="795" spans="6:7" ht="15.75" customHeight="1">
      <c r="F795" s="11"/>
      <c r="G795" s="11"/>
    </row>
    <row r="796" spans="6:7" ht="15.75" customHeight="1">
      <c r="F796" s="11"/>
      <c r="G796" s="11"/>
    </row>
    <row r="797" spans="6:7" ht="15.75" customHeight="1">
      <c r="F797" s="11"/>
      <c r="G797" s="11"/>
    </row>
    <row r="798" spans="6:7" ht="15.75" customHeight="1">
      <c r="F798" s="11"/>
      <c r="G798" s="11"/>
    </row>
    <row r="799" spans="6:7" ht="15.75" customHeight="1">
      <c r="F799" s="11"/>
      <c r="G799" s="11"/>
    </row>
    <row r="800" spans="6:7" ht="15.75" customHeight="1">
      <c r="F800" s="11"/>
      <c r="G800" s="11"/>
    </row>
    <row r="801" spans="6:7" ht="15.75" customHeight="1">
      <c r="F801" s="11"/>
      <c r="G801" s="11"/>
    </row>
    <row r="802" spans="6:7" ht="15.75" customHeight="1">
      <c r="F802" s="11"/>
      <c r="G802" s="11"/>
    </row>
    <row r="803" spans="6:7" ht="15.75" customHeight="1">
      <c r="F803" s="11"/>
      <c r="G803" s="11"/>
    </row>
    <row r="804" spans="6:7" ht="15.75" customHeight="1">
      <c r="F804" s="11"/>
      <c r="G804" s="11"/>
    </row>
    <row r="805" spans="6:7" ht="15.75" customHeight="1">
      <c r="F805" s="11"/>
      <c r="G805" s="11"/>
    </row>
    <row r="806" spans="6:7" ht="15.75" customHeight="1">
      <c r="F806" s="11"/>
      <c r="G806" s="11"/>
    </row>
    <row r="807" spans="6:7" ht="15.75" customHeight="1">
      <c r="F807" s="11"/>
      <c r="G807" s="11"/>
    </row>
    <row r="808" spans="6:7" ht="15.75" customHeight="1">
      <c r="F808" s="11"/>
      <c r="G808" s="11"/>
    </row>
    <row r="809" spans="6:7" ht="15.75" customHeight="1">
      <c r="F809" s="11"/>
      <c r="G809" s="11"/>
    </row>
    <row r="810" spans="6:7" ht="15.75" customHeight="1">
      <c r="F810" s="11"/>
      <c r="G810" s="11"/>
    </row>
    <row r="811" spans="6:7" ht="15.75" customHeight="1">
      <c r="F811" s="11"/>
      <c r="G811" s="11"/>
    </row>
    <row r="812" spans="6:7" ht="15.75" customHeight="1">
      <c r="F812" s="11"/>
      <c r="G812" s="11"/>
    </row>
    <row r="813" spans="6:7" ht="15.75" customHeight="1">
      <c r="F813" s="11"/>
      <c r="G813" s="11"/>
    </row>
    <row r="814" spans="6:7" ht="15.75" customHeight="1">
      <c r="F814" s="11"/>
      <c r="G814" s="11"/>
    </row>
    <row r="815" spans="6:7" ht="15.75" customHeight="1">
      <c r="F815" s="11"/>
      <c r="G815" s="11"/>
    </row>
    <row r="816" spans="6:7" ht="15.75" customHeight="1">
      <c r="F816" s="11"/>
      <c r="G816" s="11"/>
    </row>
    <row r="817" spans="6:7" ht="15.75" customHeight="1">
      <c r="F817" s="11"/>
      <c r="G817" s="11"/>
    </row>
    <row r="818" spans="6:7" ht="15.75" customHeight="1">
      <c r="F818" s="11"/>
      <c r="G818" s="11"/>
    </row>
    <row r="819" spans="6:7" ht="15.75" customHeight="1">
      <c r="F819" s="11"/>
      <c r="G819" s="11"/>
    </row>
    <row r="820" spans="6:7" ht="15.75" customHeight="1">
      <c r="F820" s="11"/>
      <c r="G820" s="11"/>
    </row>
    <row r="821" spans="6:7" ht="15.75" customHeight="1">
      <c r="F821" s="11"/>
      <c r="G821" s="11"/>
    </row>
    <row r="822" spans="6:7" ht="15.75" customHeight="1">
      <c r="F822" s="11"/>
      <c r="G822" s="11"/>
    </row>
    <row r="823" spans="6:7" ht="15.75" customHeight="1">
      <c r="F823" s="11"/>
      <c r="G823" s="11"/>
    </row>
    <row r="824" spans="6:7" ht="15.75" customHeight="1">
      <c r="F824" s="11"/>
      <c r="G824" s="11"/>
    </row>
    <row r="825" spans="6:7" ht="15.75" customHeight="1">
      <c r="F825" s="11"/>
      <c r="G825" s="11"/>
    </row>
    <row r="826" spans="6:7" ht="15.75" customHeight="1">
      <c r="F826" s="11"/>
      <c r="G826" s="11"/>
    </row>
    <row r="827" spans="6:7" ht="15.75" customHeight="1">
      <c r="F827" s="11"/>
      <c r="G827" s="11"/>
    </row>
    <row r="828" spans="6:7" ht="15.75" customHeight="1">
      <c r="F828" s="11"/>
      <c r="G828" s="11"/>
    </row>
    <row r="829" spans="6:7" ht="15.75" customHeight="1">
      <c r="F829" s="11"/>
      <c r="G829" s="11"/>
    </row>
    <row r="830" spans="6:7" ht="15.75" customHeight="1">
      <c r="F830" s="11"/>
      <c r="G830" s="11"/>
    </row>
    <row r="831" spans="6:7" ht="15.75" customHeight="1">
      <c r="F831" s="11"/>
      <c r="G831" s="11"/>
    </row>
    <row r="832" spans="6:7" ht="15.75" customHeight="1">
      <c r="F832" s="11"/>
      <c r="G832" s="11"/>
    </row>
    <row r="833" spans="6:7" ht="15.75" customHeight="1">
      <c r="F833" s="11"/>
      <c r="G833" s="11"/>
    </row>
    <row r="834" spans="6:7" ht="15.75" customHeight="1">
      <c r="F834" s="11"/>
      <c r="G834" s="11"/>
    </row>
    <row r="835" spans="6:7" ht="15.75" customHeight="1">
      <c r="F835" s="11"/>
      <c r="G835" s="11"/>
    </row>
    <row r="836" spans="6:7" ht="15.75" customHeight="1">
      <c r="F836" s="11"/>
      <c r="G836" s="11"/>
    </row>
    <row r="837" spans="6:7" ht="15.75" customHeight="1">
      <c r="F837" s="11"/>
      <c r="G837" s="11"/>
    </row>
    <row r="838" spans="6:7" ht="15.75" customHeight="1">
      <c r="F838" s="11"/>
      <c r="G838" s="11"/>
    </row>
    <row r="839" spans="6:7" ht="15.75" customHeight="1">
      <c r="F839" s="11"/>
      <c r="G839" s="11"/>
    </row>
    <row r="840" spans="6:7" ht="15.75" customHeight="1">
      <c r="F840" s="11"/>
      <c r="G840" s="11"/>
    </row>
    <row r="841" spans="6:7" ht="15.75" customHeight="1">
      <c r="F841" s="11"/>
      <c r="G841" s="11"/>
    </row>
    <row r="842" spans="6:7" ht="15.75" customHeight="1">
      <c r="F842" s="11"/>
      <c r="G842" s="11"/>
    </row>
    <row r="843" spans="6:7" ht="15.75" customHeight="1">
      <c r="F843" s="11"/>
      <c r="G843" s="11"/>
    </row>
    <row r="844" spans="6:7" ht="15.75" customHeight="1">
      <c r="F844" s="11"/>
      <c r="G844" s="11"/>
    </row>
    <row r="845" spans="6:7" ht="15.75" customHeight="1">
      <c r="F845" s="11"/>
      <c r="G845" s="11"/>
    </row>
    <row r="846" spans="6:7" ht="15.75" customHeight="1">
      <c r="F846" s="11"/>
      <c r="G846" s="11"/>
    </row>
    <row r="847" spans="6:7" ht="15.75" customHeight="1">
      <c r="F847" s="11"/>
      <c r="G847" s="11"/>
    </row>
    <row r="848" spans="6:7" ht="15.75" customHeight="1">
      <c r="F848" s="11"/>
      <c r="G848" s="11"/>
    </row>
    <row r="849" spans="6:7" ht="15.75" customHeight="1">
      <c r="F849" s="11"/>
      <c r="G849" s="11"/>
    </row>
    <row r="850" spans="6:7" ht="15.75" customHeight="1">
      <c r="F850" s="11"/>
      <c r="G850" s="11"/>
    </row>
    <row r="851" spans="6:7" ht="15.75" customHeight="1">
      <c r="F851" s="11"/>
      <c r="G851" s="11"/>
    </row>
    <row r="852" spans="6:7" ht="15.75" customHeight="1">
      <c r="F852" s="11"/>
      <c r="G852" s="11"/>
    </row>
    <row r="853" spans="6:7" ht="15.75" customHeight="1">
      <c r="F853" s="11"/>
      <c r="G853" s="11"/>
    </row>
    <row r="854" spans="6:7" ht="15.75" customHeight="1">
      <c r="F854" s="11"/>
      <c r="G854" s="11"/>
    </row>
    <row r="855" spans="6:7" ht="15.75" customHeight="1">
      <c r="F855" s="11"/>
      <c r="G855" s="11"/>
    </row>
    <row r="856" spans="6:7" ht="15.75" customHeight="1">
      <c r="F856" s="11"/>
      <c r="G856" s="11"/>
    </row>
    <row r="857" spans="6:7" ht="15.75" customHeight="1">
      <c r="F857" s="11"/>
      <c r="G857" s="11"/>
    </row>
    <row r="858" spans="6:7" ht="15.75" customHeight="1">
      <c r="F858" s="11"/>
      <c r="G858" s="11"/>
    </row>
    <row r="859" spans="6:7" ht="15.75" customHeight="1">
      <c r="F859" s="11"/>
      <c r="G859" s="11"/>
    </row>
    <row r="860" spans="6:7" ht="15.75" customHeight="1">
      <c r="F860" s="11"/>
      <c r="G860" s="11"/>
    </row>
    <row r="861" spans="6:7" ht="15.75" customHeight="1">
      <c r="F861" s="11"/>
      <c r="G861" s="11"/>
    </row>
    <row r="862" spans="6:7" ht="15.75" customHeight="1">
      <c r="F862" s="11"/>
      <c r="G862" s="11"/>
    </row>
    <row r="863" spans="6:7" ht="15.75" customHeight="1">
      <c r="F863" s="11"/>
      <c r="G863" s="11"/>
    </row>
    <row r="864" spans="6:7" ht="15.75" customHeight="1">
      <c r="F864" s="11"/>
      <c r="G864" s="11"/>
    </row>
    <row r="865" spans="6:7" ht="15.75" customHeight="1">
      <c r="F865" s="11"/>
      <c r="G865" s="11"/>
    </row>
    <row r="866" spans="6:7" ht="15.75" customHeight="1">
      <c r="F866" s="11"/>
      <c r="G866" s="11"/>
    </row>
    <row r="867" spans="6:7" ht="15.75" customHeight="1">
      <c r="F867" s="11"/>
      <c r="G867" s="11"/>
    </row>
    <row r="868" spans="6:7" ht="15.75" customHeight="1">
      <c r="F868" s="11"/>
      <c r="G868" s="11"/>
    </row>
    <row r="869" spans="6:7" ht="15.75" customHeight="1">
      <c r="F869" s="11"/>
      <c r="G869" s="11"/>
    </row>
    <row r="870" spans="6:7" ht="15.75" customHeight="1">
      <c r="F870" s="11"/>
      <c r="G870" s="11"/>
    </row>
    <row r="871" spans="6:7" ht="15.75" customHeight="1">
      <c r="F871" s="11"/>
      <c r="G871" s="11"/>
    </row>
    <row r="872" spans="6:7" ht="15.75" customHeight="1">
      <c r="F872" s="11"/>
      <c r="G872" s="11"/>
    </row>
    <row r="873" spans="6:7" ht="15.75" customHeight="1">
      <c r="F873" s="11"/>
      <c r="G873" s="11"/>
    </row>
    <row r="874" spans="6:7" ht="15.75" customHeight="1">
      <c r="F874" s="11"/>
      <c r="G874" s="11"/>
    </row>
    <row r="875" spans="6:7" ht="15.75" customHeight="1">
      <c r="F875" s="11"/>
      <c r="G875" s="11"/>
    </row>
    <row r="876" spans="6:7" ht="15.75" customHeight="1">
      <c r="F876" s="11"/>
      <c r="G876" s="11"/>
    </row>
    <row r="877" spans="6:7" ht="15.75" customHeight="1">
      <c r="F877" s="11"/>
      <c r="G877" s="11"/>
    </row>
    <row r="878" spans="6:7" ht="15.75" customHeight="1">
      <c r="F878" s="11"/>
      <c r="G878" s="11"/>
    </row>
    <row r="879" spans="6:7" ht="15.75" customHeight="1">
      <c r="F879" s="11"/>
      <c r="G879" s="11"/>
    </row>
    <row r="880" spans="6:7" ht="15.75" customHeight="1">
      <c r="F880" s="11"/>
      <c r="G880" s="11"/>
    </row>
    <row r="881" spans="6:7" ht="15.75" customHeight="1">
      <c r="F881" s="11"/>
      <c r="G881" s="11"/>
    </row>
    <row r="882" spans="6:7" ht="15.75" customHeight="1">
      <c r="F882" s="11"/>
      <c r="G882" s="11"/>
    </row>
    <row r="883" spans="6:7" ht="15.75" customHeight="1">
      <c r="F883" s="11"/>
      <c r="G883" s="11"/>
    </row>
    <row r="884" spans="6:7" ht="15.75" customHeight="1">
      <c r="F884" s="11"/>
      <c r="G884" s="11"/>
    </row>
    <row r="885" spans="6:7" ht="15.75" customHeight="1">
      <c r="F885" s="11"/>
      <c r="G885" s="11"/>
    </row>
    <row r="886" spans="6:7" ht="15.75" customHeight="1">
      <c r="F886" s="11"/>
      <c r="G886" s="11"/>
    </row>
    <row r="887" spans="6:7" ht="15.75" customHeight="1">
      <c r="F887" s="11"/>
      <c r="G887" s="11"/>
    </row>
    <row r="888" spans="6:7" ht="15.75" customHeight="1">
      <c r="F888" s="11"/>
      <c r="G888" s="11"/>
    </row>
    <row r="889" spans="6:7" ht="15.75" customHeight="1">
      <c r="F889" s="11"/>
      <c r="G889" s="11"/>
    </row>
    <row r="890" spans="6:7" ht="15.75" customHeight="1">
      <c r="F890" s="11"/>
      <c r="G890" s="11"/>
    </row>
    <row r="891" spans="6:7" ht="15.75" customHeight="1">
      <c r="F891" s="11"/>
      <c r="G891" s="11"/>
    </row>
    <row r="892" spans="6:7" ht="15.75" customHeight="1">
      <c r="F892" s="11"/>
      <c r="G892" s="11"/>
    </row>
    <row r="893" spans="6:7" ht="15.75" customHeight="1">
      <c r="F893" s="11"/>
      <c r="G893" s="11"/>
    </row>
    <row r="894" spans="6:7" ht="15.75" customHeight="1">
      <c r="F894" s="11"/>
      <c r="G894" s="11"/>
    </row>
    <row r="895" spans="6:7" ht="15.75" customHeight="1">
      <c r="F895" s="11"/>
      <c r="G895" s="11"/>
    </row>
    <row r="896" spans="6:7" ht="15.75" customHeight="1">
      <c r="F896" s="11"/>
      <c r="G896" s="11"/>
    </row>
    <row r="897" spans="6:7" ht="15.75" customHeight="1">
      <c r="F897" s="11"/>
      <c r="G897" s="11"/>
    </row>
    <row r="898" spans="6:7" ht="15.75" customHeight="1">
      <c r="F898" s="11"/>
      <c r="G898" s="11"/>
    </row>
    <row r="899" spans="6:7" ht="15.75" customHeight="1">
      <c r="F899" s="11"/>
      <c r="G899" s="11"/>
    </row>
    <row r="900" spans="6:7" ht="15.75" customHeight="1">
      <c r="F900" s="11"/>
      <c r="G900" s="11"/>
    </row>
    <row r="901" spans="6:7" ht="15.75" customHeight="1">
      <c r="F901" s="11"/>
      <c r="G901" s="11"/>
    </row>
    <row r="902" spans="6:7" ht="15.75" customHeight="1">
      <c r="F902" s="11"/>
      <c r="G902" s="11"/>
    </row>
    <row r="903" spans="6:7" ht="15.75" customHeight="1">
      <c r="F903" s="11"/>
      <c r="G903" s="11"/>
    </row>
    <row r="904" spans="6:7" ht="15.75" customHeight="1">
      <c r="F904" s="11"/>
      <c r="G904" s="11"/>
    </row>
    <row r="905" spans="6:7" ht="15.75" customHeight="1">
      <c r="F905" s="11"/>
      <c r="G905" s="11"/>
    </row>
    <row r="906" spans="6:7" ht="15.75" customHeight="1">
      <c r="F906" s="11"/>
      <c r="G906" s="11"/>
    </row>
    <row r="907" spans="6:7" ht="15.75" customHeight="1">
      <c r="F907" s="11"/>
      <c r="G907" s="11"/>
    </row>
    <row r="908" spans="6:7" ht="15.75" customHeight="1">
      <c r="F908" s="11"/>
      <c r="G908" s="11"/>
    </row>
    <row r="909" spans="6:7" ht="15.75" customHeight="1">
      <c r="F909" s="11"/>
      <c r="G909" s="11"/>
    </row>
    <row r="910" spans="6:7" ht="15.75" customHeight="1">
      <c r="F910" s="11"/>
      <c r="G910" s="11"/>
    </row>
    <row r="911" spans="6:7" ht="15.75" customHeight="1">
      <c r="F911" s="11"/>
      <c r="G911" s="11"/>
    </row>
    <row r="912" spans="6:7" ht="15.75" customHeight="1">
      <c r="F912" s="11"/>
      <c r="G912" s="11"/>
    </row>
    <row r="913" spans="6:7" ht="15.75" customHeight="1">
      <c r="F913" s="11"/>
      <c r="G913" s="11"/>
    </row>
    <row r="914" spans="6:7" ht="15.75" customHeight="1">
      <c r="F914" s="11"/>
      <c r="G914" s="11"/>
    </row>
    <row r="915" spans="6:7" ht="15.75" customHeight="1">
      <c r="F915" s="11"/>
      <c r="G915" s="11"/>
    </row>
    <row r="916" spans="6:7" ht="15.75" customHeight="1">
      <c r="F916" s="11"/>
      <c r="G916" s="11"/>
    </row>
    <row r="917" spans="6:7" ht="15.75" customHeight="1">
      <c r="F917" s="11"/>
      <c r="G917" s="11"/>
    </row>
    <row r="918" spans="6:7" ht="15.75" customHeight="1">
      <c r="F918" s="11"/>
      <c r="G918" s="11"/>
    </row>
    <row r="919" spans="6:7" ht="15.75" customHeight="1">
      <c r="F919" s="11"/>
      <c r="G919" s="11"/>
    </row>
    <row r="920" spans="6:7" ht="15.75" customHeight="1">
      <c r="F920" s="11"/>
      <c r="G920" s="11"/>
    </row>
    <row r="921" spans="6:7" ht="15.75" customHeight="1">
      <c r="F921" s="11"/>
      <c r="G921" s="11"/>
    </row>
    <row r="922" spans="6:7" ht="15.75" customHeight="1">
      <c r="F922" s="11"/>
      <c r="G922" s="11"/>
    </row>
    <row r="923" spans="6:7" ht="15.75" customHeight="1">
      <c r="F923" s="11"/>
      <c r="G923" s="11"/>
    </row>
    <row r="924" spans="6:7" ht="15.75" customHeight="1">
      <c r="F924" s="11"/>
      <c r="G924" s="11"/>
    </row>
    <row r="925" spans="6:7" ht="15.75" customHeight="1">
      <c r="F925" s="11"/>
      <c r="G925" s="11"/>
    </row>
    <row r="926" spans="6:7" ht="15.75" customHeight="1">
      <c r="F926" s="11"/>
      <c r="G926" s="11"/>
    </row>
    <row r="927" spans="6:7" ht="15.75" customHeight="1">
      <c r="F927" s="11"/>
      <c r="G927" s="11"/>
    </row>
    <row r="928" spans="6:7" ht="15.75" customHeight="1">
      <c r="F928" s="11"/>
      <c r="G928" s="11"/>
    </row>
    <row r="929" spans="6:7" ht="15.75" customHeight="1">
      <c r="F929" s="11"/>
      <c r="G929" s="11"/>
    </row>
    <row r="930" spans="6:7" ht="15.75" customHeight="1">
      <c r="F930" s="11"/>
      <c r="G930" s="11"/>
    </row>
    <row r="931" spans="6:7" ht="15.75" customHeight="1">
      <c r="F931" s="11"/>
      <c r="G931" s="11"/>
    </row>
    <row r="932" spans="6:7" ht="15.75" customHeight="1">
      <c r="F932" s="11"/>
      <c r="G932" s="11"/>
    </row>
    <row r="933" spans="6:7" ht="15.75" customHeight="1">
      <c r="F933" s="11"/>
      <c r="G933" s="11"/>
    </row>
    <row r="934" spans="6:7" ht="15.75" customHeight="1">
      <c r="F934" s="11"/>
      <c r="G934" s="11"/>
    </row>
    <row r="935" spans="6:7" ht="15.75" customHeight="1">
      <c r="F935" s="11"/>
      <c r="G935" s="11"/>
    </row>
    <row r="936" spans="6:7" ht="15.75" customHeight="1">
      <c r="F936" s="11"/>
      <c r="G936" s="11"/>
    </row>
    <row r="937" spans="6:7" ht="15.75" customHeight="1">
      <c r="F937" s="11"/>
      <c r="G937" s="11"/>
    </row>
    <row r="938" spans="6:7" ht="15.75" customHeight="1">
      <c r="F938" s="11"/>
      <c r="G938" s="11"/>
    </row>
    <row r="939" spans="6:7" ht="15.75" customHeight="1">
      <c r="F939" s="11"/>
      <c r="G939" s="11"/>
    </row>
    <row r="940" spans="6:7" ht="15.75" customHeight="1">
      <c r="F940" s="11"/>
      <c r="G940" s="11"/>
    </row>
    <row r="941" spans="6:7" ht="15.75" customHeight="1">
      <c r="F941" s="11"/>
      <c r="G941" s="11"/>
    </row>
    <row r="942" spans="6:7" ht="15.75" customHeight="1">
      <c r="F942" s="11"/>
      <c r="G942" s="11"/>
    </row>
    <row r="943" spans="6:7" ht="15.75" customHeight="1">
      <c r="F943" s="11"/>
      <c r="G943" s="11"/>
    </row>
    <row r="944" spans="6:7" ht="15.75" customHeight="1">
      <c r="F944" s="11"/>
      <c r="G944" s="11"/>
    </row>
    <row r="945" spans="6:7" ht="15.75" customHeight="1">
      <c r="F945" s="11"/>
      <c r="G945" s="11"/>
    </row>
    <row r="946" spans="6:7" ht="15.75" customHeight="1">
      <c r="F946" s="11"/>
      <c r="G946" s="11"/>
    </row>
    <row r="947" spans="6:7" ht="15.75" customHeight="1">
      <c r="F947" s="11"/>
      <c r="G947" s="11"/>
    </row>
    <row r="948" spans="6:7" ht="15.75" customHeight="1">
      <c r="F948" s="11"/>
      <c r="G948" s="11"/>
    </row>
    <row r="949" spans="6:7" ht="15.75" customHeight="1">
      <c r="F949" s="11"/>
      <c r="G949" s="11"/>
    </row>
    <row r="950" spans="6:7" ht="15.75" customHeight="1">
      <c r="F950" s="11"/>
      <c r="G950" s="11"/>
    </row>
    <row r="951" spans="6:7" ht="15.75" customHeight="1">
      <c r="F951" s="11"/>
      <c r="G951" s="11"/>
    </row>
    <row r="952" spans="6:7" ht="15.75" customHeight="1">
      <c r="F952" s="11"/>
      <c r="G952" s="11"/>
    </row>
    <row r="953" spans="6:7" ht="15.75" customHeight="1">
      <c r="F953" s="11"/>
      <c r="G953" s="11"/>
    </row>
    <row r="954" spans="6:7" ht="15.75" customHeight="1">
      <c r="F954" s="11"/>
      <c r="G954" s="11"/>
    </row>
    <row r="955" spans="6:7" ht="15.75" customHeight="1">
      <c r="F955" s="11"/>
      <c r="G955" s="11"/>
    </row>
    <row r="956" spans="6:7" ht="15.75" customHeight="1">
      <c r="F956" s="11"/>
      <c r="G956" s="11"/>
    </row>
    <row r="957" spans="6:7" ht="15.75" customHeight="1">
      <c r="F957" s="11"/>
      <c r="G957" s="11"/>
    </row>
    <row r="958" spans="6:7" ht="15.75" customHeight="1">
      <c r="F958" s="11"/>
      <c r="G958" s="11"/>
    </row>
    <row r="959" spans="6:7" ht="15.75" customHeight="1">
      <c r="F959" s="11"/>
      <c r="G959" s="11"/>
    </row>
    <row r="960" spans="6:7" ht="15.75" customHeight="1">
      <c r="F960" s="11"/>
      <c r="G960" s="11"/>
    </row>
    <row r="961" spans="6:7" ht="15.75" customHeight="1">
      <c r="F961" s="11"/>
      <c r="G961" s="11"/>
    </row>
    <row r="962" spans="6:7" ht="15.75" customHeight="1">
      <c r="F962" s="11"/>
      <c r="G962" s="11"/>
    </row>
    <row r="963" spans="6:7" ht="15.75" customHeight="1">
      <c r="F963" s="11"/>
      <c r="G963" s="11"/>
    </row>
    <row r="964" spans="6:7" ht="15.75" customHeight="1">
      <c r="F964" s="11"/>
      <c r="G964" s="11"/>
    </row>
    <row r="965" spans="6:7" ht="15.75" customHeight="1">
      <c r="F965" s="11"/>
      <c r="G965" s="11"/>
    </row>
    <row r="966" spans="6:7" ht="15.75" customHeight="1">
      <c r="F966" s="11"/>
      <c r="G966" s="11"/>
    </row>
    <row r="967" spans="6:7" ht="15.75" customHeight="1">
      <c r="F967" s="11"/>
      <c r="G967" s="11"/>
    </row>
    <row r="968" spans="6:7" ht="15.75" customHeight="1">
      <c r="F968" s="11"/>
      <c r="G968" s="11"/>
    </row>
    <row r="969" spans="6:7" ht="15.75" customHeight="1">
      <c r="F969" s="11"/>
      <c r="G969" s="11"/>
    </row>
    <row r="970" spans="6:7" ht="15.75" customHeight="1">
      <c r="F970" s="11"/>
      <c r="G970" s="11"/>
    </row>
    <row r="971" spans="6:7" ht="15.75" customHeight="1">
      <c r="F971" s="11"/>
      <c r="G971" s="11"/>
    </row>
    <row r="972" spans="6:7" ht="15.75" customHeight="1">
      <c r="F972" s="11"/>
      <c r="G972" s="11"/>
    </row>
    <row r="973" spans="6:7" ht="15.75" customHeight="1">
      <c r="F973" s="11"/>
      <c r="G973" s="11"/>
    </row>
    <row r="974" spans="6:7" ht="15.75" customHeight="1">
      <c r="F974" s="11"/>
      <c r="G974" s="11"/>
    </row>
    <row r="975" spans="6:7" ht="15.75" customHeight="1">
      <c r="F975" s="11"/>
      <c r="G975" s="11"/>
    </row>
    <row r="976" spans="6:7" ht="15.75" customHeight="1">
      <c r="F976" s="11"/>
      <c r="G976" s="11"/>
    </row>
    <row r="977" spans="6:7" ht="15.75" customHeight="1">
      <c r="F977" s="11"/>
      <c r="G977" s="11"/>
    </row>
    <row r="978" spans="6:7" ht="15.75" customHeight="1">
      <c r="F978" s="11"/>
      <c r="G978" s="11"/>
    </row>
    <row r="979" spans="6:7" ht="15.75" customHeight="1">
      <c r="F979" s="11"/>
      <c r="G979" s="11"/>
    </row>
    <row r="980" spans="6:7" ht="15.75" customHeight="1">
      <c r="F980" s="11"/>
      <c r="G980" s="11"/>
    </row>
    <row r="981" spans="6:7" ht="15.75" customHeight="1">
      <c r="F981" s="11"/>
      <c r="G981" s="11"/>
    </row>
    <row r="982" spans="6:7" ht="15.75" customHeight="1">
      <c r="F982" s="11"/>
      <c r="G982" s="11"/>
    </row>
    <row r="983" spans="6:7" ht="15.75" customHeight="1">
      <c r="F983" s="11"/>
      <c r="G983" s="11"/>
    </row>
    <row r="984" spans="6:7" ht="15.75" customHeight="1">
      <c r="F984" s="11"/>
      <c r="G984" s="11"/>
    </row>
    <row r="985" spans="6:7" ht="15.75" customHeight="1">
      <c r="F985" s="11"/>
      <c r="G985" s="11"/>
    </row>
    <row r="986" spans="6:7" ht="15.75" customHeight="1">
      <c r="F986" s="11"/>
      <c r="G986" s="11"/>
    </row>
    <row r="987" spans="6:7" ht="15.75" customHeight="1">
      <c r="F987" s="11"/>
      <c r="G987" s="11"/>
    </row>
    <row r="988" spans="6:7" ht="15.75" customHeight="1">
      <c r="F988" s="11"/>
      <c r="G988" s="11"/>
    </row>
    <row r="989" spans="6:7" ht="15.75" customHeight="1">
      <c r="F989" s="11"/>
      <c r="G989" s="11"/>
    </row>
    <row r="990" spans="6:7" ht="15.75" customHeight="1">
      <c r="F990" s="11"/>
      <c r="G990" s="11"/>
    </row>
    <row r="991" spans="6:7" ht="15.75" customHeight="1">
      <c r="F991" s="11"/>
      <c r="G991" s="11"/>
    </row>
    <row r="992" spans="6:7" ht="15.75" customHeight="1">
      <c r="F992" s="11"/>
      <c r="G992" s="11"/>
    </row>
    <row r="993" spans="6:7" ht="15.75" customHeight="1">
      <c r="F993" s="11"/>
      <c r="G993" s="11"/>
    </row>
    <row r="994" spans="6:7" ht="15.75" customHeight="1">
      <c r="F994" s="11"/>
      <c r="G994" s="11"/>
    </row>
    <row r="995" spans="6:7" ht="15.75" customHeight="1">
      <c r="F995" s="11"/>
      <c r="G995" s="11"/>
    </row>
    <row r="996" spans="6:7" ht="15.75" customHeight="1">
      <c r="F996" s="11"/>
      <c r="G996" s="11"/>
    </row>
    <row r="997" spans="6:7" ht="15.75" customHeight="1">
      <c r="F997" s="11"/>
      <c r="G997" s="11"/>
    </row>
    <row r="998" spans="6:7" ht="15.75" customHeight="1">
      <c r="F998" s="11"/>
      <c r="G998" s="11"/>
    </row>
    <row r="999" spans="6:7" ht="15.75" customHeight="1">
      <c r="F999" s="11"/>
      <c r="G999" s="11"/>
    </row>
    <row r="1000" spans="6:7" ht="15.75" customHeight="1">
      <c r="F1000" s="11"/>
      <c r="G1000" s="11"/>
    </row>
    <row r="1001" spans="6:7" ht="15.75" customHeight="1">
      <c r="F1001" s="11"/>
      <c r="G1001" s="11"/>
    </row>
    <row r="1002" spans="6:7" ht="15.75" customHeight="1">
      <c r="F1002" s="11"/>
      <c r="G1002" s="11"/>
    </row>
    <row r="1003" spans="6:7" ht="15.75" customHeight="1">
      <c r="F1003" s="11"/>
      <c r="G1003" s="11"/>
    </row>
  </sheetData>
  <mergeCells count="40">
    <mergeCell ref="B28:F31"/>
    <mergeCell ref="C13:E13"/>
    <mergeCell ref="C14:E14"/>
    <mergeCell ref="C22:E22"/>
    <mergeCell ref="C23:E23"/>
    <mergeCell ref="C15:E15"/>
    <mergeCell ref="C16:E16"/>
    <mergeCell ref="C17:E17"/>
    <mergeCell ref="C18:E18"/>
    <mergeCell ref="C19:E19"/>
    <mergeCell ref="C20:E20"/>
    <mergeCell ref="C21:E21"/>
    <mergeCell ref="B24:W24"/>
    <mergeCell ref="C25:E25"/>
    <mergeCell ref="C26:E26"/>
    <mergeCell ref="B27:F27"/>
    <mergeCell ref="C11:E11"/>
    <mergeCell ref="B2:D3"/>
    <mergeCell ref="E2:G2"/>
    <mergeCell ref="E3:G3"/>
    <mergeCell ref="B4:B5"/>
    <mergeCell ref="C4:E5"/>
    <mergeCell ref="F4:F5"/>
    <mergeCell ref="G4:G5"/>
    <mergeCell ref="C12:E12"/>
    <mergeCell ref="G27:H27"/>
    <mergeCell ref="G36:H36"/>
    <mergeCell ref="H6:I6"/>
    <mergeCell ref="V6:W6"/>
    <mergeCell ref="V7:W7"/>
    <mergeCell ref="J6:P6"/>
    <mergeCell ref="Q6:R6"/>
    <mergeCell ref="S6:U7"/>
    <mergeCell ref="B7:I7"/>
    <mergeCell ref="K7:M7"/>
    <mergeCell ref="N7:P7"/>
    <mergeCell ref="Q7:R7"/>
    <mergeCell ref="C8:E8"/>
    <mergeCell ref="C9:E9"/>
    <mergeCell ref="C10:E10"/>
  </mergeCells>
  <pageMargins left="0.7" right="0.7" top="0.75" bottom="0.75"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921"/>
  <sheetViews>
    <sheetView showGridLines="0" tabSelected="1" topLeftCell="A19" zoomScale="70" zoomScaleNormal="70" workbookViewId="0">
      <selection activeCell="H26" sqref="H26:J33"/>
    </sheetView>
  </sheetViews>
  <sheetFormatPr baseColWidth="10" defaultColWidth="14.42578125" defaultRowHeight="15" customHeight="1"/>
  <cols>
    <col min="1" max="2" width="10.7109375" customWidth="1"/>
    <col min="3" max="3" width="59.28515625" customWidth="1"/>
    <col min="4" max="4" width="12.5703125" customWidth="1"/>
    <col min="5" max="5" width="25.28515625" customWidth="1"/>
    <col min="6" max="6" width="17" customWidth="1"/>
    <col min="7" max="7" width="21.28515625" customWidth="1"/>
    <col min="8" max="8" width="30.85546875" customWidth="1"/>
    <col min="9" max="9" width="31.140625" customWidth="1"/>
    <col min="10" max="10" width="27.42578125" customWidth="1"/>
    <col min="11" max="11" width="27.140625" bestFit="1" customWidth="1"/>
    <col min="12" max="12" width="23.7109375" customWidth="1"/>
    <col min="13" max="13" width="25.85546875" customWidth="1"/>
  </cols>
  <sheetData>
    <row r="1" spans="2:13">
      <c r="F1" s="11"/>
      <c r="G1" s="11"/>
    </row>
    <row r="2" spans="2:13" ht="15.75">
      <c r="B2" s="863" t="s">
        <v>5</v>
      </c>
      <c r="C2" s="864"/>
      <c r="D2" s="865"/>
      <c r="E2" s="869" t="s">
        <v>6</v>
      </c>
      <c r="F2" s="870"/>
      <c r="G2" s="871"/>
      <c r="H2" s="375"/>
      <c r="I2" s="375"/>
      <c r="J2" s="375"/>
    </row>
    <row r="3" spans="2:13" ht="15.75">
      <c r="B3" s="866"/>
      <c r="C3" s="867"/>
      <c r="D3" s="868"/>
      <c r="E3" s="869" t="s">
        <v>427</v>
      </c>
      <c r="F3" s="870"/>
      <c r="G3" s="871"/>
      <c r="H3" s="375"/>
      <c r="I3" s="375"/>
      <c r="J3" s="375"/>
    </row>
    <row r="4" spans="2:13" ht="54" customHeight="1">
      <c r="B4" s="872" t="s">
        <v>8</v>
      </c>
      <c r="C4" s="874" t="s">
        <v>434</v>
      </c>
      <c r="D4" s="864"/>
      <c r="E4" s="865"/>
      <c r="F4" s="875" t="s">
        <v>10</v>
      </c>
      <c r="G4" s="876" t="s">
        <v>432</v>
      </c>
      <c r="H4" s="375"/>
      <c r="I4" s="375"/>
      <c r="J4" s="375"/>
    </row>
    <row r="5" spans="2:13" ht="21.75" customHeight="1" thickBot="1">
      <c r="B5" s="873"/>
      <c r="C5" s="866"/>
      <c r="D5" s="867"/>
      <c r="E5" s="868"/>
      <c r="F5" s="873"/>
      <c r="G5" s="873"/>
      <c r="H5" s="375"/>
      <c r="I5" s="375"/>
      <c r="J5" s="375"/>
    </row>
    <row r="6" spans="2:13" ht="45.75" customHeight="1" thickBot="1">
      <c r="B6" s="376"/>
      <c r="C6" s="377"/>
      <c r="D6" s="378"/>
      <c r="E6" s="379"/>
      <c r="F6" s="380"/>
      <c r="G6" s="380"/>
      <c r="H6" s="880" t="s">
        <v>416</v>
      </c>
      <c r="I6" s="881"/>
      <c r="J6" s="882"/>
      <c r="K6" s="12"/>
    </row>
    <row r="7" spans="2:13" ht="28.5" customHeight="1">
      <c r="B7" s="845" t="s">
        <v>544</v>
      </c>
      <c r="C7" s="846"/>
      <c r="D7" s="846"/>
      <c r="E7" s="846"/>
      <c r="F7" s="846"/>
      <c r="G7" s="846"/>
      <c r="H7" s="846"/>
      <c r="I7" s="847"/>
      <c r="J7" s="381" t="s">
        <v>16</v>
      </c>
      <c r="K7" s="13"/>
    </row>
    <row r="8" spans="2:13" ht="33.75" customHeight="1">
      <c r="B8" s="595" t="s">
        <v>21</v>
      </c>
      <c r="C8" s="835" t="s">
        <v>22</v>
      </c>
      <c r="D8" s="836"/>
      <c r="E8" s="837"/>
      <c r="F8" s="596" t="s">
        <v>23</v>
      </c>
      <c r="G8" s="596" t="s">
        <v>431</v>
      </c>
      <c r="H8" s="596" t="s">
        <v>24</v>
      </c>
      <c r="I8" s="596" t="s">
        <v>25</v>
      </c>
      <c r="J8" s="597" t="s">
        <v>26</v>
      </c>
      <c r="K8" s="6"/>
    </row>
    <row r="9" spans="2:13" ht="70.5" customHeight="1">
      <c r="B9" s="598">
        <v>1</v>
      </c>
      <c r="C9" s="854" t="str">
        <f>+C92</f>
        <v xml:space="preserve">MURO EN PLACA DE FIBROCEMENTO 6mm - 2 cara (inc. Acabados, detalles, resanes, pinturas y terminados - aislamiento acústico internos de caras) </v>
      </c>
      <c r="D9" s="855"/>
      <c r="E9" s="856"/>
      <c r="F9" s="599" t="s">
        <v>35</v>
      </c>
      <c r="G9" s="600">
        <f>+((10+10+10)*2.7)-(3*1.5*4)-(1.5*1*2)</f>
        <v>60</v>
      </c>
      <c r="H9" s="601">
        <f>+H92</f>
        <v>138828.3816939891</v>
      </c>
      <c r="I9" s="602">
        <f>+H9*G9</f>
        <v>8329702.901639346</v>
      </c>
      <c r="J9" s="603">
        <f>+I9/$I$19</f>
        <v>0.24040436948214783</v>
      </c>
      <c r="K9" s="6"/>
      <c r="L9" s="469"/>
      <c r="M9" s="469"/>
    </row>
    <row r="10" spans="2:13" s="319" customFormat="1" ht="96" customHeight="1">
      <c r="B10" s="598">
        <v>2</v>
      </c>
      <c r="C10" s="854" t="str">
        <f>+C40</f>
        <v xml:space="preserve">
SUMINISTRO E INSTALCION DE VIDRIO TEMPLADO por dos en 6+6 con laminado de seguridad incluye estructura de soporte en aluminio modulada según especificaciones del proveedor, incluye accesorios para correcta instalación y funcionamiento</v>
      </c>
      <c r="D10" s="855"/>
      <c r="E10" s="856"/>
      <c r="F10" s="599" t="s">
        <v>35</v>
      </c>
      <c r="G10" s="600">
        <v>28</v>
      </c>
      <c r="H10" s="601">
        <f>+H40</f>
        <v>583585.42857142852</v>
      </c>
      <c r="I10" s="602">
        <f>+H10*G10</f>
        <v>16340391.999999998</v>
      </c>
      <c r="J10" s="603">
        <f t="shared" ref="J10" si="0">+I10/$I$19</f>
        <v>0.47160165041156671</v>
      </c>
      <c r="K10" s="6"/>
      <c r="L10" s="469"/>
      <c r="M10" s="469"/>
    </row>
    <row r="11" spans="2:13" s="319" customFormat="1" ht="78" customHeight="1">
      <c r="B11" s="604">
        <v>3</v>
      </c>
      <c r="C11" s="833" t="str">
        <f>+C109</f>
        <v xml:space="preserve">SUMINISTRO E INSTALACION VENTANA DOBEL CORREDIZA EN ALUMINIIO SECC. (1,5*1,5*2UND)  Inc. Perfiles, alfajias,  y herrajes necesarios para su corresta instalación y funcionamiento sobre muro placa fibrocemento </v>
      </c>
      <c r="D11" s="834"/>
      <c r="E11" s="834"/>
      <c r="F11" s="605" t="str">
        <f>+D109</f>
        <v>UN</v>
      </c>
      <c r="G11" s="606">
        <v>4</v>
      </c>
      <c r="H11" s="607">
        <f>+H109</f>
        <v>1445266.56</v>
      </c>
      <c r="I11" s="602">
        <f>+H11*G11</f>
        <v>5781066.2400000002</v>
      </c>
      <c r="J11" s="603">
        <f t="shared" ref="J11:J15" si="1">+I11/$I$19</f>
        <v>0.16684791771963556</v>
      </c>
      <c r="K11" s="6"/>
    </row>
    <row r="12" spans="2:13" s="319" customFormat="1" ht="78" customHeight="1">
      <c r="B12" s="604">
        <v>4</v>
      </c>
      <c r="C12" s="833" t="str">
        <f>+C116</f>
        <v xml:space="preserve">SUMINISTRO E INSTALACION VENTANA SIMPLE CORREDIZA EN ALUMINIIO SECC. (1,0*1,5*1UND )  Inc. Perfiles, alfajias,  y herrajes necesarios para su corresta instalación y funcionamiento sobre muro placa fibrocemento de 8mm </v>
      </c>
      <c r="D12" s="834"/>
      <c r="E12" s="834"/>
      <c r="F12" s="605" t="str">
        <f>+D116</f>
        <v>UN</v>
      </c>
      <c r="G12" s="606">
        <v>2</v>
      </c>
      <c r="H12" s="607">
        <f>+H116</f>
        <v>246308.065</v>
      </c>
      <c r="I12" s="602">
        <f>+H12*G12</f>
        <v>492616.13</v>
      </c>
      <c r="J12" s="603">
        <f t="shared" si="1"/>
        <v>1.4217442269889176E-2</v>
      </c>
      <c r="K12" s="6"/>
    </row>
    <row r="13" spans="2:13" ht="48.75" customHeight="1">
      <c r="B13" s="604">
        <v>5</v>
      </c>
      <c r="C13" s="833" t="str">
        <f>+C47</f>
        <v>SUMINISTRO E INSTALACIÓN SALIDA TOMACORRIENTE doble de incrustar sobre canaleta lisa de 100x45mm</v>
      </c>
      <c r="D13" s="841"/>
      <c r="E13" s="841"/>
      <c r="F13" s="605" t="s">
        <v>42</v>
      </c>
      <c r="G13" s="606">
        <v>4</v>
      </c>
      <c r="H13" s="607">
        <f>+H47</f>
        <v>89880.18</v>
      </c>
      <c r="I13" s="607">
        <f t="shared" ref="I13" si="2">+H13*G13</f>
        <v>359520.72</v>
      </c>
      <c r="J13" s="603">
        <f t="shared" si="1"/>
        <v>1.0376162634847119E-2</v>
      </c>
      <c r="K13" s="6"/>
    </row>
    <row r="14" spans="2:13" ht="57.75" customHeight="1">
      <c r="B14" s="604">
        <v>6</v>
      </c>
      <c r="C14" s="833" t="str">
        <f>+C131</f>
        <v xml:space="preserve">
RAMPA DE ACECSO MOVILIDAD REDUCIDA placa contrapiso e: 10cm concreto 21mpa</v>
      </c>
      <c r="D14" s="834"/>
      <c r="E14" s="834"/>
      <c r="F14" s="605" t="str">
        <f>+D131</f>
        <v>UND</v>
      </c>
      <c r="G14" s="606">
        <v>1</v>
      </c>
      <c r="H14" s="607">
        <f>+H131</f>
        <v>350440.25</v>
      </c>
      <c r="I14" s="607">
        <f>G14*H14</f>
        <v>350440.25</v>
      </c>
      <c r="J14" s="603">
        <f t="shared" si="1"/>
        <v>1.0114090302768873E-2</v>
      </c>
      <c r="K14" s="6"/>
    </row>
    <row r="15" spans="2:13" ht="74.25" customHeight="1">
      <c r="B15" s="604">
        <v>7</v>
      </c>
      <c r="C15" s="833" t="str">
        <f>+C73</f>
        <v xml:space="preserve">
SUMINISTRO Y APLICACIÓN PINTURA ACRÍLICA PARA EXTERIOR a Dos  manos   h menor a 3 m sobre  pintura existente con manejo de humedad y resanes</v>
      </c>
      <c r="D15" s="834"/>
      <c r="E15" s="834"/>
      <c r="F15" s="605" t="s">
        <v>35</v>
      </c>
      <c r="G15" s="606">
        <v>40</v>
      </c>
      <c r="H15" s="607">
        <f>+H73</f>
        <v>29934.7</v>
      </c>
      <c r="I15" s="607">
        <f>+H15*G15</f>
        <v>1197388</v>
      </c>
      <c r="J15" s="603">
        <f t="shared" si="1"/>
        <v>3.4557932085289331E-2</v>
      </c>
      <c r="K15" s="6"/>
    </row>
    <row r="16" spans="2:13" s="319" customFormat="1" ht="56.25" customHeight="1">
      <c r="B16" s="604">
        <v>8</v>
      </c>
      <c r="C16" s="833" t="s">
        <v>545</v>
      </c>
      <c r="D16" s="834"/>
      <c r="E16" s="834"/>
      <c r="F16" s="605" t="s">
        <v>35</v>
      </c>
      <c r="G16" s="606">
        <f>3+3+4</f>
        <v>10</v>
      </c>
      <c r="H16" s="607">
        <f>+G105+G106</f>
        <v>31915.95</v>
      </c>
      <c r="I16" s="607">
        <f>+H16*G16</f>
        <v>319159.5</v>
      </c>
      <c r="J16" s="603">
        <f>+I16/$I$19</f>
        <v>9.2112935200410404E-3</v>
      </c>
      <c r="K16" s="6"/>
    </row>
    <row r="17" spans="2:11" s="319" customFormat="1" ht="74.25" customHeight="1">
      <c r="B17" s="604">
        <v>9</v>
      </c>
      <c r="C17" s="833" t="str">
        <f>+C145</f>
        <v>SUMINITRO DE MANO DE OBRA para acarreo horizontal y vertical  de elementos de gimnasio de piso 4 bloque a hasta  piso 1 bloque b</v>
      </c>
      <c r="D17" s="834"/>
      <c r="E17" s="834"/>
      <c r="F17" s="605" t="s">
        <v>23</v>
      </c>
      <c r="G17" s="606">
        <v>1</v>
      </c>
      <c r="H17" s="607">
        <f>+H145</f>
        <v>234784</v>
      </c>
      <c r="I17" s="607">
        <f>+H17*G17</f>
        <v>234784</v>
      </c>
      <c r="J17" s="603">
        <f>+I17/$I$19</f>
        <v>6.7761239687658221E-3</v>
      </c>
      <c r="K17" s="6"/>
    </row>
    <row r="18" spans="2:11" s="319" customFormat="1" ht="74.25" customHeight="1">
      <c r="B18" s="604">
        <v>10</v>
      </c>
      <c r="C18" s="833" t="str">
        <f>+C150</f>
        <v>SUMINISTRO E INSTALACION de persianas enrollable tipo lockout textura color blanco para ventanas sencilla (100x170)cm y Dobles (130x180)cm</v>
      </c>
      <c r="D18" s="834"/>
      <c r="E18" s="834"/>
      <c r="F18" s="605" t="s">
        <v>23</v>
      </c>
      <c r="G18" s="606">
        <v>1</v>
      </c>
      <c r="H18" s="607">
        <f>+H150</f>
        <v>1243647</v>
      </c>
      <c r="I18" s="607">
        <f>+H18*G18</f>
        <v>1243647</v>
      </c>
      <c r="J18" s="603">
        <f>+I18/$I$19</f>
        <v>3.5893017605048511E-2</v>
      </c>
      <c r="K18" s="6"/>
    </row>
    <row r="19" spans="2:11" ht="22.5" customHeight="1" thickBot="1">
      <c r="B19" s="877" t="s">
        <v>438</v>
      </c>
      <c r="C19" s="878"/>
      <c r="D19" s="878"/>
      <c r="E19" s="878"/>
      <c r="F19" s="878"/>
      <c r="G19" s="878"/>
      <c r="H19" s="879"/>
      <c r="I19" s="486">
        <f>+I9+I11+I13+I14+I15+I12+I16+I10+I17+I18</f>
        <v>34648716.741639346</v>
      </c>
      <c r="J19" s="487">
        <f>SUM(J9:J18)</f>
        <v>1</v>
      </c>
      <c r="K19" s="14"/>
    </row>
    <row r="20" spans="2:11" ht="15.75" customHeight="1">
      <c r="B20" s="375"/>
      <c r="C20" s="375"/>
      <c r="D20" s="375"/>
      <c r="E20" s="375"/>
      <c r="F20" s="385"/>
      <c r="G20" s="385"/>
      <c r="H20" s="375"/>
      <c r="I20" s="375"/>
      <c r="J20" s="375"/>
    </row>
    <row r="21" spans="2:11" ht="15.75" customHeight="1">
      <c r="B21" s="375"/>
      <c r="C21" s="375"/>
      <c r="D21" s="375"/>
      <c r="E21" s="375"/>
      <c r="F21" s="385"/>
      <c r="G21" s="385"/>
      <c r="H21" s="375"/>
      <c r="I21" s="375"/>
      <c r="J21" s="375"/>
    </row>
    <row r="22" spans="2:11" s="319" customFormat="1" ht="15.75" customHeight="1" thickBot="1">
      <c r="B22" s="375"/>
      <c r="C22" s="375"/>
      <c r="D22" s="375"/>
      <c r="E22" s="375"/>
      <c r="F22" s="385"/>
      <c r="G22" s="385"/>
      <c r="H22" s="375"/>
      <c r="I22" s="375"/>
      <c r="J22" s="375"/>
    </row>
    <row r="23" spans="2:11" s="319" customFormat="1" ht="15.75" customHeight="1" thickBot="1">
      <c r="B23" s="608"/>
      <c r="C23" s="609"/>
      <c r="D23" s="610"/>
      <c r="E23" s="611"/>
      <c r="F23" s="612"/>
      <c r="G23" s="612"/>
      <c r="H23" s="848" t="s">
        <v>416</v>
      </c>
      <c r="I23" s="849"/>
      <c r="J23" s="850"/>
    </row>
    <row r="24" spans="2:11" s="319" customFormat="1" ht="45.75" customHeight="1">
      <c r="B24" s="851" t="s">
        <v>440</v>
      </c>
      <c r="C24" s="852"/>
      <c r="D24" s="852"/>
      <c r="E24" s="852"/>
      <c r="F24" s="852"/>
      <c r="G24" s="852"/>
      <c r="H24" s="852"/>
      <c r="I24" s="853"/>
      <c r="J24" s="613" t="s">
        <v>16</v>
      </c>
    </row>
    <row r="25" spans="2:11" s="319" customFormat="1" ht="15.75" customHeight="1">
      <c r="B25" s="595" t="s">
        <v>21</v>
      </c>
      <c r="C25" s="835" t="s">
        <v>22</v>
      </c>
      <c r="D25" s="836"/>
      <c r="E25" s="837"/>
      <c r="F25" s="596" t="s">
        <v>23</v>
      </c>
      <c r="G25" s="596" t="s">
        <v>431</v>
      </c>
      <c r="H25" s="596" t="s">
        <v>24</v>
      </c>
      <c r="I25" s="596" t="s">
        <v>25</v>
      </c>
      <c r="J25" s="597" t="s">
        <v>26</v>
      </c>
    </row>
    <row r="26" spans="2:11" s="319" customFormat="1" ht="66" customHeight="1">
      <c r="B26" s="598">
        <v>1</v>
      </c>
      <c r="C26" s="838" t="str">
        <f>+C9</f>
        <v xml:space="preserve">MURO EN PLACA DE FIBROCEMENTO 6mm - 2 cara (inc. Acabados, detalles, resanes, pinturas y terminados - aislamiento acústico internos de caras) </v>
      </c>
      <c r="D26" s="839"/>
      <c r="E26" s="840"/>
      <c r="F26" s="614" t="s">
        <v>35</v>
      </c>
      <c r="G26" s="615">
        <v>30</v>
      </c>
      <c r="H26" s="601">
        <f>+H9</f>
        <v>138828.3816939891</v>
      </c>
      <c r="I26" s="602">
        <f>+H26*G26</f>
        <v>4164851.450819673</v>
      </c>
      <c r="J26" s="603">
        <f t="shared" ref="J26:J33" si="3">+I26/$I$34</f>
        <v>0.45947948893019397</v>
      </c>
    </row>
    <row r="27" spans="2:11" s="319" customFormat="1" ht="63.75" customHeight="1">
      <c r="B27" s="604">
        <v>2</v>
      </c>
      <c r="C27" s="833" t="str">
        <f>+C125</f>
        <v>SUMINISTRO E INSTALACION DE PUERTA EN ALUMINIO, incluye vidrio 4mm, cerradura, marco y nave</v>
      </c>
      <c r="D27" s="841"/>
      <c r="E27" s="841"/>
      <c r="F27" s="605" t="s">
        <v>23</v>
      </c>
      <c r="G27" s="606">
        <v>3</v>
      </c>
      <c r="H27" s="607">
        <f>+H125</f>
        <v>796496.85</v>
      </c>
      <c r="I27" s="607">
        <f t="shared" ref="I27:I32" si="4">+H27*G27</f>
        <v>2389490.5499999998</v>
      </c>
      <c r="J27" s="603">
        <f t="shared" si="3"/>
        <v>0.26361610004156305</v>
      </c>
    </row>
    <row r="28" spans="2:11" s="319" customFormat="1" ht="58.5" customHeight="1">
      <c r="B28" s="604">
        <v>3</v>
      </c>
      <c r="C28" s="833" t="str">
        <f>+C13</f>
        <v>SUMINISTRO E INSTALACIÓN SALIDA TOMACORRIENTE doble de incrustar sobre canaleta lisa de 100x45mm</v>
      </c>
      <c r="D28" s="834"/>
      <c r="E28" s="834"/>
      <c r="F28" s="605" t="str">
        <f>+F13</f>
        <v>PTO</v>
      </c>
      <c r="G28" s="606">
        <v>2</v>
      </c>
      <c r="H28" s="607">
        <f>+H13</f>
        <v>89880.18</v>
      </c>
      <c r="I28" s="607">
        <f t="shared" si="4"/>
        <v>179760.36</v>
      </c>
      <c r="J28" s="603">
        <f t="shared" si="3"/>
        <v>1.9831727330023294E-2</v>
      </c>
    </row>
    <row r="29" spans="2:11" s="319" customFormat="1" ht="78" customHeight="1">
      <c r="B29" s="604">
        <v>4</v>
      </c>
      <c r="C29" s="842" t="str">
        <f>+C137</f>
        <v xml:space="preserve">
SUMINISTRO E INSTALACIÓN CANALETA LISA para cables 100mm x 45mm con separador, incluye todos los accesorios necesarios para su correcta instalación</v>
      </c>
      <c r="D29" s="843"/>
      <c r="E29" s="844"/>
      <c r="F29" s="605" t="str">
        <f>+D137</f>
        <v>ML</v>
      </c>
      <c r="G29" s="606">
        <v>15</v>
      </c>
      <c r="H29" s="607">
        <f>+H137</f>
        <v>41318.82</v>
      </c>
      <c r="I29" s="607">
        <f t="shared" ref="I29" si="5">+H29*G29</f>
        <v>619782.30000000005</v>
      </c>
      <c r="J29" s="603">
        <f t="shared" si="3"/>
        <v>6.8376329339653624E-2</v>
      </c>
    </row>
    <row r="30" spans="2:11" s="319" customFormat="1" ht="73.5" customHeight="1">
      <c r="B30" s="604">
        <v>5</v>
      </c>
      <c r="C30" s="833" t="str">
        <f>+C64</f>
        <v xml:space="preserve">SUMINISTRO E INSTALACIÓN SALIDA DATOS Y/O AUDIO cat 6a - cat 6e Puntos con Longitud de 3 Metros para extensión de conexión incluye accesorios  </v>
      </c>
      <c r="D30" s="834"/>
      <c r="E30" s="834"/>
      <c r="F30" s="605" t="str">
        <f>+D64</f>
        <v>UN</v>
      </c>
      <c r="G30" s="606">
        <v>2</v>
      </c>
      <c r="H30" s="607">
        <f>+H64</f>
        <v>170556.44850598497</v>
      </c>
      <c r="I30" s="607">
        <f t="shared" si="4"/>
        <v>341112.89701196994</v>
      </c>
      <c r="J30" s="603">
        <f t="shared" si="3"/>
        <v>3.7632645830792205E-2</v>
      </c>
    </row>
    <row r="31" spans="2:11" s="319" customFormat="1" ht="57" customHeight="1">
      <c r="B31" s="604">
        <v>6</v>
      </c>
      <c r="C31" s="842" t="str">
        <f>+C156</f>
        <v>SUMINISTRO E INSTALACIÓN DE LÁMPARAS TIPO LED min 46w en panel rectangular de 1,20x0,30 de sobreponer estructura en cielo PVC</v>
      </c>
      <c r="D31" s="843"/>
      <c r="E31" s="844"/>
      <c r="F31" s="605" t="str">
        <f>+D156</f>
        <v>UN</v>
      </c>
      <c r="G31" s="606">
        <v>1</v>
      </c>
      <c r="H31" s="607">
        <f>+H156</f>
        <v>167466.97500000001</v>
      </c>
      <c r="I31" s="607">
        <f>+H31*G31</f>
        <v>167466.97500000001</v>
      </c>
      <c r="J31" s="603">
        <f t="shared" si="3"/>
        <v>1.8475482497831156E-2</v>
      </c>
    </row>
    <row r="32" spans="2:11" s="319" customFormat="1" ht="59.25" customHeight="1">
      <c r="B32" s="604">
        <v>7</v>
      </c>
      <c r="C32" s="842" t="str">
        <f>+C54</f>
        <v>SUMINISTRO E INSTALACION DE PUNTO INTERRUPTOR sencillo para iluminacion de lamapaa led en cielo PVC</v>
      </c>
      <c r="D32" s="843"/>
      <c r="E32" s="844"/>
      <c r="F32" s="605" t="str">
        <f>+D54</f>
        <v>UN</v>
      </c>
      <c r="G32" s="606">
        <v>4</v>
      </c>
      <c r="H32" s="607">
        <f>+H54</f>
        <v>91971.939999999988</v>
      </c>
      <c r="I32" s="607">
        <f t="shared" si="4"/>
        <v>367887.75999999995</v>
      </c>
      <c r="J32" s="603">
        <f t="shared" si="3"/>
        <v>4.0586532783829815E-2</v>
      </c>
    </row>
    <row r="33" spans="1:10" s="319" customFormat="1" ht="72.75" customHeight="1">
      <c r="B33" s="604">
        <v>8</v>
      </c>
      <c r="C33" s="833" t="str">
        <f>+C83</f>
        <v xml:space="preserve">
SUMINISTRO Y APLICACIÓN PINTURA VINILICA  PARA INTERIOR a Dos manos   h menor a 2.50 m sobre  pintura y resanes</v>
      </c>
      <c r="D33" s="834"/>
      <c r="E33" s="834"/>
      <c r="F33" s="605" t="str">
        <f>+F15</f>
        <v>M2</v>
      </c>
      <c r="G33" s="606">
        <v>55</v>
      </c>
      <c r="H33" s="607">
        <f>+H83</f>
        <v>15162.35</v>
      </c>
      <c r="I33" s="607">
        <f>+H33*G33</f>
        <v>833929.25</v>
      </c>
      <c r="J33" s="603">
        <f t="shared" si="3"/>
        <v>9.2001693246112931E-2</v>
      </c>
    </row>
    <row r="34" spans="1:10" s="319" customFormat="1" ht="35.1" customHeight="1" thickBot="1">
      <c r="B34" s="857" t="s">
        <v>437</v>
      </c>
      <c r="C34" s="858"/>
      <c r="D34" s="858"/>
      <c r="E34" s="858"/>
      <c r="F34" s="858"/>
      <c r="G34" s="858"/>
      <c r="H34" s="859"/>
      <c r="I34" s="616">
        <f>+I26+I27+I28+I29+I30++I33+I31+I32</f>
        <v>9064281.5428316426</v>
      </c>
      <c r="J34" s="617">
        <f>SUM(J26:J33)</f>
        <v>1</v>
      </c>
    </row>
    <row r="35" spans="1:10" s="319" customFormat="1" ht="15.75" customHeight="1">
      <c r="B35" s="375"/>
      <c r="C35" s="375"/>
      <c r="D35" s="375"/>
      <c r="E35" s="375"/>
      <c r="F35" s="385"/>
      <c r="G35" s="385"/>
      <c r="H35" s="375"/>
      <c r="I35" s="375"/>
      <c r="J35" s="375"/>
    </row>
    <row r="36" spans="1:10" s="319" customFormat="1" ht="15.75" customHeight="1">
      <c r="B36" s="375"/>
      <c r="C36" s="375"/>
      <c r="D36" s="375"/>
      <c r="E36" s="375"/>
      <c r="F36" s="385"/>
      <c r="G36" s="385"/>
      <c r="H36" s="375"/>
      <c r="I36" s="375"/>
      <c r="J36" s="375"/>
    </row>
    <row r="37" spans="1:10" ht="15.75" customHeight="1">
      <c r="F37" s="11"/>
      <c r="G37" s="11"/>
    </row>
    <row r="38" spans="1:10" ht="15.75" customHeight="1">
      <c r="B38" s="860" t="s">
        <v>426</v>
      </c>
      <c r="C38" s="861"/>
      <c r="D38" s="861"/>
      <c r="E38" s="861"/>
      <c r="F38" s="861"/>
      <c r="G38" s="861"/>
      <c r="H38" s="862"/>
    </row>
    <row r="39" spans="1:10" ht="15.75" customHeight="1" thickBot="1">
      <c r="F39" s="11"/>
      <c r="G39" s="11"/>
    </row>
    <row r="40" spans="1:10" ht="127.5" customHeight="1">
      <c r="A40" s="196"/>
      <c r="B40" s="496"/>
      <c r="C40" s="542" t="s">
        <v>525</v>
      </c>
      <c r="D40" s="555" t="s">
        <v>35</v>
      </c>
      <c r="E40" s="498"/>
      <c r="F40" s="498"/>
      <c r="G40" s="498"/>
      <c r="H40" s="557">
        <f>+G43+G44+G41+G42</f>
        <v>583585.42857142852</v>
      </c>
      <c r="I40" s="196"/>
      <c r="J40" s="196"/>
    </row>
    <row r="41" spans="1:10" ht="73.5" customHeight="1">
      <c r="A41" s="196"/>
      <c r="B41" s="500"/>
      <c r="C41" s="558" t="s">
        <v>528</v>
      </c>
      <c r="D41" s="559" t="s">
        <v>35</v>
      </c>
      <c r="E41" s="560">
        <v>1</v>
      </c>
      <c r="F41" s="577">
        <f>465000*1.2</f>
        <v>558000</v>
      </c>
      <c r="G41" s="561">
        <f>+E41*F41</f>
        <v>558000</v>
      </c>
      <c r="H41" s="501"/>
      <c r="I41" s="196"/>
      <c r="J41" s="196"/>
    </row>
    <row r="42" spans="1:10" ht="15.75" customHeight="1">
      <c r="A42" s="196"/>
      <c r="B42" s="500"/>
      <c r="C42" s="562" t="s">
        <v>526</v>
      </c>
      <c r="D42" s="559" t="s">
        <v>527</v>
      </c>
      <c r="E42" s="563">
        <f>1/28</f>
        <v>3.5714285714285712E-2</v>
      </c>
      <c r="F42" s="578">
        <v>280000</v>
      </c>
      <c r="G42" s="561">
        <f>+E42*F42</f>
        <v>10000</v>
      </c>
      <c r="H42" s="501"/>
      <c r="I42" s="196">
        <f>+G42*28</f>
        <v>280000</v>
      </c>
      <c r="J42" s="196"/>
    </row>
    <row r="43" spans="1:10" ht="15.75" customHeight="1">
      <c r="A43" s="196"/>
      <c r="B43" s="500"/>
      <c r="C43" s="564" t="str">
        <f>+'BASE SALRIOS'!J30</f>
        <v>CUADRILLA BB INSTALACIONES (1 OFC + 1 AYD + 1 ENT)</v>
      </c>
      <c r="D43" s="565" t="str">
        <f>+D52</f>
        <v>H/C</v>
      </c>
      <c r="E43" s="560">
        <f>8/28</f>
        <v>0.2857142857142857</v>
      </c>
      <c r="F43" s="579">
        <f>+'BASE SALRIOS'!Q30</f>
        <v>49590</v>
      </c>
      <c r="G43" s="566">
        <f>+E43*F43</f>
        <v>14168.571428571428</v>
      </c>
      <c r="H43" s="501"/>
      <c r="I43" s="196"/>
      <c r="J43" s="196"/>
    </row>
    <row r="44" spans="1:10" ht="15.75" customHeight="1" thickBot="1">
      <c r="A44" s="196"/>
      <c r="B44" s="502"/>
      <c r="C44" s="567" t="s">
        <v>87</v>
      </c>
      <c r="D44" s="567" t="s">
        <v>88</v>
      </c>
      <c r="E44" s="568">
        <v>0.1</v>
      </c>
      <c r="F44" s="580">
        <f>+G43</f>
        <v>14168.571428571428</v>
      </c>
      <c r="G44" s="569">
        <f>+E44*F44</f>
        <v>1416.8571428571429</v>
      </c>
      <c r="H44" s="503"/>
      <c r="I44" s="196"/>
      <c r="J44" s="196"/>
    </row>
    <row r="45" spans="1:10" ht="15.75" customHeight="1">
      <c r="A45" s="196"/>
      <c r="B45" s="493"/>
      <c r="C45" s="432"/>
      <c r="D45" s="433"/>
      <c r="E45" s="434"/>
      <c r="F45" s="435"/>
      <c r="G45" s="416"/>
      <c r="H45" s="416"/>
      <c r="I45" s="196"/>
      <c r="J45" s="196"/>
    </row>
    <row r="46" spans="1:10" ht="15.75" customHeight="1" thickBot="1">
      <c r="A46" s="196"/>
      <c r="B46" s="493"/>
      <c r="C46" s="432"/>
      <c r="D46" s="433"/>
      <c r="E46" s="434"/>
      <c r="F46" s="435"/>
      <c r="G46" s="416"/>
      <c r="H46" s="416"/>
      <c r="I46" s="196"/>
      <c r="J46" s="196"/>
    </row>
    <row r="47" spans="1:10" ht="45.75" customHeight="1">
      <c r="B47" s="496"/>
      <c r="C47" s="542" t="s">
        <v>538</v>
      </c>
      <c r="D47" s="498" t="s">
        <v>94</v>
      </c>
      <c r="E47" s="498"/>
      <c r="F47" s="498"/>
      <c r="G47" s="498"/>
      <c r="H47" s="499">
        <f>+G48+G49+G50+G51+G52</f>
        <v>89880.18</v>
      </c>
    </row>
    <row r="48" spans="1:10" s="319" customFormat="1" ht="45.75" customHeight="1">
      <c r="B48" s="500"/>
      <c r="C48" s="560" t="s">
        <v>117</v>
      </c>
      <c r="D48" s="543" t="s">
        <v>94</v>
      </c>
      <c r="E48" s="543">
        <v>1</v>
      </c>
      <c r="F48" s="570">
        <v>3500</v>
      </c>
      <c r="G48" s="581">
        <f t="shared" ref="G48:G52" si="6">+E48*F48</f>
        <v>3500</v>
      </c>
      <c r="H48" s="501"/>
    </row>
    <row r="49" spans="2:8" ht="15.75" customHeight="1">
      <c r="B49" s="500"/>
      <c r="C49" s="494" t="s">
        <v>118</v>
      </c>
      <c r="D49" s="543" t="s">
        <v>46</v>
      </c>
      <c r="E49" s="543">
        <v>9</v>
      </c>
      <c r="F49" s="571">
        <v>2410</v>
      </c>
      <c r="G49" s="416">
        <f t="shared" si="6"/>
        <v>21690</v>
      </c>
      <c r="H49" s="501"/>
    </row>
    <row r="50" spans="2:8" ht="15.75" customHeight="1">
      <c r="B50" s="500"/>
      <c r="C50" s="494" t="s">
        <v>119</v>
      </c>
      <c r="D50" s="543" t="s">
        <v>94</v>
      </c>
      <c r="E50" s="543">
        <v>1</v>
      </c>
      <c r="F50" s="571">
        <v>25000</v>
      </c>
      <c r="G50" s="416">
        <f t="shared" si="6"/>
        <v>25000</v>
      </c>
      <c r="H50" s="501"/>
    </row>
    <row r="51" spans="2:8" ht="15.75" customHeight="1">
      <c r="B51" s="500"/>
      <c r="C51" s="494" t="s">
        <v>87</v>
      </c>
      <c r="D51" s="543" t="s">
        <v>88</v>
      </c>
      <c r="E51" s="543">
        <v>0.15</v>
      </c>
      <c r="F51" s="571">
        <f>+G52</f>
        <v>34513.199999999997</v>
      </c>
      <c r="G51" s="416">
        <f t="shared" si="6"/>
        <v>5176.9799999999996</v>
      </c>
      <c r="H51" s="501"/>
    </row>
    <row r="52" spans="2:8" ht="15.75" customHeight="1" thickBot="1">
      <c r="B52" s="502"/>
      <c r="C52" s="495" t="s">
        <v>78</v>
      </c>
      <c r="D52" s="544" t="s">
        <v>72</v>
      </c>
      <c r="E52" s="544">
        <v>0.6</v>
      </c>
      <c r="F52" s="572">
        <f>+'BASE SALRIOS'!Q32</f>
        <v>57522</v>
      </c>
      <c r="G52" s="540">
        <f t="shared" si="6"/>
        <v>34513.199999999997</v>
      </c>
      <c r="H52" s="503"/>
    </row>
    <row r="53" spans="2:8" s="319" customFormat="1" ht="15.75" customHeight="1" thickBot="1">
      <c r="B53" s="493"/>
      <c r="C53" s="494"/>
      <c r="D53" s="543"/>
      <c r="E53" s="543"/>
      <c r="F53" s="571"/>
      <c r="G53" s="416"/>
      <c r="H53" s="494"/>
    </row>
    <row r="54" spans="2:8" s="319" customFormat="1" ht="40.5" customHeight="1">
      <c r="B54" s="583"/>
      <c r="C54" s="584" t="s">
        <v>537</v>
      </c>
      <c r="D54" s="585" t="s">
        <v>94</v>
      </c>
      <c r="E54" s="586"/>
      <c r="F54" s="587"/>
      <c r="G54" s="588"/>
      <c r="H54" s="589">
        <f>SUM(G55:G61)</f>
        <v>91971.939999999988</v>
      </c>
    </row>
    <row r="55" spans="2:8" s="319" customFormat="1" ht="15.75" customHeight="1">
      <c r="B55" s="590"/>
      <c r="C55" s="494" t="s">
        <v>117</v>
      </c>
      <c r="D55" s="543" t="s">
        <v>94</v>
      </c>
      <c r="E55" s="543">
        <v>1</v>
      </c>
      <c r="F55" s="570">
        <v>3500</v>
      </c>
      <c r="G55" s="416">
        <f t="shared" ref="G55:G60" si="7">+E55*F55</f>
        <v>3500</v>
      </c>
      <c r="H55" s="591"/>
    </row>
    <row r="56" spans="2:8" s="319" customFormat="1" ht="15.75" customHeight="1">
      <c r="B56" s="590"/>
      <c r="C56" s="494" t="s">
        <v>116</v>
      </c>
      <c r="D56" s="543" t="s">
        <v>94</v>
      </c>
      <c r="E56" s="543">
        <v>2</v>
      </c>
      <c r="F56" s="570">
        <v>1390</v>
      </c>
      <c r="G56" s="416">
        <f t="shared" si="7"/>
        <v>2780</v>
      </c>
      <c r="H56" s="591"/>
    </row>
    <row r="57" spans="2:8" s="319" customFormat="1" ht="15.75" customHeight="1">
      <c r="B57" s="590"/>
      <c r="C57" s="494" t="s">
        <v>117</v>
      </c>
      <c r="D57" s="543" t="s">
        <v>94</v>
      </c>
      <c r="E57" s="543">
        <v>2</v>
      </c>
      <c r="F57" s="570">
        <v>6300</v>
      </c>
      <c r="G57" s="416">
        <f t="shared" si="7"/>
        <v>12600</v>
      </c>
      <c r="H57" s="591"/>
    </row>
    <row r="58" spans="2:8" s="319" customFormat="1" ht="15.75" customHeight="1">
      <c r="B58" s="590"/>
      <c r="C58" s="494" t="s">
        <v>183</v>
      </c>
      <c r="D58" s="543" t="s">
        <v>46</v>
      </c>
      <c r="E58" s="543">
        <v>10</v>
      </c>
      <c r="F58" s="570">
        <v>2410</v>
      </c>
      <c r="G58" s="416">
        <f t="shared" si="7"/>
        <v>24100</v>
      </c>
      <c r="H58" s="591"/>
    </row>
    <row r="59" spans="2:8" s="319" customFormat="1" ht="15.75" customHeight="1">
      <c r="B59" s="590"/>
      <c r="C59" s="494" t="s">
        <v>536</v>
      </c>
      <c r="D59" s="543" t="s">
        <v>94</v>
      </c>
      <c r="E59" s="543">
        <v>1</v>
      </c>
      <c r="F59" s="570">
        <v>4700</v>
      </c>
      <c r="G59" s="416">
        <f t="shared" si="7"/>
        <v>4700</v>
      </c>
      <c r="H59" s="591"/>
    </row>
    <row r="60" spans="2:8" s="319" customFormat="1" ht="15.75" customHeight="1">
      <c r="B60" s="590"/>
      <c r="C60" s="494" t="s">
        <v>78</v>
      </c>
      <c r="D60" s="543" t="s">
        <v>72</v>
      </c>
      <c r="E60" s="543">
        <v>0.7</v>
      </c>
      <c r="F60" s="570">
        <f>+F52</f>
        <v>57522</v>
      </c>
      <c r="G60" s="416">
        <f t="shared" si="7"/>
        <v>40265.399999999994</v>
      </c>
      <c r="H60" s="591"/>
    </row>
    <row r="61" spans="2:8" s="319" customFormat="1" ht="15.75" customHeight="1" thickBot="1">
      <c r="B61" s="592"/>
      <c r="C61" s="495" t="s">
        <v>87</v>
      </c>
      <c r="D61" s="544" t="s">
        <v>88</v>
      </c>
      <c r="E61" s="544">
        <v>0.1</v>
      </c>
      <c r="F61" s="594">
        <f>+G60</f>
        <v>40265.399999999994</v>
      </c>
      <c r="G61" s="540">
        <f>+E61*F61</f>
        <v>4026.5399999999995</v>
      </c>
      <c r="H61" s="593"/>
    </row>
    <row r="62" spans="2:8" s="319" customFormat="1" ht="15.75" customHeight="1">
      <c r="B62" s="493"/>
      <c r="C62" s="494"/>
      <c r="D62" s="543"/>
      <c r="E62" s="543"/>
      <c r="F62" s="571"/>
      <c r="G62" s="416"/>
      <c r="H62" s="494"/>
    </row>
    <row r="63" spans="2:8" ht="15.75" customHeight="1" thickBot="1">
      <c r="B63" s="375"/>
      <c r="C63" s="375"/>
      <c r="D63" s="375"/>
      <c r="E63" s="375"/>
      <c r="F63" s="406"/>
      <c r="G63" s="406"/>
      <c r="H63" s="375"/>
    </row>
    <row r="64" spans="2:8" ht="66" customHeight="1">
      <c r="B64" s="496"/>
      <c r="C64" s="497" t="s">
        <v>539</v>
      </c>
      <c r="D64" s="498" t="s">
        <v>94</v>
      </c>
      <c r="E64" s="498"/>
      <c r="F64" s="498"/>
      <c r="G64" s="498"/>
      <c r="H64" s="499">
        <f>+G66+G67+G68+G69+G70+G71</f>
        <v>170556.44850598497</v>
      </c>
    </row>
    <row r="65" spans="2:11" ht="15.75" customHeight="1">
      <c r="B65" s="500"/>
      <c r="C65" s="494"/>
      <c r="D65" s="494"/>
      <c r="E65" s="494"/>
      <c r="F65" s="494"/>
      <c r="G65" s="494"/>
      <c r="H65" s="501"/>
    </row>
    <row r="66" spans="2:11" ht="15.75" customHeight="1">
      <c r="B66" s="500"/>
      <c r="C66" s="494" t="s">
        <v>122</v>
      </c>
      <c r="D66" s="494" t="s">
        <v>46</v>
      </c>
      <c r="E66" s="494">
        <v>10</v>
      </c>
      <c r="F66" s="435">
        <v>4800</v>
      </c>
      <c r="G66" s="416">
        <f>+E66*F66</f>
        <v>48000</v>
      </c>
      <c r="H66" s="501"/>
    </row>
    <row r="67" spans="2:11" ht="15.75" customHeight="1">
      <c r="B67" s="500"/>
      <c r="C67" s="494" t="s">
        <v>123</v>
      </c>
      <c r="D67" s="494" t="s">
        <v>94</v>
      </c>
      <c r="E67" s="494">
        <v>2</v>
      </c>
      <c r="F67" s="435">
        <v>1499.4</v>
      </c>
      <c r="G67" s="416">
        <f t="shared" ref="G67:G71" si="8">+E67*F67</f>
        <v>2998.8</v>
      </c>
      <c r="H67" s="501"/>
    </row>
    <row r="68" spans="2:11" ht="15.75" customHeight="1">
      <c r="B68" s="500"/>
      <c r="C68" s="494" t="s">
        <v>124</v>
      </c>
      <c r="D68" s="494" t="s">
        <v>94</v>
      </c>
      <c r="E68" s="494">
        <v>1</v>
      </c>
      <c r="F68" s="435">
        <v>29100</v>
      </c>
      <c r="G68" s="416">
        <f t="shared" si="8"/>
        <v>29100</v>
      </c>
      <c r="H68" s="501"/>
    </row>
    <row r="69" spans="2:11" ht="15.75" customHeight="1">
      <c r="B69" s="500"/>
      <c r="C69" s="494" t="s">
        <v>125</v>
      </c>
      <c r="D69" s="494" t="s">
        <v>94</v>
      </c>
      <c r="E69" s="494">
        <v>1</v>
      </c>
      <c r="F69" s="435">
        <v>11130.000005984999</v>
      </c>
      <c r="G69" s="416">
        <f t="shared" si="8"/>
        <v>11130.000005984999</v>
      </c>
      <c r="H69" s="501"/>
    </row>
    <row r="70" spans="2:11" s="319" customFormat="1" ht="15.75" customHeight="1">
      <c r="B70" s="500"/>
      <c r="C70" s="494" t="s">
        <v>78</v>
      </c>
      <c r="D70" s="494" t="s">
        <v>72</v>
      </c>
      <c r="E70" s="494">
        <v>1.2</v>
      </c>
      <c r="F70" s="435">
        <f>+F52</f>
        <v>57522</v>
      </c>
      <c r="G70" s="416">
        <f t="shared" si="8"/>
        <v>69026.399999999994</v>
      </c>
      <c r="H70" s="501"/>
    </row>
    <row r="71" spans="2:11" ht="15.75" customHeight="1" thickBot="1">
      <c r="B71" s="538"/>
      <c r="C71" s="495" t="s">
        <v>87</v>
      </c>
      <c r="D71" s="495" t="s">
        <v>88</v>
      </c>
      <c r="E71" s="495">
        <v>0.15</v>
      </c>
      <c r="F71" s="539">
        <v>68674.990000000005</v>
      </c>
      <c r="G71" s="540">
        <f t="shared" si="8"/>
        <v>10301.2485</v>
      </c>
      <c r="H71" s="503"/>
    </row>
    <row r="72" spans="2:11" ht="15.75" customHeight="1" thickBot="1">
      <c r="B72" s="375"/>
      <c r="C72" s="375"/>
      <c r="D72" s="375"/>
      <c r="E72" s="375"/>
      <c r="F72" s="406"/>
      <c r="G72" s="406"/>
      <c r="H72" s="375"/>
    </row>
    <row r="73" spans="2:11" ht="78" customHeight="1">
      <c r="B73" s="496"/>
      <c r="C73" s="497" t="s">
        <v>531</v>
      </c>
      <c r="D73" s="498" t="s">
        <v>35</v>
      </c>
      <c r="E73" s="498"/>
      <c r="F73" s="498"/>
      <c r="G73" s="498"/>
      <c r="H73" s="499">
        <f>SUM(G74:G80)</f>
        <v>29934.7</v>
      </c>
      <c r="I73" s="326"/>
    </row>
    <row r="74" spans="2:11" ht="15.75" customHeight="1">
      <c r="B74" s="500"/>
      <c r="C74" s="553" t="s">
        <v>529</v>
      </c>
      <c r="D74" s="494" t="s">
        <v>108</v>
      </c>
      <c r="E74" s="494">
        <v>0.1</v>
      </c>
      <c r="F74" s="573">
        <v>79900</v>
      </c>
      <c r="G74" s="416">
        <f t="shared" ref="G74:G80" si="9">+E74*F74</f>
        <v>7990</v>
      </c>
      <c r="H74" s="501"/>
      <c r="K74" s="469"/>
    </row>
    <row r="75" spans="2:11" ht="15.75" customHeight="1">
      <c r="B75" s="500"/>
      <c r="C75" s="494" t="s">
        <v>470</v>
      </c>
      <c r="D75" s="494" t="s">
        <v>23</v>
      </c>
      <c r="E75" s="494">
        <v>0.2</v>
      </c>
      <c r="F75" s="573">
        <v>21000</v>
      </c>
      <c r="G75" s="416">
        <f t="shared" si="9"/>
        <v>4200</v>
      </c>
      <c r="H75" s="501"/>
    </row>
    <row r="76" spans="2:11" ht="15.75" customHeight="1">
      <c r="B76" s="500"/>
      <c r="C76" s="494" t="s">
        <v>167</v>
      </c>
      <c r="D76" s="494" t="s">
        <v>94</v>
      </c>
      <c r="E76" s="494">
        <v>0.02</v>
      </c>
      <c r="F76" s="573">
        <v>7500</v>
      </c>
      <c r="G76" s="416">
        <f t="shared" si="9"/>
        <v>150</v>
      </c>
      <c r="H76" s="501"/>
    </row>
    <row r="77" spans="2:11" ht="15.75" customHeight="1">
      <c r="B77" s="500"/>
      <c r="C77" s="494" t="s">
        <v>96</v>
      </c>
      <c r="D77" s="494" t="s">
        <v>94</v>
      </c>
      <c r="E77" s="494">
        <v>0.2</v>
      </c>
      <c r="F77" s="573">
        <v>1200</v>
      </c>
      <c r="G77" s="416">
        <f t="shared" si="9"/>
        <v>240</v>
      </c>
      <c r="H77" s="501"/>
    </row>
    <row r="78" spans="2:11" ht="15.75" customHeight="1">
      <c r="B78" s="500"/>
      <c r="C78" s="494" t="s">
        <v>168</v>
      </c>
      <c r="D78" s="494" t="s">
        <v>94</v>
      </c>
      <c r="E78" s="494">
        <v>0.1</v>
      </c>
      <c r="F78" s="573">
        <v>9900</v>
      </c>
      <c r="G78" s="416">
        <f t="shared" si="9"/>
        <v>990</v>
      </c>
      <c r="H78" s="501"/>
    </row>
    <row r="79" spans="2:11" ht="15.75" customHeight="1">
      <c r="B79" s="500"/>
      <c r="C79" s="494" t="s">
        <v>76</v>
      </c>
      <c r="D79" s="494" t="s">
        <v>72</v>
      </c>
      <c r="E79" s="494">
        <v>0.3</v>
      </c>
      <c r="F79" s="573">
        <f>+'BASE SALRIOS'!Q31</f>
        <v>49590</v>
      </c>
      <c r="G79" s="416">
        <f t="shared" si="9"/>
        <v>14877</v>
      </c>
      <c r="H79" s="501"/>
    </row>
    <row r="80" spans="2:11" s="319" customFormat="1" ht="15.75" customHeight="1" thickBot="1">
      <c r="B80" s="502"/>
      <c r="C80" s="495" t="s">
        <v>87</v>
      </c>
      <c r="D80" s="495" t="s">
        <v>88</v>
      </c>
      <c r="E80" s="495">
        <v>0.1</v>
      </c>
      <c r="F80" s="574">
        <f>+G79</f>
        <v>14877</v>
      </c>
      <c r="G80" s="540">
        <f t="shared" si="9"/>
        <v>1487.7</v>
      </c>
      <c r="H80" s="503"/>
    </row>
    <row r="81" spans="2:9" s="319" customFormat="1" ht="15.75" customHeight="1">
      <c r="B81" s="493"/>
      <c r="C81" s="494"/>
      <c r="D81" s="494"/>
      <c r="E81" s="494"/>
      <c r="F81" s="573"/>
      <c r="G81" s="416"/>
      <c r="H81" s="494"/>
    </row>
    <row r="82" spans="2:9" s="319" customFormat="1" ht="15.75" customHeight="1" thickBot="1">
      <c r="B82" s="493"/>
      <c r="C82" s="494"/>
      <c r="D82" s="494"/>
      <c r="E82" s="494"/>
      <c r="F82" s="573"/>
      <c r="G82" s="416"/>
      <c r="H82" s="494"/>
    </row>
    <row r="83" spans="2:9" s="319" customFormat="1" ht="53.25" customHeight="1">
      <c r="B83" s="496"/>
      <c r="C83" s="497" t="s">
        <v>532</v>
      </c>
      <c r="D83" s="498" t="s">
        <v>35</v>
      </c>
      <c r="E83" s="498"/>
      <c r="F83" s="498"/>
      <c r="G83" s="498"/>
      <c r="H83" s="499">
        <f>SUM(G84:G89)</f>
        <v>15162.35</v>
      </c>
    </row>
    <row r="84" spans="2:9" s="319" customFormat="1" ht="15.75" customHeight="1">
      <c r="B84" s="500"/>
      <c r="C84" s="553" t="s">
        <v>530</v>
      </c>
      <c r="D84" s="494" t="s">
        <v>108</v>
      </c>
      <c r="E84" s="494">
        <v>0.1</v>
      </c>
      <c r="F84" s="573">
        <f>280000/5</f>
        <v>56000</v>
      </c>
      <c r="G84" s="416">
        <f t="shared" ref="G84:G87" si="10">+E84*F84</f>
        <v>5600</v>
      </c>
      <c r="H84" s="501"/>
    </row>
    <row r="85" spans="2:9" s="319" customFormat="1" ht="15.75" customHeight="1">
      <c r="B85" s="500"/>
      <c r="C85" s="494" t="s">
        <v>167</v>
      </c>
      <c r="D85" s="494" t="s">
        <v>94</v>
      </c>
      <c r="E85" s="494">
        <v>0.02</v>
      </c>
      <c r="F85" s="573">
        <v>7500</v>
      </c>
      <c r="G85" s="416">
        <f t="shared" si="10"/>
        <v>150</v>
      </c>
      <c r="H85" s="501"/>
    </row>
    <row r="86" spans="2:9" s="319" customFormat="1" ht="15.75" customHeight="1">
      <c r="B86" s="500"/>
      <c r="C86" s="494" t="s">
        <v>96</v>
      </c>
      <c r="D86" s="494" t="s">
        <v>94</v>
      </c>
      <c r="E86" s="494">
        <v>0.2</v>
      </c>
      <c r="F86" s="573">
        <v>1200</v>
      </c>
      <c r="G86" s="416">
        <f t="shared" si="10"/>
        <v>240</v>
      </c>
      <c r="H86" s="501"/>
    </row>
    <row r="87" spans="2:9" s="319" customFormat="1" ht="15.75" customHeight="1">
      <c r="B87" s="500"/>
      <c r="C87" s="494" t="s">
        <v>168</v>
      </c>
      <c r="D87" s="494" t="s">
        <v>94</v>
      </c>
      <c r="E87" s="494">
        <v>0.1</v>
      </c>
      <c r="F87" s="573">
        <v>9900</v>
      </c>
      <c r="G87" s="416">
        <f t="shared" si="10"/>
        <v>990</v>
      </c>
      <c r="H87" s="501"/>
    </row>
    <row r="88" spans="2:9" s="319" customFormat="1" ht="15.75" customHeight="1">
      <c r="B88" s="500"/>
      <c r="C88" s="494" t="s">
        <v>76</v>
      </c>
      <c r="D88" s="494" t="s">
        <v>72</v>
      </c>
      <c r="E88" s="494">
        <v>0.15</v>
      </c>
      <c r="F88" s="573">
        <f>+F79</f>
        <v>49590</v>
      </c>
      <c r="G88" s="416">
        <f>+E88*F88</f>
        <v>7438.5</v>
      </c>
      <c r="H88" s="501"/>
    </row>
    <row r="89" spans="2:9" s="319" customFormat="1" ht="15.75" customHeight="1" thickBot="1">
      <c r="B89" s="502"/>
      <c r="C89" s="495" t="s">
        <v>87</v>
      </c>
      <c r="D89" s="495" t="s">
        <v>88</v>
      </c>
      <c r="E89" s="495">
        <v>0.1</v>
      </c>
      <c r="F89" s="574">
        <f>+G88</f>
        <v>7438.5</v>
      </c>
      <c r="G89" s="540">
        <f>+E89*F89</f>
        <v>743.85</v>
      </c>
      <c r="H89" s="503"/>
    </row>
    <row r="90" spans="2:9" s="319" customFormat="1" ht="15.75" customHeight="1">
      <c r="B90" s="493"/>
      <c r="C90" s="494"/>
      <c r="D90" s="494"/>
      <c r="E90" s="494"/>
      <c r="F90" s="573"/>
      <c r="G90" s="416"/>
      <c r="H90" s="494"/>
    </row>
    <row r="91" spans="2:9" ht="15.75" customHeight="1" thickBot="1">
      <c r="B91" s="375"/>
      <c r="C91" s="375"/>
      <c r="D91" s="375"/>
      <c r="E91" s="375"/>
      <c r="F91" s="406"/>
      <c r="G91" s="406"/>
      <c r="H91" s="375"/>
    </row>
    <row r="92" spans="2:9" ht="75" customHeight="1">
      <c r="B92" s="439"/>
      <c r="C92" s="541" t="s">
        <v>542</v>
      </c>
      <c r="D92" s="441" t="s">
        <v>35</v>
      </c>
      <c r="E92" s="442"/>
      <c r="F92" s="443"/>
      <c r="G92" s="443"/>
      <c r="H92" s="444">
        <f>SUM(G93:G106)</f>
        <v>138828.3816939891</v>
      </c>
      <c r="I92" s="326"/>
    </row>
    <row r="93" spans="2:9" ht="15.75" customHeight="1">
      <c r="B93" s="445"/>
      <c r="C93" s="196" t="s">
        <v>93</v>
      </c>
      <c r="D93" s="196" t="s">
        <v>94</v>
      </c>
      <c r="E93" s="494">
        <v>0.42499999999999999</v>
      </c>
      <c r="F93" s="575">
        <v>9200</v>
      </c>
      <c r="G93" s="446">
        <f t="shared" ref="G93:G106" si="11">+E93*F93</f>
        <v>3910</v>
      </c>
      <c r="H93" s="447"/>
    </row>
    <row r="94" spans="2:9" ht="15.75" customHeight="1">
      <c r="B94" s="445"/>
      <c r="C94" s="196" t="s">
        <v>95</v>
      </c>
      <c r="D94" s="196" t="s">
        <v>94</v>
      </c>
      <c r="E94" s="494">
        <v>0.79</v>
      </c>
      <c r="F94" s="575">
        <v>8900</v>
      </c>
      <c r="G94" s="446">
        <f t="shared" si="11"/>
        <v>7031</v>
      </c>
      <c r="H94" s="447"/>
    </row>
    <row r="95" spans="2:9" ht="15.75" customHeight="1">
      <c r="B95" s="445"/>
      <c r="C95" s="196" t="s">
        <v>96</v>
      </c>
      <c r="D95" s="196" t="s">
        <v>94</v>
      </c>
      <c r="E95" s="494">
        <v>0.2</v>
      </c>
      <c r="F95" s="575">
        <v>1200</v>
      </c>
      <c r="G95" s="446">
        <f t="shared" si="11"/>
        <v>240</v>
      </c>
      <c r="H95" s="447"/>
    </row>
    <row r="96" spans="2:9" ht="15.75" customHeight="1">
      <c r="B96" s="445"/>
      <c r="C96" s="196" t="s">
        <v>97</v>
      </c>
      <c r="D96" s="196" t="s">
        <v>94</v>
      </c>
      <c r="E96" s="494">
        <v>24</v>
      </c>
      <c r="F96" s="575">
        <v>50</v>
      </c>
      <c r="G96" s="446">
        <f t="shared" si="11"/>
        <v>1200</v>
      </c>
      <c r="H96" s="447"/>
    </row>
    <row r="97" spans="2:13" ht="15.75" customHeight="1">
      <c r="B97" s="445"/>
      <c r="C97" s="196" t="s">
        <v>98</v>
      </c>
      <c r="D97" s="196" t="s">
        <v>94</v>
      </c>
      <c r="E97" s="494">
        <v>16</v>
      </c>
      <c r="F97" s="575">
        <v>50</v>
      </c>
      <c r="G97" s="446">
        <f t="shared" si="11"/>
        <v>800</v>
      </c>
      <c r="H97" s="447"/>
    </row>
    <row r="98" spans="2:13" ht="15.75" customHeight="1">
      <c r="B98" s="445"/>
      <c r="C98" s="196" t="s">
        <v>99</v>
      </c>
      <c r="D98" s="196" t="s">
        <v>94</v>
      </c>
      <c r="E98" s="494">
        <v>4</v>
      </c>
      <c r="F98" s="575">
        <v>200</v>
      </c>
      <c r="G98" s="446">
        <f t="shared" si="11"/>
        <v>800</v>
      </c>
      <c r="H98" s="447"/>
    </row>
    <row r="99" spans="2:13" ht="15.75" customHeight="1">
      <c r="B99" s="445"/>
      <c r="C99" s="196" t="s">
        <v>100</v>
      </c>
      <c r="D99" s="196" t="s">
        <v>101</v>
      </c>
      <c r="E99" s="494">
        <v>0.02</v>
      </c>
      <c r="F99" s="575">
        <v>12949.999999999998</v>
      </c>
      <c r="G99" s="446">
        <f t="shared" si="11"/>
        <v>258.99999999999994</v>
      </c>
      <c r="H99" s="447"/>
    </row>
    <row r="100" spans="2:13" ht="15.75" customHeight="1">
      <c r="B100" s="445"/>
      <c r="C100" s="196" t="s">
        <v>102</v>
      </c>
      <c r="D100" s="196" t="s">
        <v>103</v>
      </c>
      <c r="E100" s="494">
        <v>0.05</v>
      </c>
      <c r="F100" s="575">
        <v>41900</v>
      </c>
      <c r="G100" s="446">
        <f t="shared" si="11"/>
        <v>2095</v>
      </c>
      <c r="H100" s="447"/>
    </row>
    <row r="101" spans="2:13" ht="15.75" customHeight="1">
      <c r="B101" s="445"/>
      <c r="C101" s="196" t="s">
        <v>543</v>
      </c>
      <c r="D101" s="196" t="s">
        <v>35</v>
      </c>
      <c r="E101" s="494">
        <v>2.2000000000000002</v>
      </c>
      <c r="F101" s="575">
        <f>64000/(2.44*1.2)</f>
        <v>21857.923497267759</v>
      </c>
      <c r="G101" s="446">
        <f t="shared" si="11"/>
        <v>48087.43169398907</v>
      </c>
      <c r="H101" s="447"/>
    </row>
    <row r="102" spans="2:13" ht="15.75" customHeight="1">
      <c r="B102" s="445"/>
      <c r="C102" s="196" t="s">
        <v>105</v>
      </c>
      <c r="D102" s="196" t="s">
        <v>106</v>
      </c>
      <c r="E102" s="494">
        <v>0.2</v>
      </c>
      <c r="F102" s="575">
        <v>79900</v>
      </c>
      <c r="G102" s="446">
        <f t="shared" si="11"/>
        <v>15980</v>
      </c>
      <c r="H102" s="447"/>
    </row>
    <row r="103" spans="2:13" s="319" customFormat="1" ht="15.75" customHeight="1">
      <c r="B103" s="445"/>
      <c r="C103" s="196" t="s">
        <v>424</v>
      </c>
      <c r="D103" s="196" t="s">
        <v>35</v>
      </c>
      <c r="E103" s="494">
        <v>1.2</v>
      </c>
      <c r="F103" s="575">
        <v>17900</v>
      </c>
      <c r="G103" s="446">
        <f t="shared" si="11"/>
        <v>21480</v>
      </c>
      <c r="H103" s="447"/>
    </row>
    <row r="104" spans="2:13" ht="15.75" customHeight="1">
      <c r="B104" s="445"/>
      <c r="C104" s="196" t="s">
        <v>107</v>
      </c>
      <c r="D104" s="196" t="s">
        <v>108</v>
      </c>
      <c r="E104" s="494">
        <v>0.1</v>
      </c>
      <c r="F104" s="575">
        <v>50300</v>
      </c>
      <c r="G104" s="446">
        <f t="shared" si="11"/>
        <v>5030</v>
      </c>
      <c r="H104" s="447"/>
    </row>
    <row r="105" spans="2:13" ht="15.75" customHeight="1">
      <c r="B105" s="445"/>
      <c r="C105" s="196" t="s">
        <v>71</v>
      </c>
      <c r="D105" s="196" t="s">
        <v>72</v>
      </c>
      <c r="E105" s="494">
        <v>0.6</v>
      </c>
      <c r="F105" s="575">
        <f>+'BASE SALRIOS'!Q29</f>
        <v>46255</v>
      </c>
      <c r="G105" s="446">
        <f>+E105*F105</f>
        <v>27753</v>
      </c>
      <c r="H105" s="447"/>
      <c r="I105" s="196"/>
      <c r="J105" s="196"/>
      <c r="K105" s="196"/>
      <c r="L105" s="229"/>
      <c r="M105" s="446"/>
    </row>
    <row r="106" spans="2:13" ht="15.75" customHeight="1" thickBot="1">
      <c r="B106" s="448"/>
      <c r="C106" s="449" t="s">
        <v>87</v>
      </c>
      <c r="D106" s="449" t="s">
        <v>88</v>
      </c>
      <c r="E106" s="495">
        <v>0.15</v>
      </c>
      <c r="F106" s="576">
        <f>+G105</f>
        <v>27753</v>
      </c>
      <c r="G106" s="451">
        <f t="shared" si="11"/>
        <v>4162.95</v>
      </c>
      <c r="H106" s="452"/>
    </row>
    <row r="107" spans="2:13" ht="15.75" customHeight="1">
      <c r="F107" s="11"/>
      <c r="G107" s="11"/>
    </row>
    <row r="108" spans="2:13" ht="15.75" customHeight="1" thickBot="1">
      <c r="F108" s="11"/>
      <c r="G108" s="11"/>
    </row>
    <row r="109" spans="2:13" ht="108.75" customHeight="1">
      <c r="B109" s="453"/>
      <c r="C109" s="541" t="s">
        <v>443</v>
      </c>
      <c r="D109" s="441" t="s">
        <v>94</v>
      </c>
      <c r="E109" s="442"/>
      <c r="F109" s="443"/>
      <c r="G109" s="443"/>
      <c r="H109" s="444">
        <f>SUM(G110:G113)</f>
        <v>1445266.56</v>
      </c>
    </row>
    <row r="110" spans="2:13" ht="31.5" customHeight="1">
      <c r="B110" s="445"/>
      <c r="C110" s="196" t="s">
        <v>436</v>
      </c>
      <c r="D110" s="196" t="s">
        <v>94</v>
      </c>
      <c r="E110" s="196">
        <v>1</v>
      </c>
      <c r="F110" s="229">
        <f>285000*2.2</f>
        <v>627000</v>
      </c>
      <c r="G110" s="446">
        <f>+E110*F110*2</f>
        <v>1254000</v>
      </c>
      <c r="H110" s="447"/>
    </row>
    <row r="111" spans="2:13" s="319" customFormat="1" ht="15.75" customHeight="1">
      <c r="B111" s="445"/>
      <c r="C111" s="467" t="s">
        <v>165</v>
      </c>
      <c r="D111" s="467" t="s">
        <v>94</v>
      </c>
      <c r="E111" s="468">
        <v>0.4</v>
      </c>
      <c r="F111" s="446">
        <v>10120.950000000001</v>
      </c>
      <c r="G111" s="446">
        <f t="shared" ref="G111:G112" si="12">+E111*F111*2</f>
        <v>8096.7600000000011</v>
      </c>
      <c r="H111" s="447"/>
    </row>
    <row r="112" spans="2:13" ht="15.75" customHeight="1">
      <c r="B112" s="445"/>
      <c r="C112" s="196" t="s">
        <v>71</v>
      </c>
      <c r="D112" s="196" t="s">
        <v>72</v>
      </c>
      <c r="E112" s="196">
        <v>1.8</v>
      </c>
      <c r="F112" s="229">
        <f>+F105</f>
        <v>46255</v>
      </c>
      <c r="G112" s="446">
        <f t="shared" si="12"/>
        <v>166518</v>
      </c>
      <c r="H112" s="447"/>
    </row>
    <row r="113" spans="2:8" ht="15.75" customHeight="1" thickBot="1">
      <c r="B113" s="448"/>
      <c r="C113" s="449" t="s">
        <v>87</v>
      </c>
      <c r="D113" s="449" t="s">
        <v>144</v>
      </c>
      <c r="E113" s="449">
        <v>0.05</v>
      </c>
      <c r="F113" s="450">
        <f>+G112</f>
        <v>166518</v>
      </c>
      <c r="G113" s="451">
        <f>+E113*F113*2</f>
        <v>16651.8</v>
      </c>
      <c r="H113" s="452"/>
    </row>
    <row r="114" spans="2:8" s="319" customFormat="1" ht="15.75" customHeight="1">
      <c r="B114" s="196"/>
      <c r="C114" s="196"/>
      <c r="D114" s="196"/>
      <c r="E114" s="196"/>
      <c r="F114" s="229"/>
      <c r="G114" s="446"/>
      <c r="H114" s="196"/>
    </row>
    <row r="115" spans="2:8" s="319" customFormat="1" ht="15.75" customHeight="1" thickBot="1">
      <c r="B115" s="196"/>
      <c r="C115" s="196"/>
      <c r="D115" s="196"/>
      <c r="E115" s="196"/>
      <c r="F115" s="229"/>
      <c r="G115" s="446"/>
      <c r="H115" s="196"/>
    </row>
    <row r="116" spans="2:8" s="319" customFormat="1" ht="91.5" customHeight="1">
      <c r="B116" s="453"/>
      <c r="C116" s="541" t="s">
        <v>444</v>
      </c>
      <c r="D116" s="441" t="s">
        <v>94</v>
      </c>
      <c r="E116" s="442"/>
      <c r="F116" s="443"/>
      <c r="G116" s="443"/>
      <c r="H116" s="444">
        <f>SUM(G117:G120)</f>
        <v>246308.065</v>
      </c>
    </row>
    <row r="117" spans="2:8" s="319" customFormat="1" ht="15.75" customHeight="1">
      <c r="B117" s="445"/>
      <c r="C117" s="196" t="s">
        <v>436</v>
      </c>
      <c r="D117" s="196" t="s">
        <v>94</v>
      </c>
      <c r="E117" s="196">
        <v>1</v>
      </c>
      <c r="F117" s="229">
        <v>220000</v>
      </c>
      <c r="G117" s="446">
        <f t="shared" ref="G117:G119" si="13">+E117*F117</f>
        <v>220000</v>
      </c>
      <c r="H117" s="447"/>
    </row>
    <row r="118" spans="2:8" s="319" customFormat="1" ht="15.75" customHeight="1">
      <c r="B118" s="445"/>
      <c r="C118" s="467" t="s">
        <v>165</v>
      </c>
      <c r="D118" s="467" t="s">
        <v>94</v>
      </c>
      <c r="E118" s="468">
        <v>0.2</v>
      </c>
      <c r="F118" s="446">
        <v>10120.950000000001</v>
      </c>
      <c r="G118" s="446">
        <f t="shared" si="13"/>
        <v>2024.1900000000003</v>
      </c>
      <c r="H118" s="447"/>
    </row>
    <row r="119" spans="2:8" s="319" customFormat="1" ht="15.75" customHeight="1">
      <c r="B119" s="445"/>
      <c r="C119" s="196" t="s">
        <v>71</v>
      </c>
      <c r="D119" s="196" t="s">
        <v>72</v>
      </c>
      <c r="E119" s="196">
        <v>0.5</v>
      </c>
      <c r="F119" s="229">
        <f>+F112</f>
        <v>46255</v>
      </c>
      <c r="G119" s="446">
        <f t="shared" si="13"/>
        <v>23127.5</v>
      </c>
      <c r="H119" s="447"/>
    </row>
    <row r="120" spans="2:8" s="319" customFormat="1" ht="15.75" customHeight="1" thickBot="1">
      <c r="B120" s="448"/>
      <c r="C120" s="449" t="s">
        <v>87</v>
      </c>
      <c r="D120" s="449" t="s">
        <v>144</v>
      </c>
      <c r="E120" s="449">
        <v>0.05</v>
      </c>
      <c r="F120" s="450">
        <f>+G119</f>
        <v>23127.5</v>
      </c>
      <c r="G120" s="451">
        <f>+E120*F120</f>
        <v>1156.375</v>
      </c>
      <c r="H120" s="452"/>
    </row>
    <row r="121" spans="2:8" s="319" customFormat="1" ht="15.75" customHeight="1">
      <c r="B121" s="196"/>
      <c r="C121" s="196"/>
      <c r="D121" s="196"/>
      <c r="E121" s="196"/>
      <c r="F121" s="229"/>
      <c r="G121" s="446"/>
      <c r="H121" s="196"/>
    </row>
    <row r="122" spans="2:8" s="319" customFormat="1" ht="15.75" hidden="1" customHeight="1">
      <c r="B122" s="196"/>
      <c r="C122" s="196"/>
      <c r="D122" s="196"/>
      <c r="E122" s="196"/>
      <c r="F122" s="229"/>
      <c r="G122" s="446"/>
      <c r="H122" s="196"/>
    </row>
    <row r="123" spans="2:8" s="319" customFormat="1" ht="15.75" hidden="1" customHeight="1">
      <c r="B123" s="196"/>
      <c r="C123" s="196"/>
      <c r="D123" s="196"/>
      <c r="E123" s="196"/>
      <c r="F123" s="229"/>
      <c r="G123" s="446"/>
      <c r="H123" s="196"/>
    </row>
    <row r="124" spans="2:8" ht="15.75" customHeight="1" thickBot="1">
      <c r="F124" s="11"/>
      <c r="G124" s="11"/>
    </row>
    <row r="125" spans="2:8" ht="58.5" customHeight="1">
      <c r="B125" s="453"/>
      <c r="C125" s="541" t="s">
        <v>534</v>
      </c>
      <c r="D125" s="441" t="s">
        <v>94</v>
      </c>
      <c r="E125" s="442"/>
      <c r="F125" s="443"/>
      <c r="G125" s="443"/>
      <c r="H125" s="444">
        <f>SUM(G126:G128)</f>
        <v>796496.85</v>
      </c>
    </row>
    <row r="126" spans="2:8" ht="45" customHeight="1">
      <c r="B126" s="445"/>
      <c r="C126" s="457" t="s">
        <v>442</v>
      </c>
      <c r="D126" s="196" t="s">
        <v>94</v>
      </c>
      <c r="E126" s="196">
        <v>1</v>
      </c>
      <c r="F126" s="229">
        <v>710000</v>
      </c>
      <c r="G126" s="446">
        <f>+E126*F126</f>
        <v>710000</v>
      </c>
      <c r="H126" s="447"/>
    </row>
    <row r="127" spans="2:8" ht="28.5" customHeight="1">
      <c r="B127" s="445"/>
      <c r="C127" s="196" t="s">
        <v>71</v>
      </c>
      <c r="D127" s="196" t="s">
        <v>72</v>
      </c>
      <c r="E127" s="196">
        <v>1.7</v>
      </c>
      <c r="F127" s="229">
        <f>+F119</f>
        <v>46255</v>
      </c>
      <c r="G127" s="446">
        <f>+E127*F127</f>
        <v>78633.5</v>
      </c>
      <c r="H127" s="447"/>
    </row>
    <row r="128" spans="2:8" ht="28.5" customHeight="1" thickBot="1">
      <c r="B128" s="448"/>
      <c r="C128" s="449" t="s">
        <v>87</v>
      </c>
      <c r="D128" s="449" t="s">
        <v>144</v>
      </c>
      <c r="E128" s="449">
        <v>0.1</v>
      </c>
      <c r="F128" s="450">
        <f>+G127</f>
        <v>78633.5</v>
      </c>
      <c r="G128" s="451">
        <f t="shared" ref="G128" si="14">+E128*F128</f>
        <v>7863.35</v>
      </c>
      <c r="H128" s="452"/>
    </row>
    <row r="129" spans="2:9" ht="15.75" customHeight="1">
      <c r="F129" s="11"/>
      <c r="G129" s="11"/>
    </row>
    <row r="130" spans="2:9" ht="15.75" customHeight="1" thickBot="1">
      <c r="F130" s="11"/>
      <c r="G130" s="11"/>
    </row>
    <row r="131" spans="2:9" ht="75.75" customHeight="1">
      <c r="B131" s="453"/>
      <c r="C131" s="541" t="s">
        <v>540</v>
      </c>
      <c r="D131" s="441" t="s">
        <v>23</v>
      </c>
      <c r="E131" s="442"/>
      <c r="F131" s="443"/>
      <c r="G131" s="443"/>
      <c r="H131" s="444">
        <f>SUM(G132:G134)</f>
        <v>350440.25</v>
      </c>
      <c r="I131" s="469"/>
    </row>
    <row r="132" spans="2:9" ht="15.75" customHeight="1">
      <c r="B132" s="445"/>
      <c r="C132" s="457" t="s">
        <v>201</v>
      </c>
      <c r="D132" s="196" t="s">
        <v>94</v>
      </c>
      <c r="E132" s="196">
        <v>1</v>
      </c>
      <c r="F132" s="229">
        <v>325000</v>
      </c>
      <c r="G132" s="446">
        <f>+E132*F132</f>
        <v>325000</v>
      </c>
      <c r="H132" s="447"/>
      <c r="I132" s="473"/>
    </row>
    <row r="133" spans="2:9" ht="15.75" customHeight="1">
      <c r="B133" s="445"/>
      <c r="C133" s="196" t="s">
        <v>71</v>
      </c>
      <c r="D133" s="196" t="s">
        <v>72</v>
      </c>
      <c r="E133" s="196">
        <v>0.5</v>
      </c>
      <c r="F133" s="229">
        <f>+F127</f>
        <v>46255</v>
      </c>
      <c r="G133" s="446">
        <f>+E133*F133</f>
        <v>23127.5</v>
      </c>
      <c r="H133" s="447"/>
    </row>
    <row r="134" spans="2:9" ht="15.75" customHeight="1" thickBot="1">
      <c r="B134" s="448"/>
      <c r="C134" s="449" t="s">
        <v>87</v>
      </c>
      <c r="D134" s="449" t="s">
        <v>144</v>
      </c>
      <c r="E134" s="449">
        <v>0.1</v>
      </c>
      <c r="F134" s="450">
        <f>+G133</f>
        <v>23127.5</v>
      </c>
      <c r="G134" s="451">
        <f t="shared" ref="G134" si="15">+E134*F134</f>
        <v>2312.75</v>
      </c>
      <c r="H134" s="452"/>
    </row>
    <row r="135" spans="2:9" ht="15.75" customHeight="1">
      <c r="F135" s="11"/>
      <c r="G135" s="11"/>
    </row>
    <row r="136" spans="2:9" ht="15.75" customHeight="1" thickBot="1">
      <c r="F136" s="11"/>
      <c r="G136" s="11"/>
    </row>
    <row r="137" spans="2:9" ht="77.25" customHeight="1">
      <c r="B137" s="453"/>
      <c r="C137" s="541" t="s">
        <v>541</v>
      </c>
      <c r="D137" s="441" t="s">
        <v>46</v>
      </c>
      <c r="E137" s="442"/>
      <c r="F137" s="443"/>
      <c r="G137" s="443"/>
      <c r="H137" s="444">
        <f>+G138+G139+G140+G141</f>
        <v>41318.82</v>
      </c>
    </row>
    <row r="138" spans="2:9" ht="15.75" customHeight="1">
      <c r="B138" s="445"/>
      <c r="C138" s="494" t="s">
        <v>173</v>
      </c>
      <c r="D138" s="494" t="s">
        <v>46</v>
      </c>
      <c r="E138" s="494">
        <v>1</v>
      </c>
      <c r="F138" s="229">
        <v>26500</v>
      </c>
      <c r="G138" s="446">
        <f>+E138*F138</f>
        <v>26500</v>
      </c>
      <c r="H138" s="501"/>
    </row>
    <row r="139" spans="2:9" ht="15.75" customHeight="1">
      <c r="B139" s="445"/>
      <c r="C139" s="494" t="s">
        <v>174</v>
      </c>
      <c r="D139" s="494" t="s">
        <v>108</v>
      </c>
      <c r="E139" s="494">
        <v>1</v>
      </c>
      <c r="F139" s="229">
        <v>5000</v>
      </c>
      <c r="G139" s="446">
        <f t="shared" ref="G139:G141" si="16">+E139*F139</f>
        <v>5000</v>
      </c>
      <c r="H139" s="501"/>
    </row>
    <row r="140" spans="2:9" ht="15.75" customHeight="1">
      <c r="B140" s="445"/>
      <c r="C140" s="494" t="s">
        <v>175</v>
      </c>
      <c r="D140" s="494" t="s">
        <v>72</v>
      </c>
      <c r="E140" s="494">
        <v>0.18</v>
      </c>
      <c r="F140" s="229">
        <f>+'BASE SALRIOS'!Q31</f>
        <v>49590</v>
      </c>
      <c r="G140" s="446">
        <f t="shared" si="16"/>
        <v>8926.1999999999989</v>
      </c>
      <c r="H140" s="501"/>
    </row>
    <row r="141" spans="2:9" ht="15.75" customHeight="1" thickBot="1">
      <c r="B141" s="448"/>
      <c r="C141" s="495" t="s">
        <v>87</v>
      </c>
      <c r="D141" s="495" t="s">
        <v>88</v>
      </c>
      <c r="E141" s="495">
        <v>0.1</v>
      </c>
      <c r="F141" s="229">
        <f>+G140</f>
        <v>8926.1999999999989</v>
      </c>
      <c r="G141" s="451">
        <f t="shared" si="16"/>
        <v>892.61999999999989</v>
      </c>
      <c r="H141" s="503"/>
    </row>
    <row r="142" spans="2:9" ht="15.75" customHeight="1">
      <c r="F142" s="11"/>
      <c r="G142" s="11"/>
    </row>
    <row r="143" spans="2:9" ht="15.75" customHeight="1">
      <c r="F143" s="11"/>
      <c r="G143" s="11"/>
    </row>
    <row r="144" spans="2:9" ht="15.75" customHeight="1" thickBot="1">
      <c r="F144" s="11"/>
      <c r="G144" s="11"/>
    </row>
    <row r="145" spans="2:8" ht="75" customHeight="1">
      <c r="B145" s="453"/>
      <c r="C145" s="541" t="s">
        <v>521</v>
      </c>
      <c r="D145" s="441" t="s">
        <v>23</v>
      </c>
      <c r="E145" s="442"/>
      <c r="F145" s="443"/>
      <c r="G145" s="443"/>
      <c r="H145" s="444">
        <f>+G146+G147</f>
        <v>234784</v>
      </c>
    </row>
    <row r="146" spans="2:8" ht="15.75" customHeight="1">
      <c r="B146" s="445"/>
      <c r="C146" s="494" t="str">
        <f>+'BASE SALRIOS'!J35</f>
        <v>CUADRILLA AAA ALBAÑILERIA (2 AYD)</v>
      </c>
      <c r="D146" s="494" t="s">
        <v>72</v>
      </c>
      <c r="E146" s="494">
        <v>8</v>
      </c>
      <c r="F146" s="546">
        <f>+'BASE SALRIOS'!Q35</f>
        <v>26680</v>
      </c>
      <c r="G146" s="446">
        <f>+E146*F146</f>
        <v>213440</v>
      </c>
      <c r="H146" s="501"/>
    </row>
    <row r="147" spans="2:8" ht="15.75" customHeight="1" thickBot="1">
      <c r="B147" s="448"/>
      <c r="C147" s="548" t="s">
        <v>520</v>
      </c>
      <c r="D147" s="495" t="s">
        <v>88</v>
      </c>
      <c r="E147" s="495">
        <v>0.1</v>
      </c>
      <c r="F147" s="547">
        <f>+G146</f>
        <v>213440</v>
      </c>
      <c r="G147" s="451">
        <f>+E147*F147</f>
        <v>21344</v>
      </c>
      <c r="H147" s="503"/>
    </row>
    <row r="148" spans="2:8" ht="15.75" customHeight="1">
      <c r="F148" s="11"/>
      <c r="G148" s="11"/>
    </row>
    <row r="149" spans="2:8" ht="15.75" customHeight="1" thickBot="1">
      <c r="F149" s="11"/>
      <c r="G149" s="11"/>
    </row>
    <row r="150" spans="2:8" ht="58.5" customHeight="1">
      <c r="B150" s="453"/>
      <c r="C150" s="541" t="s">
        <v>522</v>
      </c>
      <c r="D150" s="555" t="str">
        <f>+D145</f>
        <v>UND</v>
      </c>
      <c r="E150" s="550"/>
      <c r="F150" s="551"/>
      <c r="G150" s="551"/>
      <c r="H150" s="444">
        <f>+G151+G152+G153+G154</f>
        <v>1243647</v>
      </c>
    </row>
    <row r="151" spans="2:8" ht="49.5" customHeight="1">
      <c r="B151" s="445"/>
      <c r="C151" s="556" t="s">
        <v>523</v>
      </c>
      <c r="D151" s="553" t="s">
        <v>23</v>
      </c>
      <c r="E151" s="494">
        <v>3</v>
      </c>
      <c r="F151" s="554">
        <v>120000</v>
      </c>
      <c r="G151" s="554">
        <f>+E151*F151</f>
        <v>360000</v>
      </c>
      <c r="H151" s="552"/>
    </row>
    <row r="152" spans="2:8" ht="63" customHeight="1">
      <c r="B152" s="445"/>
      <c r="C152" s="556" t="s">
        <v>524</v>
      </c>
      <c r="D152" s="553" t="s">
        <v>23</v>
      </c>
      <c r="E152" s="494">
        <v>4</v>
      </c>
      <c r="F152" s="554">
        <v>180000</v>
      </c>
      <c r="G152" s="554">
        <f>+E152*F152</f>
        <v>720000</v>
      </c>
      <c r="H152" s="501"/>
    </row>
    <row r="153" spans="2:8" ht="35.25" customHeight="1">
      <c r="B153" s="445"/>
      <c r="C153" s="196" t="str">
        <f>+'BASE SALRIOS'!J30</f>
        <v>CUADRILLA BB INSTALACIONES (1 OFC + 1 AYD + 1 ENT)</v>
      </c>
      <c r="D153" s="494" t="str">
        <f>+D146</f>
        <v>H/C</v>
      </c>
      <c r="E153" s="494">
        <v>3</v>
      </c>
      <c r="F153" s="549">
        <f>+'BASE SALRIOS'!Q30</f>
        <v>49590</v>
      </c>
      <c r="G153" s="554">
        <f>+E153*F153</f>
        <v>148770</v>
      </c>
      <c r="H153" s="501"/>
    </row>
    <row r="154" spans="2:8" ht="15.75" customHeight="1" thickBot="1">
      <c r="B154" s="448"/>
      <c r="C154" s="495" t="s">
        <v>87</v>
      </c>
      <c r="D154" s="495" t="s">
        <v>88</v>
      </c>
      <c r="E154" s="495">
        <v>0.1</v>
      </c>
      <c r="F154" s="450">
        <f>+G153</f>
        <v>148770</v>
      </c>
      <c r="G154" s="451">
        <f>+E154*F154</f>
        <v>14877</v>
      </c>
      <c r="H154" s="452"/>
    </row>
    <row r="155" spans="2:8" ht="15.75" customHeight="1" thickBot="1">
      <c r="B155" s="196"/>
      <c r="C155" s="196"/>
      <c r="D155" s="196"/>
      <c r="E155" s="196"/>
      <c r="F155" s="229"/>
      <c r="G155" s="229"/>
      <c r="H155" s="196"/>
    </row>
    <row r="156" spans="2:8" ht="53.25" customHeight="1">
      <c r="B156" s="453"/>
      <c r="C156" s="541" t="s">
        <v>535</v>
      </c>
      <c r="D156" s="555" t="s">
        <v>94</v>
      </c>
      <c r="E156" s="550"/>
      <c r="F156" s="551"/>
      <c r="G156" s="551"/>
      <c r="H156" s="444">
        <f>+G157+G158+G159+G160+G161</f>
        <v>167466.97500000001</v>
      </c>
    </row>
    <row r="157" spans="2:8" ht="15.75" customHeight="1">
      <c r="B157" s="445"/>
      <c r="C157" s="196" t="s">
        <v>183</v>
      </c>
      <c r="D157" s="196" t="s">
        <v>46</v>
      </c>
      <c r="E157" s="196">
        <v>0.5</v>
      </c>
      <c r="F157" s="229">
        <v>2410</v>
      </c>
      <c r="G157" s="554">
        <f t="shared" ref="G157:G161" si="17">+E157*F157</f>
        <v>1205</v>
      </c>
      <c r="H157" s="447"/>
    </row>
    <row r="158" spans="2:8" ht="15.75" customHeight="1">
      <c r="B158" s="445"/>
      <c r="C158" s="196" t="s">
        <v>422</v>
      </c>
      <c r="D158" s="196" t="s">
        <v>46</v>
      </c>
      <c r="E158" s="196">
        <v>0.5</v>
      </c>
      <c r="F158" s="229">
        <v>2771.5</v>
      </c>
      <c r="G158" s="554">
        <f t="shared" si="17"/>
        <v>1385.75</v>
      </c>
      <c r="H158" s="447"/>
    </row>
    <row r="159" spans="2:8" ht="15.75" customHeight="1">
      <c r="B159" s="445"/>
      <c r="C159" s="196" t="s">
        <v>533</v>
      </c>
      <c r="D159" s="196" t="s">
        <v>94</v>
      </c>
      <c r="E159" s="196">
        <v>1</v>
      </c>
      <c r="F159" s="229">
        <v>135000</v>
      </c>
      <c r="G159" s="554">
        <f t="shared" si="17"/>
        <v>135000</v>
      </c>
      <c r="H159" s="447"/>
    </row>
    <row r="160" spans="2:8" ht="15.75" customHeight="1">
      <c r="B160" s="445"/>
      <c r="C160" s="196" t="s">
        <v>78</v>
      </c>
      <c r="D160" s="196" t="s">
        <v>72</v>
      </c>
      <c r="E160" s="196">
        <v>0.5</v>
      </c>
      <c r="F160" s="229">
        <v>57255</v>
      </c>
      <c r="G160" s="554">
        <f t="shared" si="17"/>
        <v>28627.5</v>
      </c>
      <c r="H160" s="447"/>
    </row>
    <row r="161" spans="2:8" ht="15.75" customHeight="1" thickBot="1">
      <c r="B161" s="448"/>
      <c r="C161" s="449" t="s">
        <v>87</v>
      </c>
      <c r="D161" s="449" t="s">
        <v>88</v>
      </c>
      <c r="E161" s="449">
        <v>0.05</v>
      </c>
      <c r="F161" s="450">
        <v>24974.5</v>
      </c>
      <c r="G161" s="582">
        <f t="shared" si="17"/>
        <v>1248.7250000000001</v>
      </c>
      <c r="H161" s="452"/>
    </row>
    <row r="162" spans="2:8" ht="15.75" customHeight="1">
      <c r="F162" s="11"/>
      <c r="G162" s="11"/>
    </row>
    <row r="163" spans="2:8" ht="15.75" customHeight="1">
      <c r="F163" s="11"/>
      <c r="G163" s="11"/>
    </row>
    <row r="164" spans="2:8" ht="15.75" customHeight="1">
      <c r="F164" s="11"/>
      <c r="G164" s="11"/>
    </row>
    <row r="165" spans="2:8" ht="15.75" customHeight="1">
      <c r="F165" s="11"/>
      <c r="G165" s="11"/>
    </row>
    <row r="166" spans="2:8" ht="15.75" customHeight="1">
      <c r="F166" s="11"/>
      <c r="G166" s="11"/>
    </row>
    <row r="167" spans="2:8" ht="15.75" customHeight="1">
      <c r="F167" s="11"/>
      <c r="G167" s="11"/>
    </row>
    <row r="168" spans="2:8" ht="15.75" customHeight="1">
      <c r="F168" s="11"/>
      <c r="G168" s="11"/>
    </row>
    <row r="169" spans="2:8" ht="15.75" customHeight="1">
      <c r="F169" s="11"/>
      <c r="G169" s="11"/>
    </row>
    <row r="170" spans="2:8" ht="15.75" customHeight="1">
      <c r="F170" s="11"/>
      <c r="G170" s="11"/>
    </row>
    <row r="171" spans="2:8" ht="15.75" customHeight="1">
      <c r="F171" s="11"/>
      <c r="G171" s="11"/>
    </row>
    <row r="172" spans="2:8" ht="15.75" customHeight="1">
      <c r="F172" s="11"/>
      <c r="G172" s="11"/>
    </row>
    <row r="173" spans="2:8" ht="15.75" customHeight="1">
      <c r="F173" s="11"/>
      <c r="G173" s="11"/>
    </row>
    <row r="174" spans="2:8" ht="15.75" customHeight="1">
      <c r="F174" s="11"/>
      <c r="G174" s="11"/>
    </row>
    <row r="175" spans="2:8" ht="15.75" customHeight="1">
      <c r="F175" s="11"/>
      <c r="G175" s="11"/>
    </row>
    <row r="176" spans="2:8" ht="15.75" customHeight="1">
      <c r="F176" s="11"/>
      <c r="G176" s="11"/>
    </row>
    <row r="177" spans="6:7" ht="15.75" customHeight="1">
      <c r="F177" s="11"/>
      <c r="G177" s="11"/>
    </row>
    <row r="178" spans="6:7" ht="15.75" customHeight="1">
      <c r="F178" s="11"/>
      <c r="G178" s="11"/>
    </row>
    <row r="179" spans="6:7" ht="15.75" customHeight="1">
      <c r="F179" s="11"/>
      <c r="G179" s="11"/>
    </row>
    <row r="180" spans="6:7" ht="15.75" customHeight="1">
      <c r="F180" s="11"/>
      <c r="G180" s="11"/>
    </row>
    <row r="181" spans="6:7" ht="15.75" customHeight="1">
      <c r="F181" s="11"/>
      <c r="G181" s="11"/>
    </row>
    <row r="182" spans="6:7" ht="15.75" customHeight="1">
      <c r="F182" s="11"/>
      <c r="G182" s="11"/>
    </row>
    <row r="183" spans="6:7" ht="15.75" customHeight="1">
      <c r="F183" s="11"/>
      <c r="G183" s="11"/>
    </row>
    <row r="184" spans="6:7" ht="15.75" customHeight="1">
      <c r="F184" s="11"/>
      <c r="G184" s="11"/>
    </row>
    <row r="185" spans="6:7" ht="15.75" customHeight="1">
      <c r="F185" s="11"/>
      <c r="G185" s="11"/>
    </row>
    <row r="186" spans="6:7" ht="15.75" customHeight="1">
      <c r="F186" s="11"/>
      <c r="G186" s="11"/>
    </row>
    <row r="187" spans="6:7" ht="15.75" customHeight="1">
      <c r="F187" s="11"/>
      <c r="G187" s="11"/>
    </row>
    <row r="188" spans="6:7" ht="15.75" customHeight="1">
      <c r="F188" s="11"/>
      <c r="G188" s="11"/>
    </row>
    <row r="189" spans="6:7" ht="15.75" customHeight="1">
      <c r="F189" s="11"/>
      <c r="G189" s="11"/>
    </row>
    <row r="190" spans="6:7" ht="15.75" customHeight="1">
      <c r="F190" s="11"/>
      <c r="G190" s="11"/>
    </row>
    <row r="191" spans="6:7" ht="15.75" customHeight="1">
      <c r="F191" s="11"/>
      <c r="G191" s="11"/>
    </row>
    <row r="192" spans="6:7" ht="15.75" customHeight="1">
      <c r="F192" s="11"/>
      <c r="G192" s="11"/>
    </row>
    <row r="193" spans="6:7" ht="15.75" customHeight="1">
      <c r="F193" s="11"/>
      <c r="G193" s="11"/>
    </row>
    <row r="194" spans="6:7" ht="15.75" customHeight="1">
      <c r="F194" s="11"/>
      <c r="G194" s="11"/>
    </row>
    <row r="195" spans="6:7" ht="15.75" customHeight="1">
      <c r="F195" s="11"/>
      <c r="G195" s="11"/>
    </row>
    <row r="196" spans="6:7" ht="15.75" customHeight="1">
      <c r="F196" s="11"/>
      <c r="G196" s="11"/>
    </row>
    <row r="197" spans="6:7" ht="15.75" customHeight="1">
      <c r="F197" s="11"/>
      <c r="G197" s="11"/>
    </row>
    <row r="198" spans="6:7" ht="15.75" customHeight="1">
      <c r="F198" s="11"/>
      <c r="G198" s="11"/>
    </row>
    <row r="199" spans="6:7" ht="15.75" customHeight="1">
      <c r="F199" s="11"/>
      <c r="G199" s="11"/>
    </row>
    <row r="200" spans="6:7" ht="15.75" customHeight="1">
      <c r="F200" s="11"/>
      <c r="G200" s="11"/>
    </row>
    <row r="201" spans="6:7" ht="15.75" customHeight="1">
      <c r="F201" s="11"/>
      <c r="G201" s="11"/>
    </row>
    <row r="202" spans="6:7" ht="15.75" customHeight="1">
      <c r="F202" s="11"/>
      <c r="G202" s="11"/>
    </row>
    <row r="203" spans="6:7" ht="15.75" customHeight="1">
      <c r="F203" s="11"/>
      <c r="G203" s="11"/>
    </row>
    <row r="204" spans="6:7" ht="15.75" customHeight="1">
      <c r="F204" s="11"/>
      <c r="G204" s="11"/>
    </row>
    <row r="205" spans="6:7" ht="15.75" customHeight="1">
      <c r="F205" s="11"/>
      <c r="G205" s="11"/>
    </row>
    <row r="206" spans="6:7" ht="15.75" customHeight="1">
      <c r="F206" s="11"/>
      <c r="G206" s="11"/>
    </row>
    <row r="207" spans="6:7" ht="15.75" customHeight="1">
      <c r="F207" s="11"/>
      <c r="G207" s="11"/>
    </row>
    <row r="208" spans="6:7" ht="15.75" customHeight="1">
      <c r="F208" s="11"/>
      <c r="G208" s="11"/>
    </row>
    <row r="209" spans="6:7" ht="15.75" customHeight="1">
      <c r="F209" s="11"/>
      <c r="G209" s="11"/>
    </row>
    <row r="210" spans="6:7" ht="15.75" customHeight="1">
      <c r="F210" s="11"/>
      <c r="G210" s="11"/>
    </row>
    <row r="211" spans="6:7" ht="15.75" customHeight="1">
      <c r="F211" s="11"/>
      <c r="G211" s="11"/>
    </row>
    <row r="212" spans="6:7" ht="15.75" customHeight="1">
      <c r="F212" s="11"/>
      <c r="G212" s="11"/>
    </row>
    <row r="213" spans="6:7" ht="15.75" customHeight="1">
      <c r="F213" s="11"/>
      <c r="G213" s="11"/>
    </row>
    <row r="214" spans="6:7" ht="15.75" customHeight="1">
      <c r="F214" s="11"/>
      <c r="G214" s="11"/>
    </row>
    <row r="215" spans="6:7" ht="15.75" customHeight="1">
      <c r="F215" s="11"/>
      <c r="G215" s="11"/>
    </row>
    <row r="216" spans="6:7" ht="15.75" customHeight="1">
      <c r="F216" s="11"/>
      <c r="G216" s="11"/>
    </row>
    <row r="217" spans="6:7" ht="15.75" customHeight="1">
      <c r="F217" s="11"/>
      <c r="G217" s="11"/>
    </row>
    <row r="218" spans="6:7" ht="15.75" customHeight="1">
      <c r="F218" s="11"/>
      <c r="G218" s="11"/>
    </row>
    <row r="219" spans="6:7" ht="15.75" customHeight="1">
      <c r="F219" s="11"/>
      <c r="G219" s="11"/>
    </row>
    <row r="220" spans="6:7" ht="15.75" customHeight="1">
      <c r="F220" s="11"/>
      <c r="G220" s="11"/>
    </row>
    <row r="221" spans="6:7" ht="15.75" customHeight="1">
      <c r="F221" s="11"/>
      <c r="G221" s="11"/>
    </row>
    <row r="222" spans="6:7" ht="15.75" customHeight="1">
      <c r="F222" s="11"/>
      <c r="G222" s="11"/>
    </row>
    <row r="223" spans="6:7" ht="15.75" customHeight="1">
      <c r="F223" s="11"/>
      <c r="G223" s="11"/>
    </row>
    <row r="224" spans="6:7" ht="15.75" customHeight="1">
      <c r="F224" s="11"/>
      <c r="G224" s="11"/>
    </row>
    <row r="225" spans="6:7" ht="15.75" customHeight="1">
      <c r="F225" s="11"/>
      <c r="G225" s="11"/>
    </row>
    <row r="226" spans="6:7" ht="15.75" customHeight="1">
      <c r="F226" s="11"/>
      <c r="G226" s="11"/>
    </row>
    <row r="227" spans="6:7" ht="15.75" customHeight="1">
      <c r="F227" s="11"/>
      <c r="G227" s="11"/>
    </row>
    <row r="228" spans="6:7" ht="15.75" customHeight="1">
      <c r="F228" s="11"/>
      <c r="G228" s="11"/>
    </row>
    <row r="229" spans="6:7" ht="15.75" customHeight="1">
      <c r="F229" s="11"/>
      <c r="G229" s="11"/>
    </row>
    <row r="230" spans="6:7" ht="15.75" customHeight="1">
      <c r="F230" s="11"/>
      <c r="G230" s="11"/>
    </row>
    <row r="231" spans="6:7" ht="15.75" customHeight="1">
      <c r="F231" s="11"/>
      <c r="G231" s="11"/>
    </row>
    <row r="232" spans="6:7" ht="15.75" customHeight="1">
      <c r="F232" s="11"/>
      <c r="G232" s="11"/>
    </row>
    <row r="233" spans="6:7" ht="15.75" customHeight="1">
      <c r="F233" s="11"/>
      <c r="G233" s="11"/>
    </row>
    <row r="234" spans="6:7" ht="15.75" customHeight="1">
      <c r="F234" s="11"/>
      <c r="G234" s="11"/>
    </row>
    <row r="235" spans="6:7" ht="15.75" customHeight="1">
      <c r="F235" s="11"/>
      <c r="G235" s="11"/>
    </row>
    <row r="236" spans="6:7" ht="15.75" customHeight="1">
      <c r="F236" s="11"/>
      <c r="G236" s="11"/>
    </row>
    <row r="237" spans="6:7" ht="15.75" customHeight="1">
      <c r="F237" s="11"/>
      <c r="G237" s="11"/>
    </row>
    <row r="238" spans="6:7" ht="15.75" customHeight="1">
      <c r="F238" s="11"/>
      <c r="G238" s="11"/>
    </row>
    <row r="239" spans="6:7" ht="15.75" customHeight="1">
      <c r="F239" s="11"/>
      <c r="G239" s="11"/>
    </row>
    <row r="240" spans="6:7" ht="15.75" customHeight="1">
      <c r="F240" s="11"/>
      <c r="G240" s="11"/>
    </row>
    <row r="241" spans="6:7" ht="15.75" customHeight="1">
      <c r="F241" s="11"/>
      <c r="G241" s="11"/>
    </row>
    <row r="242" spans="6:7" ht="15.75" customHeight="1">
      <c r="F242" s="11"/>
      <c r="G242" s="11"/>
    </row>
    <row r="243" spans="6:7" ht="15.75" customHeight="1">
      <c r="F243" s="11"/>
      <c r="G243" s="11"/>
    </row>
    <row r="244" spans="6:7" ht="15.75" customHeight="1">
      <c r="F244" s="11"/>
      <c r="G244" s="11"/>
    </row>
    <row r="245" spans="6:7" ht="15.75" customHeight="1">
      <c r="F245" s="11"/>
      <c r="G245" s="11"/>
    </row>
    <row r="246" spans="6:7" ht="15.75" customHeight="1">
      <c r="F246" s="11"/>
      <c r="G246" s="11"/>
    </row>
    <row r="247" spans="6:7" ht="15.75" customHeight="1">
      <c r="F247" s="11"/>
      <c r="G247" s="11"/>
    </row>
    <row r="248" spans="6:7" ht="15.75" customHeight="1">
      <c r="F248" s="11"/>
      <c r="G248" s="11"/>
    </row>
    <row r="249" spans="6:7" ht="15.75" customHeight="1">
      <c r="F249" s="11"/>
      <c r="G249" s="11"/>
    </row>
    <row r="250" spans="6:7" ht="15.75" customHeight="1">
      <c r="F250" s="11"/>
      <c r="G250" s="11"/>
    </row>
    <row r="251" spans="6:7" ht="15.75" customHeight="1">
      <c r="F251" s="11"/>
      <c r="G251" s="11"/>
    </row>
    <row r="252" spans="6:7" ht="15.75" customHeight="1">
      <c r="F252" s="11"/>
      <c r="G252" s="11"/>
    </row>
    <row r="253" spans="6:7" ht="15.75" customHeight="1">
      <c r="F253" s="11"/>
      <c r="G253" s="11"/>
    </row>
    <row r="254" spans="6:7" ht="15.75" customHeight="1">
      <c r="F254" s="11"/>
      <c r="G254" s="11"/>
    </row>
    <row r="255" spans="6:7" ht="15.75" customHeight="1">
      <c r="F255" s="11"/>
      <c r="G255" s="11"/>
    </row>
    <row r="256" spans="6:7" ht="15.75" customHeight="1">
      <c r="F256" s="11"/>
      <c r="G256" s="11"/>
    </row>
    <row r="257" spans="6:7" ht="15.75" customHeight="1">
      <c r="F257" s="11"/>
      <c r="G257" s="11"/>
    </row>
    <row r="258" spans="6:7" ht="15.75" customHeight="1">
      <c r="F258" s="11"/>
      <c r="G258" s="11"/>
    </row>
    <row r="259" spans="6:7" ht="15.75" customHeight="1">
      <c r="F259" s="11"/>
      <c r="G259" s="11"/>
    </row>
    <row r="260" spans="6:7" ht="15.75" customHeight="1">
      <c r="F260" s="11"/>
      <c r="G260" s="11"/>
    </row>
    <row r="261" spans="6:7" ht="15.75" customHeight="1">
      <c r="F261" s="11"/>
      <c r="G261" s="11"/>
    </row>
    <row r="262" spans="6:7" ht="15.75" customHeight="1">
      <c r="F262" s="11"/>
      <c r="G262" s="11"/>
    </row>
    <row r="263" spans="6:7" ht="15.75" customHeight="1">
      <c r="F263" s="11"/>
      <c r="G263" s="11"/>
    </row>
    <row r="264" spans="6:7" ht="15.75" customHeight="1">
      <c r="F264" s="11"/>
      <c r="G264" s="11"/>
    </row>
    <row r="265" spans="6:7" ht="15.75" customHeight="1">
      <c r="F265" s="11"/>
      <c r="G265" s="11"/>
    </row>
    <row r="266" spans="6:7" ht="15.75" customHeight="1">
      <c r="F266" s="11"/>
      <c r="G266" s="11"/>
    </row>
    <row r="267" spans="6:7" ht="15.75" customHeight="1">
      <c r="F267" s="11"/>
      <c r="G267" s="11"/>
    </row>
    <row r="268" spans="6:7" ht="15.75" customHeight="1">
      <c r="F268" s="11"/>
      <c r="G268" s="11"/>
    </row>
    <row r="269" spans="6:7" ht="15.75" customHeight="1">
      <c r="F269" s="11"/>
      <c r="G269" s="11"/>
    </row>
    <row r="270" spans="6:7" ht="15.75" customHeight="1">
      <c r="F270" s="11"/>
      <c r="G270" s="11"/>
    </row>
    <row r="271" spans="6:7" ht="15.75" customHeight="1">
      <c r="F271" s="11"/>
      <c r="G271" s="11"/>
    </row>
    <row r="272" spans="6:7" ht="15.75" customHeight="1">
      <c r="F272" s="11"/>
      <c r="G272" s="11"/>
    </row>
    <row r="273" spans="6:7" ht="15.75" customHeight="1">
      <c r="F273" s="11"/>
      <c r="G273" s="11"/>
    </row>
    <row r="274" spans="6:7" ht="15.75" customHeight="1">
      <c r="F274" s="11"/>
      <c r="G274" s="11"/>
    </row>
    <row r="275" spans="6:7" ht="15.75" customHeight="1">
      <c r="F275" s="11"/>
      <c r="G275" s="11"/>
    </row>
    <row r="276" spans="6:7" ht="15.75" customHeight="1">
      <c r="F276" s="11"/>
      <c r="G276" s="11"/>
    </row>
    <row r="277" spans="6:7" ht="15.75" customHeight="1">
      <c r="F277" s="11"/>
      <c r="G277" s="11"/>
    </row>
    <row r="278" spans="6:7" ht="15.75" customHeight="1">
      <c r="F278" s="11"/>
      <c r="G278" s="11"/>
    </row>
    <row r="279" spans="6:7" ht="15.75" customHeight="1">
      <c r="F279" s="11"/>
      <c r="G279" s="11"/>
    </row>
    <row r="280" spans="6:7" ht="15.75" customHeight="1">
      <c r="F280" s="11"/>
      <c r="G280" s="11"/>
    </row>
    <row r="281" spans="6:7" ht="15.75" customHeight="1">
      <c r="F281" s="11"/>
      <c r="G281" s="11"/>
    </row>
    <row r="282" spans="6:7" ht="15.75" customHeight="1">
      <c r="F282" s="11"/>
      <c r="G282" s="11"/>
    </row>
    <row r="283" spans="6:7" ht="15.75" customHeight="1">
      <c r="F283" s="11"/>
      <c r="G283" s="11"/>
    </row>
    <row r="284" spans="6:7" ht="15.75" customHeight="1">
      <c r="F284" s="11"/>
      <c r="G284" s="11"/>
    </row>
    <row r="285" spans="6:7" ht="15.75" customHeight="1">
      <c r="F285" s="11"/>
      <c r="G285" s="11"/>
    </row>
    <row r="286" spans="6:7" ht="15.75" customHeight="1">
      <c r="F286" s="11"/>
      <c r="G286" s="11"/>
    </row>
    <row r="287" spans="6:7" ht="15.75" customHeight="1">
      <c r="F287" s="11"/>
      <c r="G287" s="11"/>
    </row>
    <row r="288" spans="6:7" ht="15.75" customHeight="1">
      <c r="F288" s="11"/>
      <c r="G288" s="11"/>
    </row>
    <row r="289" spans="6:7" ht="15.75" customHeight="1">
      <c r="F289" s="11"/>
      <c r="G289" s="11"/>
    </row>
    <row r="290" spans="6:7" ht="15.75" customHeight="1">
      <c r="F290" s="11"/>
      <c r="G290" s="11"/>
    </row>
    <row r="291" spans="6:7" ht="15.75" customHeight="1">
      <c r="F291" s="11"/>
      <c r="G291" s="11"/>
    </row>
    <row r="292" spans="6:7" ht="15.75" customHeight="1">
      <c r="F292" s="11"/>
      <c r="G292" s="11"/>
    </row>
    <row r="293" spans="6:7" ht="15.75" customHeight="1">
      <c r="F293" s="11"/>
      <c r="G293" s="11"/>
    </row>
    <row r="294" spans="6:7" ht="15.75" customHeight="1">
      <c r="F294" s="11"/>
      <c r="G294" s="11"/>
    </row>
    <row r="295" spans="6:7" ht="15.75" customHeight="1">
      <c r="F295" s="11"/>
      <c r="G295" s="11"/>
    </row>
    <row r="296" spans="6:7" ht="15.75" customHeight="1">
      <c r="F296" s="11"/>
      <c r="G296" s="11"/>
    </row>
    <row r="297" spans="6:7" ht="15.75" customHeight="1">
      <c r="F297" s="11"/>
      <c r="G297" s="11"/>
    </row>
    <row r="298" spans="6:7" ht="15.75" customHeight="1">
      <c r="F298" s="11"/>
      <c r="G298" s="11"/>
    </row>
    <row r="299" spans="6:7" ht="15.75" customHeight="1">
      <c r="F299" s="11"/>
      <c r="G299" s="11"/>
    </row>
    <row r="300" spans="6:7" ht="15.75" customHeight="1">
      <c r="F300" s="11"/>
      <c r="G300" s="11"/>
    </row>
    <row r="301" spans="6:7" ht="15.75" customHeight="1">
      <c r="F301" s="11"/>
      <c r="G301" s="11"/>
    </row>
    <row r="302" spans="6:7" ht="15.75" customHeight="1">
      <c r="F302" s="11"/>
      <c r="G302" s="11"/>
    </row>
    <row r="303" spans="6:7" ht="15.75" customHeight="1">
      <c r="F303" s="11"/>
      <c r="G303" s="11"/>
    </row>
    <row r="304" spans="6:7" ht="15.75" customHeight="1">
      <c r="F304" s="11"/>
      <c r="G304" s="11"/>
    </row>
    <row r="305" spans="6:7" ht="15.75" customHeight="1">
      <c r="F305" s="11"/>
      <c r="G305" s="11"/>
    </row>
    <row r="306" spans="6:7" ht="15.75" customHeight="1">
      <c r="F306" s="11"/>
      <c r="G306" s="11"/>
    </row>
    <row r="307" spans="6:7" ht="15.75" customHeight="1">
      <c r="F307" s="11"/>
      <c r="G307" s="11"/>
    </row>
    <row r="308" spans="6:7" ht="15.75" customHeight="1">
      <c r="F308" s="11"/>
      <c r="G308" s="11"/>
    </row>
    <row r="309" spans="6:7" ht="15.75" customHeight="1">
      <c r="F309" s="11"/>
      <c r="G309" s="11"/>
    </row>
    <row r="310" spans="6:7" ht="15.75" customHeight="1">
      <c r="F310" s="11"/>
      <c r="G310" s="11"/>
    </row>
    <row r="311" spans="6:7" ht="15.75" customHeight="1">
      <c r="F311" s="11"/>
      <c r="G311" s="11"/>
    </row>
    <row r="312" spans="6:7" ht="15.75" customHeight="1">
      <c r="F312" s="11"/>
      <c r="G312" s="11"/>
    </row>
    <row r="313" spans="6:7" ht="15.75" customHeight="1">
      <c r="F313" s="11"/>
      <c r="G313" s="11"/>
    </row>
    <row r="314" spans="6:7" ht="15.75" customHeight="1">
      <c r="F314" s="11"/>
      <c r="G314" s="11"/>
    </row>
    <row r="315" spans="6:7" ht="15.75" customHeight="1">
      <c r="F315" s="11"/>
      <c r="G315" s="11"/>
    </row>
    <row r="316" spans="6:7" ht="15.75" customHeight="1">
      <c r="F316" s="11"/>
      <c r="G316" s="11"/>
    </row>
    <row r="317" spans="6:7" ht="15.75" customHeight="1">
      <c r="F317" s="11"/>
      <c r="G317" s="11"/>
    </row>
    <row r="318" spans="6:7" ht="15.75" customHeight="1">
      <c r="F318" s="11"/>
      <c r="G318" s="11"/>
    </row>
    <row r="319" spans="6:7" ht="15.75" customHeight="1">
      <c r="F319" s="11"/>
      <c r="G319" s="11"/>
    </row>
    <row r="320" spans="6:7" ht="15.75" customHeight="1">
      <c r="F320" s="11"/>
      <c r="G320" s="11"/>
    </row>
    <row r="321" spans="6:7" ht="15.75" customHeight="1">
      <c r="F321" s="11"/>
      <c r="G321" s="11"/>
    </row>
    <row r="322" spans="6:7" ht="15.75" customHeight="1">
      <c r="F322" s="11"/>
      <c r="G322" s="11"/>
    </row>
    <row r="323" spans="6:7" ht="15.75" customHeight="1">
      <c r="F323" s="11"/>
      <c r="G323" s="11"/>
    </row>
    <row r="324" spans="6:7" ht="15.75" customHeight="1">
      <c r="F324" s="11"/>
      <c r="G324" s="11"/>
    </row>
    <row r="325" spans="6:7" ht="15.75" customHeight="1">
      <c r="F325" s="11"/>
      <c r="G325" s="11"/>
    </row>
    <row r="326" spans="6:7" ht="15.75" customHeight="1">
      <c r="F326" s="11"/>
      <c r="G326" s="11"/>
    </row>
    <row r="327" spans="6:7" ht="15.75" customHeight="1">
      <c r="F327" s="11"/>
      <c r="G327" s="11"/>
    </row>
    <row r="328" spans="6:7" ht="15.75" customHeight="1">
      <c r="F328" s="11"/>
      <c r="G328" s="11"/>
    </row>
    <row r="329" spans="6:7" ht="15.75" customHeight="1">
      <c r="F329" s="11"/>
      <c r="G329" s="11"/>
    </row>
    <row r="330" spans="6:7" ht="15.75" customHeight="1">
      <c r="F330" s="11"/>
      <c r="G330" s="11"/>
    </row>
    <row r="331" spans="6:7" ht="15.75" customHeight="1">
      <c r="F331" s="11"/>
      <c r="G331" s="11"/>
    </row>
    <row r="332" spans="6:7" ht="15.75" customHeight="1">
      <c r="F332" s="11"/>
      <c r="G332" s="11"/>
    </row>
    <row r="333" spans="6:7" ht="15.75" customHeight="1">
      <c r="F333" s="11"/>
      <c r="G333" s="11"/>
    </row>
    <row r="334" spans="6:7" ht="15.75" customHeight="1">
      <c r="F334" s="11"/>
      <c r="G334" s="11"/>
    </row>
    <row r="335" spans="6:7" ht="15.75" customHeight="1">
      <c r="F335" s="11"/>
      <c r="G335" s="11"/>
    </row>
    <row r="336" spans="6:7" ht="15.75" customHeight="1">
      <c r="F336" s="11"/>
      <c r="G336" s="11"/>
    </row>
    <row r="337" spans="6:7" ht="15.75" customHeight="1">
      <c r="F337" s="11"/>
      <c r="G337" s="11"/>
    </row>
    <row r="338" spans="6:7" ht="15.75" customHeight="1">
      <c r="F338" s="11"/>
      <c r="G338" s="11"/>
    </row>
    <row r="339" spans="6:7" ht="15.75" customHeight="1">
      <c r="F339" s="11"/>
      <c r="G339" s="11"/>
    </row>
    <row r="340" spans="6:7" ht="15.75" customHeight="1">
      <c r="F340" s="11"/>
      <c r="G340" s="11"/>
    </row>
    <row r="341" spans="6:7" ht="15.75" customHeight="1">
      <c r="F341" s="11"/>
      <c r="G341" s="11"/>
    </row>
    <row r="342" spans="6:7" ht="15.75" customHeight="1">
      <c r="F342" s="11"/>
      <c r="G342" s="11"/>
    </row>
    <row r="343" spans="6:7" ht="15.75" customHeight="1">
      <c r="F343" s="11"/>
      <c r="G343" s="11"/>
    </row>
    <row r="344" spans="6:7" ht="15.75" customHeight="1">
      <c r="F344" s="11"/>
      <c r="G344" s="11"/>
    </row>
    <row r="345" spans="6:7" ht="15.75" customHeight="1">
      <c r="F345" s="11"/>
      <c r="G345" s="11"/>
    </row>
    <row r="346" spans="6:7" ht="15.75" customHeight="1">
      <c r="F346" s="11"/>
      <c r="G346" s="11"/>
    </row>
    <row r="347" spans="6:7" ht="15.75" customHeight="1">
      <c r="F347" s="11"/>
      <c r="G347" s="11"/>
    </row>
    <row r="348" spans="6:7" ht="15.75" customHeight="1">
      <c r="F348" s="11"/>
      <c r="G348" s="11"/>
    </row>
    <row r="349" spans="6:7" ht="15.75" customHeight="1">
      <c r="F349" s="11"/>
      <c r="G349" s="11"/>
    </row>
    <row r="350" spans="6:7" ht="15.75" customHeight="1">
      <c r="F350" s="11"/>
      <c r="G350" s="11"/>
    </row>
    <row r="351" spans="6:7" ht="15.75" customHeight="1">
      <c r="F351" s="11"/>
      <c r="G351" s="11"/>
    </row>
    <row r="352" spans="6:7" ht="15.75" customHeight="1">
      <c r="F352" s="11"/>
      <c r="G352" s="11"/>
    </row>
    <row r="353" spans="6:7" ht="15.75" customHeight="1">
      <c r="F353" s="11"/>
      <c r="G353" s="11"/>
    </row>
    <row r="354" spans="6:7" ht="15.75" customHeight="1">
      <c r="F354" s="11"/>
      <c r="G354" s="11"/>
    </row>
    <row r="355" spans="6:7" ht="15.75" customHeight="1">
      <c r="F355" s="11"/>
      <c r="G355" s="11"/>
    </row>
    <row r="356" spans="6:7" ht="15.75" customHeight="1">
      <c r="F356" s="11"/>
      <c r="G356" s="11"/>
    </row>
    <row r="357" spans="6:7" ht="15.75" customHeight="1">
      <c r="F357" s="11"/>
      <c r="G357" s="11"/>
    </row>
    <row r="358" spans="6:7" ht="15.75" customHeight="1">
      <c r="F358" s="11"/>
      <c r="G358" s="11"/>
    </row>
    <row r="359" spans="6:7" ht="15.75" customHeight="1">
      <c r="F359" s="11"/>
      <c r="G359" s="11"/>
    </row>
    <row r="360" spans="6:7" ht="15.75" customHeight="1">
      <c r="F360" s="11"/>
      <c r="G360" s="11"/>
    </row>
    <row r="361" spans="6:7" ht="15.75" customHeight="1">
      <c r="F361" s="11"/>
      <c r="G361" s="11"/>
    </row>
    <row r="362" spans="6:7" ht="15.75" customHeight="1">
      <c r="F362" s="11"/>
      <c r="G362" s="11"/>
    </row>
    <row r="363" spans="6:7" ht="15.75" customHeight="1">
      <c r="F363" s="11"/>
      <c r="G363" s="11"/>
    </row>
    <row r="364" spans="6:7" ht="15.75" customHeight="1">
      <c r="F364" s="11"/>
      <c r="G364" s="11"/>
    </row>
    <row r="365" spans="6:7" ht="15.75" customHeight="1">
      <c r="F365" s="11"/>
      <c r="G365" s="11"/>
    </row>
    <row r="366" spans="6:7" ht="15.75" customHeight="1">
      <c r="F366" s="11"/>
      <c r="G366" s="11"/>
    </row>
    <row r="367" spans="6:7" ht="15.75" customHeight="1">
      <c r="F367" s="11"/>
      <c r="G367" s="11"/>
    </row>
    <row r="368" spans="6:7" ht="15.75" customHeight="1">
      <c r="F368" s="11"/>
      <c r="G368" s="11"/>
    </row>
    <row r="369" spans="6:7" ht="15.75" customHeight="1">
      <c r="F369" s="11"/>
      <c r="G369" s="11"/>
    </row>
    <row r="370" spans="6:7" ht="15.75" customHeight="1">
      <c r="F370" s="11"/>
      <c r="G370" s="11"/>
    </row>
    <row r="371" spans="6:7" ht="15.75" customHeight="1">
      <c r="F371" s="11"/>
      <c r="G371" s="11"/>
    </row>
    <row r="372" spans="6:7" ht="15.75" customHeight="1">
      <c r="F372" s="11"/>
      <c r="G372" s="11"/>
    </row>
    <row r="373" spans="6:7" ht="15.75" customHeight="1">
      <c r="F373" s="11"/>
      <c r="G373" s="11"/>
    </row>
    <row r="374" spans="6:7" ht="15.75" customHeight="1">
      <c r="F374" s="11"/>
      <c r="G374" s="11"/>
    </row>
    <row r="375" spans="6:7" ht="15.75" customHeight="1">
      <c r="F375" s="11"/>
      <c r="G375" s="11"/>
    </row>
    <row r="376" spans="6:7" ht="15.75" customHeight="1">
      <c r="F376" s="11"/>
      <c r="G376" s="11"/>
    </row>
    <row r="377" spans="6:7" ht="15.75" customHeight="1">
      <c r="F377" s="11"/>
      <c r="G377" s="11"/>
    </row>
    <row r="378" spans="6:7" ht="15.75" customHeight="1">
      <c r="F378" s="11"/>
      <c r="G378" s="11"/>
    </row>
    <row r="379" spans="6:7" ht="15.75" customHeight="1">
      <c r="F379" s="11"/>
      <c r="G379" s="11"/>
    </row>
    <row r="380" spans="6:7" ht="15.75" customHeight="1">
      <c r="F380" s="11"/>
      <c r="G380" s="11"/>
    </row>
    <row r="381" spans="6:7" ht="15.75" customHeight="1">
      <c r="F381" s="11"/>
      <c r="G381" s="11"/>
    </row>
    <row r="382" spans="6:7" ht="15.75" customHeight="1">
      <c r="F382" s="11"/>
      <c r="G382" s="11"/>
    </row>
    <row r="383" spans="6:7" ht="15.75" customHeight="1">
      <c r="F383" s="11"/>
      <c r="G383" s="11"/>
    </row>
    <row r="384" spans="6:7" ht="15.75" customHeight="1">
      <c r="F384" s="11"/>
      <c r="G384" s="11"/>
    </row>
    <row r="385" spans="6:7" ht="15.75" customHeight="1">
      <c r="F385" s="11"/>
      <c r="G385" s="11"/>
    </row>
    <row r="386" spans="6:7" ht="15.75" customHeight="1">
      <c r="F386" s="11"/>
      <c r="G386" s="11"/>
    </row>
    <row r="387" spans="6:7" ht="15.75" customHeight="1">
      <c r="F387" s="11"/>
      <c r="G387" s="11"/>
    </row>
    <row r="388" spans="6:7" ht="15.75" customHeight="1">
      <c r="F388" s="11"/>
      <c r="G388" s="11"/>
    </row>
    <row r="389" spans="6:7" ht="15.75" customHeight="1">
      <c r="F389" s="11"/>
      <c r="G389" s="11"/>
    </row>
    <row r="390" spans="6:7" ht="15.75" customHeight="1">
      <c r="F390" s="11"/>
      <c r="G390" s="11"/>
    </row>
    <row r="391" spans="6:7" ht="15.75" customHeight="1">
      <c r="F391" s="11"/>
      <c r="G391" s="11"/>
    </row>
    <row r="392" spans="6:7" ht="15.75" customHeight="1">
      <c r="F392" s="11"/>
      <c r="G392" s="11"/>
    </row>
    <row r="393" spans="6:7" ht="15.75" customHeight="1">
      <c r="F393" s="11"/>
      <c r="G393" s="11"/>
    </row>
    <row r="394" spans="6:7" ht="15.75" customHeight="1">
      <c r="F394" s="11"/>
      <c r="G394" s="11"/>
    </row>
    <row r="395" spans="6:7" ht="15.75" customHeight="1">
      <c r="F395" s="11"/>
      <c r="G395" s="11"/>
    </row>
    <row r="396" spans="6:7" ht="15.75" customHeight="1">
      <c r="F396" s="11"/>
      <c r="G396" s="11"/>
    </row>
    <row r="397" spans="6:7" ht="15.75" customHeight="1">
      <c r="F397" s="11"/>
      <c r="G397" s="11"/>
    </row>
    <row r="398" spans="6:7" ht="15.75" customHeight="1">
      <c r="F398" s="11"/>
      <c r="G398" s="11"/>
    </row>
    <row r="399" spans="6:7" ht="15.75" customHeight="1">
      <c r="F399" s="11"/>
      <c r="G399" s="11"/>
    </row>
    <row r="400" spans="6:7" ht="15.75" customHeight="1">
      <c r="F400" s="11"/>
      <c r="G400" s="11"/>
    </row>
    <row r="401" spans="6:7" ht="15.75" customHeight="1">
      <c r="F401" s="11"/>
      <c r="G401" s="11"/>
    </row>
    <row r="402" spans="6:7" ht="15.75" customHeight="1">
      <c r="F402" s="11"/>
      <c r="G402" s="11"/>
    </row>
    <row r="403" spans="6:7" ht="15.75" customHeight="1">
      <c r="F403" s="11"/>
      <c r="G403" s="11"/>
    </row>
    <row r="404" spans="6:7" ht="15.75" customHeight="1">
      <c r="F404" s="11"/>
      <c r="G404" s="11"/>
    </row>
    <row r="405" spans="6:7" ht="15.75" customHeight="1">
      <c r="F405" s="11"/>
      <c r="G405" s="11"/>
    </row>
    <row r="406" spans="6:7" ht="15.75" customHeight="1">
      <c r="F406" s="11"/>
      <c r="G406" s="11"/>
    </row>
    <row r="407" spans="6:7" ht="15.75" customHeight="1">
      <c r="F407" s="11"/>
      <c r="G407" s="11"/>
    </row>
    <row r="408" spans="6:7" ht="15.75" customHeight="1">
      <c r="F408" s="11"/>
      <c r="G408" s="11"/>
    </row>
    <row r="409" spans="6:7" ht="15.75" customHeight="1">
      <c r="F409" s="11"/>
      <c r="G409" s="11"/>
    </row>
    <row r="410" spans="6:7" ht="15.75" customHeight="1">
      <c r="F410" s="11"/>
      <c r="G410" s="11"/>
    </row>
    <row r="411" spans="6:7" ht="15.75" customHeight="1">
      <c r="F411" s="11"/>
      <c r="G411" s="11"/>
    </row>
    <row r="412" spans="6:7" ht="15.75" customHeight="1">
      <c r="F412" s="11"/>
      <c r="G412" s="11"/>
    </row>
    <row r="413" spans="6:7" ht="15.75" customHeight="1">
      <c r="F413" s="11"/>
      <c r="G413" s="11"/>
    </row>
    <row r="414" spans="6:7" ht="15.75" customHeight="1">
      <c r="F414" s="11"/>
      <c r="G414" s="11"/>
    </row>
    <row r="415" spans="6:7" ht="15.75" customHeight="1">
      <c r="F415" s="11"/>
      <c r="G415" s="11"/>
    </row>
    <row r="416" spans="6:7" ht="15.75" customHeight="1">
      <c r="F416" s="11"/>
      <c r="G416" s="11"/>
    </row>
    <row r="417" spans="6:7" ht="15.75" customHeight="1">
      <c r="F417" s="11"/>
      <c r="G417" s="11"/>
    </row>
    <row r="418" spans="6:7" ht="15.75" customHeight="1">
      <c r="F418" s="11"/>
      <c r="G418" s="11"/>
    </row>
    <row r="419" spans="6:7" ht="15.75" customHeight="1">
      <c r="F419" s="11"/>
      <c r="G419" s="11"/>
    </row>
    <row r="420" spans="6:7" ht="15.75" customHeight="1">
      <c r="F420" s="11"/>
      <c r="G420" s="11"/>
    </row>
    <row r="421" spans="6:7" ht="15.75" customHeight="1">
      <c r="F421" s="11"/>
      <c r="G421" s="11"/>
    </row>
    <row r="422" spans="6:7" ht="15.75" customHeight="1">
      <c r="F422" s="11"/>
      <c r="G422" s="11"/>
    </row>
    <row r="423" spans="6:7" ht="15.75" customHeight="1">
      <c r="F423" s="11"/>
      <c r="G423" s="11"/>
    </row>
    <row r="424" spans="6:7" ht="15.75" customHeight="1">
      <c r="F424" s="11"/>
      <c r="G424" s="11"/>
    </row>
    <row r="425" spans="6:7" ht="15.75" customHeight="1">
      <c r="F425" s="11"/>
      <c r="G425" s="11"/>
    </row>
    <row r="426" spans="6:7" ht="15.75" customHeight="1">
      <c r="F426" s="11"/>
      <c r="G426" s="11"/>
    </row>
    <row r="427" spans="6:7" ht="15.75" customHeight="1">
      <c r="F427" s="11"/>
      <c r="G427" s="11"/>
    </row>
    <row r="428" spans="6:7" ht="15.75" customHeight="1">
      <c r="F428" s="11"/>
      <c r="G428" s="11"/>
    </row>
    <row r="429" spans="6:7" ht="15.75" customHeight="1">
      <c r="F429" s="11"/>
      <c r="G429" s="11"/>
    </row>
    <row r="430" spans="6:7" ht="15.75" customHeight="1">
      <c r="F430" s="11"/>
      <c r="G430" s="11"/>
    </row>
    <row r="431" spans="6:7" ht="15.75" customHeight="1">
      <c r="F431" s="11"/>
      <c r="G431" s="11"/>
    </row>
    <row r="432" spans="6:7" ht="15.75" customHeight="1">
      <c r="F432" s="11"/>
      <c r="G432" s="11"/>
    </row>
    <row r="433" spans="6:7" ht="15.75" customHeight="1">
      <c r="F433" s="11"/>
      <c r="G433" s="11"/>
    </row>
    <row r="434" spans="6:7" ht="15.75" customHeight="1">
      <c r="F434" s="11"/>
      <c r="G434" s="11"/>
    </row>
    <row r="435" spans="6:7" ht="15.75" customHeight="1">
      <c r="F435" s="11"/>
      <c r="G435" s="11"/>
    </row>
    <row r="436" spans="6:7" ht="15.75" customHeight="1">
      <c r="F436" s="11"/>
      <c r="G436" s="11"/>
    </row>
    <row r="437" spans="6:7" ht="15.75" customHeight="1">
      <c r="F437" s="11"/>
      <c r="G437" s="11"/>
    </row>
    <row r="438" spans="6:7" ht="15.75" customHeight="1">
      <c r="F438" s="11"/>
      <c r="G438" s="11"/>
    </row>
    <row r="439" spans="6:7" ht="15.75" customHeight="1">
      <c r="F439" s="11"/>
      <c r="G439" s="11"/>
    </row>
    <row r="440" spans="6:7" ht="15.75" customHeight="1">
      <c r="F440" s="11"/>
      <c r="G440" s="11"/>
    </row>
    <row r="441" spans="6:7" ht="15.75" customHeight="1">
      <c r="F441" s="11"/>
      <c r="G441" s="11"/>
    </row>
    <row r="442" spans="6:7" ht="15.75" customHeight="1">
      <c r="F442" s="11"/>
      <c r="G442" s="11"/>
    </row>
    <row r="443" spans="6:7" ht="15.75" customHeight="1">
      <c r="F443" s="11"/>
      <c r="G443" s="11"/>
    </row>
    <row r="444" spans="6:7" ht="15.75" customHeight="1">
      <c r="F444" s="11"/>
      <c r="G444" s="11"/>
    </row>
    <row r="445" spans="6:7" ht="15.75" customHeight="1">
      <c r="F445" s="11"/>
      <c r="G445" s="11"/>
    </row>
    <row r="446" spans="6:7" ht="15.75" customHeight="1">
      <c r="F446" s="11"/>
      <c r="G446" s="11"/>
    </row>
    <row r="447" spans="6:7" ht="15.75" customHeight="1">
      <c r="F447" s="11"/>
      <c r="G447" s="11"/>
    </row>
    <row r="448" spans="6:7" ht="15.75" customHeight="1">
      <c r="F448" s="11"/>
      <c r="G448" s="11"/>
    </row>
    <row r="449" spans="6:7" ht="15.75" customHeight="1">
      <c r="F449" s="11"/>
      <c r="G449" s="11"/>
    </row>
    <row r="450" spans="6:7" ht="15.75" customHeight="1">
      <c r="F450" s="11"/>
      <c r="G450" s="11"/>
    </row>
    <row r="451" spans="6:7" ht="15.75" customHeight="1">
      <c r="F451" s="11"/>
      <c r="G451" s="11"/>
    </row>
    <row r="452" spans="6:7" ht="15.75" customHeight="1">
      <c r="F452" s="11"/>
      <c r="G452" s="11"/>
    </row>
    <row r="453" spans="6:7" ht="15.75" customHeight="1">
      <c r="F453" s="11"/>
      <c r="G453" s="11"/>
    </row>
    <row r="454" spans="6:7" ht="15.75" customHeight="1">
      <c r="F454" s="11"/>
      <c r="G454" s="11"/>
    </row>
    <row r="455" spans="6:7" ht="15.75" customHeight="1">
      <c r="F455" s="11"/>
      <c r="G455" s="11"/>
    </row>
    <row r="456" spans="6:7" ht="15.75" customHeight="1">
      <c r="F456" s="11"/>
      <c r="G456" s="11"/>
    </row>
    <row r="457" spans="6:7" ht="15.75" customHeight="1">
      <c r="F457" s="11"/>
      <c r="G457" s="11"/>
    </row>
    <row r="458" spans="6:7" ht="15.75" customHeight="1">
      <c r="F458" s="11"/>
      <c r="G458" s="11"/>
    </row>
    <row r="459" spans="6:7" ht="15.75" customHeight="1">
      <c r="F459" s="11"/>
      <c r="G459" s="11"/>
    </row>
    <row r="460" spans="6:7" ht="15.75" customHeight="1">
      <c r="F460" s="11"/>
      <c r="G460" s="11"/>
    </row>
    <row r="461" spans="6:7" ht="15.75" customHeight="1">
      <c r="F461" s="11"/>
      <c r="G461" s="11"/>
    </row>
    <row r="462" spans="6:7" ht="15.75" customHeight="1">
      <c r="F462" s="11"/>
      <c r="G462" s="11"/>
    </row>
    <row r="463" spans="6:7" ht="15.75" customHeight="1">
      <c r="F463" s="11"/>
      <c r="G463" s="11"/>
    </row>
    <row r="464" spans="6:7" ht="15.75" customHeight="1">
      <c r="F464" s="11"/>
      <c r="G464" s="11"/>
    </row>
    <row r="465" spans="6:7" ht="15.75" customHeight="1">
      <c r="F465" s="11"/>
      <c r="G465" s="11"/>
    </row>
    <row r="466" spans="6:7" ht="15.75" customHeight="1">
      <c r="F466" s="11"/>
      <c r="G466" s="11"/>
    </row>
    <row r="467" spans="6:7" ht="15.75" customHeight="1">
      <c r="F467" s="11"/>
      <c r="G467" s="11"/>
    </row>
    <row r="468" spans="6:7" ht="15.75" customHeight="1">
      <c r="F468" s="11"/>
      <c r="G468" s="11"/>
    </row>
    <row r="469" spans="6:7" ht="15.75" customHeight="1">
      <c r="F469" s="11"/>
      <c r="G469" s="11"/>
    </row>
    <row r="470" spans="6:7" ht="15.75" customHeight="1">
      <c r="F470" s="11"/>
      <c r="G470" s="11"/>
    </row>
    <row r="471" spans="6:7" ht="15.75" customHeight="1">
      <c r="F471" s="11"/>
      <c r="G471" s="11"/>
    </row>
    <row r="472" spans="6:7" ht="15.75" customHeight="1">
      <c r="F472" s="11"/>
      <c r="G472" s="11"/>
    </row>
    <row r="473" spans="6:7" ht="15.75" customHeight="1">
      <c r="F473" s="11"/>
      <c r="G473" s="11"/>
    </row>
    <row r="474" spans="6:7" ht="15.75" customHeight="1">
      <c r="F474" s="11"/>
      <c r="G474" s="11"/>
    </row>
    <row r="475" spans="6:7" ht="15.75" customHeight="1">
      <c r="F475" s="11"/>
      <c r="G475" s="11"/>
    </row>
    <row r="476" spans="6:7" ht="15.75" customHeight="1">
      <c r="F476" s="11"/>
      <c r="G476" s="11"/>
    </row>
    <row r="477" spans="6:7" ht="15.75" customHeight="1">
      <c r="F477" s="11"/>
      <c r="G477" s="11"/>
    </row>
    <row r="478" spans="6:7" ht="15.75" customHeight="1">
      <c r="F478" s="11"/>
      <c r="G478" s="11"/>
    </row>
    <row r="479" spans="6:7" ht="15.75" customHeight="1">
      <c r="F479" s="11"/>
      <c r="G479" s="11"/>
    </row>
    <row r="480" spans="6:7" ht="15.75" customHeight="1">
      <c r="F480" s="11"/>
      <c r="G480" s="11"/>
    </row>
    <row r="481" spans="6:7" ht="15.75" customHeight="1">
      <c r="F481" s="11"/>
      <c r="G481" s="11"/>
    </row>
    <row r="482" spans="6:7" ht="15.75" customHeight="1">
      <c r="F482" s="11"/>
      <c r="G482" s="11"/>
    </row>
    <row r="483" spans="6:7" ht="15.75" customHeight="1">
      <c r="F483" s="11"/>
      <c r="G483" s="11"/>
    </row>
    <row r="484" spans="6:7" ht="15.75" customHeight="1">
      <c r="F484" s="11"/>
      <c r="G484" s="11"/>
    </row>
    <row r="485" spans="6:7" ht="15.75" customHeight="1">
      <c r="F485" s="11"/>
      <c r="G485" s="11"/>
    </row>
    <row r="486" spans="6:7" ht="15.75" customHeight="1">
      <c r="F486" s="11"/>
      <c r="G486" s="11"/>
    </row>
    <row r="487" spans="6:7" ht="15.75" customHeight="1">
      <c r="F487" s="11"/>
      <c r="G487" s="11"/>
    </row>
    <row r="488" spans="6:7" ht="15.75" customHeight="1">
      <c r="F488" s="11"/>
      <c r="G488" s="11"/>
    </row>
    <row r="489" spans="6:7" ht="15.75" customHeight="1">
      <c r="F489" s="11"/>
      <c r="G489" s="11"/>
    </row>
    <row r="490" spans="6:7" ht="15.75" customHeight="1">
      <c r="F490" s="11"/>
      <c r="G490" s="11"/>
    </row>
    <row r="491" spans="6:7" ht="15.75" customHeight="1">
      <c r="F491" s="11"/>
      <c r="G491" s="11"/>
    </row>
    <row r="492" spans="6:7" ht="15.75" customHeight="1">
      <c r="F492" s="11"/>
      <c r="G492" s="11"/>
    </row>
    <row r="493" spans="6:7" ht="15.75" customHeight="1">
      <c r="F493" s="11"/>
      <c r="G493" s="11"/>
    </row>
    <row r="494" spans="6:7" ht="15.75" customHeight="1">
      <c r="F494" s="11"/>
      <c r="G494" s="11"/>
    </row>
    <row r="495" spans="6:7" ht="15.75" customHeight="1">
      <c r="F495" s="11"/>
      <c r="G495" s="11"/>
    </row>
    <row r="496" spans="6:7" ht="15.75" customHeight="1">
      <c r="F496" s="11"/>
      <c r="G496" s="11"/>
    </row>
    <row r="497" spans="6:7" ht="15.75" customHeight="1">
      <c r="F497" s="11"/>
      <c r="G497" s="11"/>
    </row>
    <row r="498" spans="6:7" ht="15.75" customHeight="1">
      <c r="F498" s="11"/>
      <c r="G498" s="11"/>
    </row>
    <row r="499" spans="6:7" ht="15.75" customHeight="1">
      <c r="F499" s="11"/>
      <c r="G499" s="11"/>
    </row>
    <row r="500" spans="6:7" ht="15.75" customHeight="1">
      <c r="F500" s="11"/>
      <c r="G500" s="11"/>
    </row>
    <row r="501" spans="6:7" ht="15.75" customHeight="1">
      <c r="F501" s="11"/>
      <c r="G501" s="11"/>
    </row>
    <row r="502" spans="6:7" ht="15.75" customHeight="1">
      <c r="F502" s="11"/>
      <c r="G502" s="11"/>
    </row>
    <row r="503" spans="6:7" ht="15.75" customHeight="1">
      <c r="F503" s="11"/>
      <c r="G503" s="11"/>
    </row>
    <row r="504" spans="6:7" ht="15.75" customHeight="1">
      <c r="F504" s="11"/>
      <c r="G504" s="11"/>
    </row>
    <row r="505" spans="6:7" ht="15.75" customHeight="1">
      <c r="F505" s="11"/>
      <c r="G505" s="11"/>
    </row>
    <row r="506" spans="6:7" ht="15.75" customHeight="1">
      <c r="F506" s="11"/>
      <c r="G506" s="11"/>
    </row>
    <row r="507" spans="6:7" ht="15.75" customHeight="1">
      <c r="F507" s="11"/>
      <c r="G507" s="11"/>
    </row>
    <row r="508" spans="6:7" ht="15.75" customHeight="1">
      <c r="F508" s="11"/>
      <c r="G508" s="11"/>
    </row>
    <row r="509" spans="6:7" ht="15.75" customHeight="1">
      <c r="F509" s="11"/>
      <c r="G509" s="11"/>
    </row>
    <row r="510" spans="6:7" ht="15.75" customHeight="1">
      <c r="F510" s="11"/>
      <c r="G510" s="11"/>
    </row>
    <row r="511" spans="6:7" ht="15.75" customHeight="1">
      <c r="F511" s="11"/>
      <c r="G511" s="11"/>
    </row>
    <row r="512" spans="6:7" ht="15.75" customHeight="1">
      <c r="F512" s="11"/>
      <c r="G512" s="11"/>
    </row>
    <row r="513" spans="6:7" ht="15.75" customHeight="1">
      <c r="F513" s="11"/>
      <c r="G513" s="11"/>
    </row>
    <row r="514" spans="6:7" ht="15.75" customHeight="1">
      <c r="F514" s="11"/>
      <c r="G514" s="11"/>
    </row>
    <row r="515" spans="6:7" ht="15.75" customHeight="1">
      <c r="F515" s="11"/>
      <c r="G515" s="11"/>
    </row>
    <row r="516" spans="6:7" ht="15.75" customHeight="1">
      <c r="F516" s="11"/>
      <c r="G516" s="11"/>
    </row>
    <row r="517" spans="6:7" ht="15.75" customHeight="1">
      <c r="F517" s="11"/>
      <c r="G517" s="11"/>
    </row>
    <row r="518" spans="6:7" ht="15.75" customHeight="1">
      <c r="F518" s="11"/>
      <c r="G518" s="11"/>
    </row>
    <row r="519" spans="6:7" ht="15.75" customHeight="1">
      <c r="F519" s="11"/>
      <c r="G519" s="11"/>
    </row>
    <row r="520" spans="6:7" ht="15.75" customHeight="1">
      <c r="F520" s="11"/>
      <c r="G520" s="11"/>
    </row>
    <row r="521" spans="6:7" ht="15.75" customHeight="1">
      <c r="F521" s="11"/>
      <c r="G521" s="11"/>
    </row>
    <row r="522" spans="6:7" ht="15.75" customHeight="1">
      <c r="F522" s="11"/>
      <c r="G522" s="11"/>
    </row>
    <row r="523" spans="6:7" ht="15.75" customHeight="1">
      <c r="F523" s="11"/>
      <c r="G523" s="11"/>
    </row>
    <row r="524" spans="6:7" ht="15.75" customHeight="1">
      <c r="F524" s="11"/>
      <c r="G524" s="11"/>
    </row>
    <row r="525" spans="6:7" ht="15.75" customHeight="1">
      <c r="F525" s="11"/>
      <c r="G525" s="11"/>
    </row>
    <row r="526" spans="6:7" ht="15.75" customHeight="1">
      <c r="F526" s="11"/>
      <c r="G526" s="11"/>
    </row>
    <row r="527" spans="6:7" ht="15.75" customHeight="1">
      <c r="F527" s="11"/>
      <c r="G527" s="11"/>
    </row>
    <row r="528" spans="6:7" ht="15.75" customHeight="1">
      <c r="F528" s="11"/>
      <c r="G528" s="11"/>
    </row>
    <row r="529" spans="6:7" ht="15.75" customHeight="1">
      <c r="F529" s="11"/>
      <c r="G529" s="11"/>
    </row>
    <row r="530" spans="6:7" ht="15.75" customHeight="1">
      <c r="F530" s="11"/>
      <c r="G530" s="11"/>
    </row>
    <row r="531" spans="6:7" ht="15.75" customHeight="1">
      <c r="F531" s="11"/>
      <c r="G531" s="11"/>
    </row>
    <row r="532" spans="6:7" ht="15.75" customHeight="1">
      <c r="F532" s="11"/>
      <c r="G532" s="11"/>
    </row>
    <row r="533" spans="6:7" ht="15.75" customHeight="1">
      <c r="F533" s="11"/>
      <c r="G533" s="11"/>
    </row>
    <row r="534" spans="6:7" ht="15.75" customHeight="1">
      <c r="F534" s="11"/>
      <c r="G534" s="11"/>
    </row>
    <row r="535" spans="6:7" ht="15.75" customHeight="1">
      <c r="F535" s="11"/>
      <c r="G535" s="11"/>
    </row>
    <row r="536" spans="6:7" ht="15.75" customHeight="1">
      <c r="F536" s="11"/>
      <c r="G536" s="11"/>
    </row>
    <row r="537" spans="6:7" ht="15.75" customHeight="1">
      <c r="F537" s="11"/>
      <c r="G537" s="11"/>
    </row>
    <row r="538" spans="6:7" ht="15.75" customHeight="1">
      <c r="F538" s="11"/>
      <c r="G538" s="11"/>
    </row>
    <row r="539" spans="6:7" ht="15.75" customHeight="1">
      <c r="F539" s="11"/>
      <c r="G539" s="11"/>
    </row>
    <row r="540" spans="6:7" ht="15.75" customHeight="1">
      <c r="F540" s="11"/>
      <c r="G540" s="11"/>
    </row>
    <row r="541" spans="6:7" ht="15.75" customHeight="1">
      <c r="F541" s="11"/>
      <c r="G541" s="11"/>
    </row>
    <row r="542" spans="6:7" ht="15.75" customHeight="1">
      <c r="F542" s="11"/>
      <c r="G542" s="11"/>
    </row>
    <row r="543" spans="6:7" ht="15.75" customHeight="1">
      <c r="F543" s="11"/>
      <c r="G543" s="11"/>
    </row>
    <row r="544" spans="6:7" ht="15.75" customHeight="1">
      <c r="F544" s="11"/>
      <c r="G544" s="11"/>
    </row>
    <row r="545" spans="6:7" ht="15.75" customHeight="1">
      <c r="F545" s="11"/>
      <c r="G545" s="11"/>
    </row>
    <row r="546" spans="6:7" ht="15.75" customHeight="1">
      <c r="F546" s="11"/>
      <c r="G546" s="11"/>
    </row>
    <row r="547" spans="6:7" ht="15.75" customHeight="1">
      <c r="F547" s="11"/>
      <c r="G547" s="11"/>
    </row>
    <row r="548" spans="6:7" ht="15.75" customHeight="1">
      <c r="F548" s="11"/>
      <c r="G548" s="11"/>
    </row>
    <row r="549" spans="6:7" ht="15.75" customHeight="1">
      <c r="F549" s="11"/>
      <c r="G549" s="11"/>
    </row>
    <row r="550" spans="6:7" ht="15.75" customHeight="1">
      <c r="F550" s="11"/>
      <c r="G550" s="11"/>
    </row>
    <row r="551" spans="6:7" ht="15.75" customHeight="1">
      <c r="F551" s="11"/>
      <c r="G551" s="11"/>
    </row>
    <row r="552" spans="6:7" ht="15.75" customHeight="1">
      <c r="F552" s="11"/>
      <c r="G552" s="11"/>
    </row>
    <row r="553" spans="6:7" ht="15.75" customHeight="1">
      <c r="F553" s="11"/>
      <c r="G553" s="11"/>
    </row>
    <row r="554" spans="6:7" ht="15.75" customHeight="1">
      <c r="F554" s="11"/>
      <c r="G554" s="11"/>
    </row>
    <row r="555" spans="6:7" ht="15.75" customHeight="1">
      <c r="F555" s="11"/>
      <c r="G555" s="11"/>
    </row>
    <row r="556" spans="6:7" ht="15.75" customHeight="1">
      <c r="F556" s="11"/>
      <c r="G556" s="11"/>
    </row>
    <row r="557" spans="6:7" ht="15.75" customHeight="1">
      <c r="F557" s="11"/>
      <c r="G557" s="11"/>
    </row>
    <row r="558" spans="6:7" ht="15.75" customHeight="1">
      <c r="F558" s="11"/>
      <c r="G558" s="11"/>
    </row>
    <row r="559" spans="6:7" ht="15.75" customHeight="1">
      <c r="F559" s="11"/>
      <c r="G559" s="11"/>
    </row>
    <row r="560" spans="6:7" ht="15.75" customHeight="1">
      <c r="F560" s="11"/>
      <c r="G560" s="11"/>
    </row>
    <row r="561" spans="6:7" ht="15.75" customHeight="1">
      <c r="F561" s="11"/>
      <c r="G561" s="11"/>
    </row>
    <row r="562" spans="6:7" ht="15.75" customHeight="1">
      <c r="F562" s="11"/>
      <c r="G562" s="11"/>
    </row>
    <row r="563" spans="6:7" ht="15.75" customHeight="1">
      <c r="F563" s="11"/>
      <c r="G563" s="11"/>
    </row>
    <row r="564" spans="6:7" ht="15.75" customHeight="1">
      <c r="F564" s="11"/>
      <c r="G564" s="11"/>
    </row>
    <row r="565" spans="6:7" ht="15.75" customHeight="1">
      <c r="F565" s="11"/>
      <c r="G565" s="11"/>
    </row>
    <row r="566" spans="6:7" ht="15.75" customHeight="1">
      <c r="F566" s="11"/>
      <c r="G566" s="11"/>
    </row>
    <row r="567" spans="6:7" ht="15.75" customHeight="1">
      <c r="F567" s="11"/>
      <c r="G567" s="11"/>
    </row>
    <row r="568" spans="6:7" ht="15.75" customHeight="1">
      <c r="F568" s="11"/>
      <c r="G568" s="11"/>
    </row>
    <row r="569" spans="6:7" ht="15.75" customHeight="1">
      <c r="F569" s="11"/>
      <c r="G569" s="11"/>
    </row>
    <row r="570" spans="6:7" ht="15.75" customHeight="1">
      <c r="F570" s="11"/>
      <c r="G570" s="11"/>
    </row>
    <row r="571" spans="6:7" ht="15.75" customHeight="1">
      <c r="F571" s="11"/>
      <c r="G571" s="11"/>
    </row>
    <row r="572" spans="6:7" ht="15.75" customHeight="1">
      <c r="F572" s="11"/>
      <c r="G572" s="11"/>
    </row>
    <row r="573" spans="6:7" ht="15.75" customHeight="1">
      <c r="F573" s="11"/>
      <c r="G573" s="11"/>
    </row>
    <row r="574" spans="6:7" ht="15.75" customHeight="1">
      <c r="F574" s="11"/>
      <c r="G574" s="11"/>
    </row>
    <row r="575" spans="6:7" ht="15.75" customHeight="1">
      <c r="F575" s="11"/>
      <c r="G575" s="11"/>
    </row>
    <row r="576" spans="6:7" ht="15.75" customHeight="1">
      <c r="F576" s="11"/>
      <c r="G576" s="11"/>
    </row>
    <row r="577" spans="6:7" ht="15.75" customHeight="1">
      <c r="F577" s="11"/>
      <c r="G577" s="11"/>
    </row>
    <row r="578" spans="6:7" ht="15.75" customHeight="1">
      <c r="F578" s="11"/>
      <c r="G578" s="11"/>
    </row>
    <row r="579" spans="6:7" ht="15.75" customHeight="1">
      <c r="F579" s="11"/>
      <c r="G579" s="11"/>
    </row>
    <row r="580" spans="6:7" ht="15.75" customHeight="1">
      <c r="F580" s="11"/>
      <c r="G580" s="11"/>
    </row>
    <row r="581" spans="6:7" ht="15.75" customHeight="1">
      <c r="F581" s="11"/>
      <c r="G581" s="11"/>
    </row>
    <row r="582" spans="6:7" ht="15.75" customHeight="1">
      <c r="F582" s="11"/>
      <c r="G582" s="11"/>
    </row>
    <row r="583" spans="6:7" ht="15.75" customHeight="1">
      <c r="F583" s="11"/>
      <c r="G583" s="11"/>
    </row>
    <row r="584" spans="6:7" ht="15.75" customHeight="1">
      <c r="F584" s="11"/>
      <c r="G584" s="11"/>
    </row>
    <row r="585" spans="6:7" ht="15.75" customHeight="1">
      <c r="F585" s="11"/>
      <c r="G585" s="11"/>
    </row>
    <row r="586" spans="6:7" ht="15.75" customHeight="1">
      <c r="F586" s="11"/>
      <c r="G586" s="11"/>
    </row>
    <row r="587" spans="6:7" ht="15.75" customHeight="1">
      <c r="F587" s="11"/>
      <c r="G587" s="11"/>
    </row>
    <row r="588" spans="6:7" ht="15.75" customHeight="1">
      <c r="F588" s="11"/>
      <c r="G588" s="11"/>
    </row>
    <row r="589" spans="6:7" ht="15.75" customHeight="1">
      <c r="F589" s="11"/>
      <c r="G589" s="11"/>
    </row>
    <row r="590" spans="6:7" ht="15.75" customHeight="1">
      <c r="F590" s="11"/>
      <c r="G590" s="11"/>
    </row>
    <row r="591" spans="6:7" ht="15.75" customHeight="1">
      <c r="F591" s="11"/>
      <c r="G591" s="11"/>
    </row>
    <row r="592" spans="6:7" ht="15.75" customHeight="1">
      <c r="F592" s="11"/>
      <c r="G592" s="11"/>
    </row>
    <row r="593" spans="6:7" ht="15.75" customHeight="1">
      <c r="F593" s="11"/>
      <c r="G593" s="11"/>
    </row>
    <row r="594" spans="6:7" ht="15.75" customHeight="1">
      <c r="F594" s="11"/>
      <c r="G594" s="11"/>
    </row>
    <row r="595" spans="6:7" ht="15.75" customHeight="1">
      <c r="F595" s="11"/>
      <c r="G595" s="11"/>
    </row>
    <row r="596" spans="6:7" ht="15.75" customHeight="1">
      <c r="F596" s="11"/>
      <c r="G596" s="11"/>
    </row>
    <row r="597" spans="6:7" ht="15.75" customHeight="1">
      <c r="F597" s="11"/>
      <c r="G597" s="11"/>
    </row>
    <row r="598" spans="6:7" ht="15.75" customHeight="1">
      <c r="F598" s="11"/>
      <c r="G598" s="11"/>
    </row>
    <row r="599" spans="6:7" ht="15.75" customHeight="1">
      <c r="F599" s="11"/>
      <c r="G599" s="11"/>
    </row>
    <row r="600" spans="6:7" ht="15.75" customHeight="1">
      <c r="F600" s="11"/>
      <c r="G600" s="11"/>
    </row>
    <row r="601" spans="6:7" ht="15.75" customHeight="1">
      <c r="F601" s="11"/>
      <c r="G601" s="11"/>
    </row>
    <row r="602" spans="6:7" ht="15.75" customHeight="1">
      <c r="F602" s="11"/>
      <c r="G602" s="11"/>
    </row>
    <row r="603" spans="6:7" ht="15.75" customHeight="1">
      <c r="F603" s="11"/>
      <c r="G603" s="11"/>
    </row>
    <row r="604" spans="6:7" ht="15.75" customHeight="1">
      <c r="F604" s="11"/>
      <c r="G604" s="11"/>
    </row>
    <row r="605" spans="6:7" ht="15.75" customHeight="1">
      <c r="F605" s="11"/>
      <c r="G605" s="11"/>
    </row>
    <row r="606" spans="6:7" ht="15.75" customHeight="1">
      <c r="F606" s="11"/>
      <c r="G606" s="11"/>
    </row>
    <row r="607" spans="6:7" ht="15.75" customHeight="1">
      <c r="F607" s="11"/>
      <c r="G607" s="11"/>
    </row>
    <row r="608" spans="6:7" ht="15.75" customHeight="1">
      <c r="F608" s="11"/>
      <c r="G608" s="11"/>
    </row>
    <row r="609" spans="6:7" ht="15.75" customHeight="1">
      <c r="F609" s="11"/>
      <c r="G609" s="11"/>
    </row>
    <row r="610" spans="6:7" ht="15.75" customHeight="1">
      <c r="F610" s="11"/>
      <c r="G610" s="11"/>
    </row>
    <row r="611" spans="6:7" ht="15.75" customHeight="1">
      <c r="F611" s="11"/>
      <c r="G611" s="11"/>
    </row>
    <row r="612" spans="6:7" ht="15.75" customHeight="1">
      <c r="F612" s="11"/>
      <c r="G612" s="11"/>
    </row>
    <row r="613" spans="6:7" ht="15.75" customHeight="1">
      <c r="F613" s="11"/>
      <c r="G613" s="11"/>
    </row>
    <row r="614" spans="6:7" ht="15.75" customHeight="1">
      <c r="F614" s="11"/>
      <c r="G614" s="11"/>
    </row>
    <row r="615" spans="6:7" ht="15.75" customHeight="1">
      <c r="F615" s="11"/>
      <c r="G615" s="11"/>
    </row>
    <row r="616" spans="6:7" ht="15.75" customHeight="1">
      <c r="F616" s="11"/>
      <c r="G616" s="11"/>
    </row>
    <row r="617" spans="6:7" ht="15.75" customHeight="1">
      <c r="F617" s="11"/>
      <c r="G617" s="11"/>
    </row>
    <row r="618" spans="6:7" ht="15.75" customHeight="1">
      <c r="F618" s="11"/>
      <c r="G618" s="11"/>
    </row>
    <row r="619" spans="6:7" ht="15.75" customHeight="1">
      <c r="F619" s="11"/>
      <c r="G619" s="11"/>
    </row>
    <row r="620" spans="6:7" ht="15.75" customHeight="1">
      <c r="F620" s="11"/>
      <c r="G620" s="11"/>
    </row>
    <row r="621" spans="6:7" ht="15.75" customHeight="1">
      <c r="F621" s="11"/>
      <c r="G621" s="11"/>
    </row>
    <row r="622" spans="6:7" ht="15.75" customHeight="1">
      <c r="F622" s="11"/>
      <c r="G622" s="11"/>
    </row>
    <row r="623" spans="6:7" ht="15.75" customHeight="1">
      <c r="F623" s="11"/>
      <c r="G623" s="11"/>
    </row>
    <row r="624" spans="6:7" ht="15.75" customHeight="1">
      <c r="F624" s="11"/>
      <c r="G624" s="11"/>
    </row>
    <row r="625" spans="6:7" ht="15.75" customHeight="1">
      <c r="F625" s="11"/>
      <c r="G625" s="11"/>
    </row>
    <row r="626" spans="6:7" ht="15.75" customHeight="1">
      <c r="F626" s="11"/>
      <c r="G626" s="11"/>
    </row>
    <row r="627" spans="6:7" ht="15.75" customHeight="1">
      <c r="F627" s="11"/>
      <c r="G627" s="11"/>
    </row>
    <row r="628" spans="6:7" ht="15.75" customHeight="1">
      <c r="F628" s="11"/>
      <c r="G628" s="11"/>
    </row>
    <row r="629" spans="6:7" ht="15.75" customHeight="1">
      <c r="F629" s="11"/>
      <c r="G629" s="11"/>
    </row>
    <row r="630" spans="6:7" ht="15.75" customHeight="1">
      <c r="F630" s="11"/>
      <c r="G630" s="11"/>
    </row>
    <row r="631" spans="6:7" ht="15.75" customHeight="1">
      <c r="F631" s="11"/>
      <c r="G631" s="11"/>
    </row>
    <row r="632" spans="6:7" ht="15.75" customHeight="1">
      <c r="F632" s="11"/>
      <c r="G632" s="11"/>
    </row>
    <row r="633" spans="6:7" ht="15.75" customHeight="1">
      <c r="F633" s="11"/>
      <c r="G633" s="11"/>
    </row>
    <row r="634" spans="6:7" ht="15.75" customHeight="1">
      <c r="F634" s="11"/>
      <c r="G634" s="11"/>
    </row>
    <row r="635" spans="6:7" ht="15.75" customHeight="1">
      <c r="F635" s="11"/>
      <c r="G635" s="11"/>
    </row>
    <row r="636" spans="6:7" ht="15.75" customHeight="1">
      <c r="F636" s="11"/>
      <c r="G636" s="11"/>
    </row>
    <row r="637" spans="6:7" ht="15.75" customHeight="1">
      <c r="F637" s="11"/>
      <c r="G637" s="11"/>
    </row>
    <row r="638" spans="6:7" ht="15.75" customHeight="1">
      <c r="F638" s="11"/>
      <c r="G638" s="11"/>
    </row>
    <row r="639" spans="6:7" ht="15.75" customHeight="1">
      <c r="F639" s="11"/>
      <c r="G639" s="11"/>
    </row>
    <row r="640" spans="6:7" ht="15.75" customHeight="1">
      <c r="F640" s="11"/>
      <c r="G640" s="11"/>
    </row>
    <row r="641" spans="6:7" ht="15.75" customHeight="1">
      <c r="F641" s="11"/>
      <c r="G641" s="11"/>
    </row>
    <row r="642" spans="6:7" ht="15.75" customHeight="1">
      <c r="F642" s="11"/>
      <c r="G642" s="11"/>
    </row>
    <row r="643" spans="6:7" ht="15.75" customHeight="1">
      <c r="F643" s="11"/>
      <c r="G643" s="11"/>
    </row>
    <row r="644" spans="6:7" ht="15.75" customHeight="1">
      <c r="F644" s="11"/>
      <c r="G644" s="11"/>
    </row>
    <row r="645" spans="6:7" ht="15.75" customHeight="1">
      <c r="F645" s="11"/>
      <c r="G645" s="11"/>
    </row>
    <row r="646" spans="6:7" ht="15.75" customHeight="1">
      <c r="F646" s="11"/>
      <c r="G646" s="11"/>
    </row>
    <row r="647" spans="6:7" ht="15.75" customHeight="1">
      <c r="F647" s="11"/>
      <c r="G647" s="11"/>
    </row>
    <row r="648" spans="6:7" ht="15.75" customHeight="1">
      <c r="F648" s="11"/>
      <c r="G648" s="11"/>
    </row>
    <row r="649" spans="6:7" ht="15.75" customHeight="1">
      <c r="F649" s="11"/>
      <c r="G649" s="11"/>
    </row>
    <row r="650" spans="6:7" ht="15.75" customHeight="1">
      <c r="F650" s="11"/>
      <c r="G650" s="11"/>
    </row>
    <row r="651" spans="6:7" ht="15.75" customHeight="1">
      <c r="F651" s="11"/>
      <c r="G651" s="11"/>
    </row>
    <row r="652" spans="6:7" ht="15.75" customHeight="1">
      <c r="F652" s="11"/>
      <c r="G652" s="11"/>
    </row>
    <row r="653" spans="6:7" ht="15.75" customHeight="1">
      <c r="F653" s="11"/>
      <c r="G653" s="11"/>
    </row>
    <row r="654" spans="6:7" ht="15.75" customHeight="1">
      <c r="F654" s="11"/>
      <c r="G654" s="11"/>
    </row>
    <row r="655" spans="6:7" ht="15.75" customHeight="1">
      <c r="F655" s="11"/>
      <c r="G655" s="11"/>
    </row>
    <row r="656" spans="6:7" ht="15.75" customHeight="1">
      <c r="F656" s="11"/>
      <c r="G656" s="11"/>
    </row>
    <row r="657" spans="6:7" ht="15.75" customHeight="1">
      <c r="F657" s="11"/>
      <c r="G657" s="11"/>
    </row>
    <row r="658" spans="6:7" ht="15.75" customHeight="1">
      <c r="F658" s="11"/>
      <c r="G658" s="11"/>
    </row>
    <row r="659" spans="6:7" ht="15.75" customHeight="1">
      <c r="F659" s="11"/>
      <c r="G659" s="11"/>
    </row>
    <row r="660" spans="6:7" ht="15.75" customHeight="1">
      <c r="F660" s="11"/>
      <c r="G660" s="11"/>
    </row>
    <row r="661" spans="6:7" ht="15.75" customHeight="1">
      <c r="F661" s="11"/>
      <c r="G661" s="11"/>
    </row>
    <row r="662" spans="6:7" ht="15.75" customHeight="1">
      <c r="F662" s="11"/>
      <c r="G662" s="11"/>
    </row>
    <row r="663" spans="6:7" ht="15.75" customHeight="1">
      <c r="F663" s="11"/>
      <c r="G663" s="11"/>
    </row>
    <row r="664" spans="6:7" ht="15.75" customHeight="1">
      <c r="F664" s="11"/>
      <c r="G664" s="11"/>
    </row>
    <row r="665" spans="6:7" ht="15.75" customHeight="1">
      <c r="F665" s="11"/>
      <c r="G665" s="11"/>
    </row>
    <row r="666" spans="6:7" ht="15.75" customHeight="1">
      <c r="F666" s="11"/>
      <c r="G666" s="11"/>
    </row>
    <row r="667" spans="6:7" ht="15.75" customHeight="1">
      <c r="F667" s="11"/>
      <c r="G667" s="11"/>
    </row>
    <row r="668" spans="6:7" ht="15.75" customHeight="1">
      <c r="F668" s="11"/>
      <c r="G668" s="11"/>
    </row>
    <row r="669" spans="6:7" ht="15.75" customHeight="1">
      <c r="F669" s="11"/>
      <c r="G669" s="11"/>
    </row>
    <row r="670" spans="6:7" ht="15.75" customHeight="1">
      <c r="F670" s="11"/>
      <c r="G670" s="11"/>
    </row>
    <row r="671" spans="6:7" ht="15.75" customHeight="1">
      <c r="F671" s="11"/>
      <c r="G671" s="11"/>
    </row>
    <row r="672" spans="6:7" ht="15.75" customHeight="1">
      <c r="F672" s="11"/>
      <c r="G672" s="11"/>
    </row>
    <row r="673" spans="6:7" ht="15.75" customHeight="1">
      <c r="F673" s="11"/>
      <c r="G673" s="11"/>
    </row>
    <row r="674" spans="6:7" ht="15.75" customHeight="1">
      <c r="F674" s="11"/>
      <c r="G674" s="11"/>
    </row>
    <row r="675" spans="6:7" ht="15.75" customHeight="1">
      <c r="F675" s="11"/>
      <c r="G675" s="11"/>
    </row>
    <row r="676" spans="6:7" ht="15.75" customHeight="1">
      <c r="F676" s="11"/>
      <c r="G676" s="11"/>
    </row>
    <row r="677" spans="6:7" ht="15.75" customHeight="1">
      <c r="F677" s="11"/>
      <c r="G677" s="11"/>
    </row>
    <row r="678" spans="6:7" ht="15.75" customHeight="1">
      <c r="F678" s="11"/>
      <c r="G678" s="11"/>
    </row>
    <row r="679" spans="6:7" ht="15.75" customHeight="1">
      <c r="F679" s="11"/>
      <c r="G679" s="11"/>
    </row>
    <row r="680" spans="6:7" ht="15.75" customHeight="1">
      <c r="F680" s="11"/>
      <c r="G680" s="11"/>
    </row>
    <row r="681" spans="6:7" ht="15.75" customHeight="1">
      <c r="F681" s="11"/>
      <c r="G681" s="11"/>
    </row>
    <row r="682" spans="6:7" ht="15.75" customHeight="1">
      <c r="F682" s="11"/>
      <c r="G682" s="11"/>
    </row>
    <row r="683" spans="6:7" ht="15.75" customHeight="1">
      <c r="F683" s="11"/>
      <c r="G683" s="11"/>
    </row>
    <row r="684" spans="6:7" ht="15.75" customHeight="1">
      <c r="F684" s="11"/>
      <c r="G684" s="11"/>
    </row>
    <row r="685" spans="6:7" ht="15.75" customHeight="1">
      <c r="F685" s="11"/>
      <c r="G685" s="11"/>
    </row>
    <row r="686" spans="6:7" ht="15.75" customHeight="1">
      <c r="F686" s="11"/>
      <c r="G686" s="11"/>
    </row>
    <row r="687" spans="6:7" ht="15.75" customHeight="1">
      <c r="F687" s="11"/>
      <c r="G687" s="11"/>
    </row>
    <row r="688" spans="6:7" ht="15.75" customHeight="1">
      <c r="F688" s="11"/>
      <c r="G688" s="11"/>
    </row>
    <row r="689" spans="6:7" ht="15.75" customHeight="1">
      <c r="F689" s="11"/>
      <c r="G689" s="11"/>
    </row>
    <row r="690" spans="6:7" ht="15.75" customHeight="1">
      <c r="F690" s="11"/>
      <c r="G690" s="11"/>
    </row>
    <row r="691" spans="6:7" ht="15.75" customHeight="1">
      <c r="F691" s="11"/>
      <c r="G691" s="11"/>
    </row>
    <row r="692" spans="6:7" ht="15.75" customHeight="1">
      <c r="F692" s="11"/>
      <c r="G692" s="11"/>
    </row>
    <row r="693" spans="6:7" ht="15.75" customHeight="1">
      <c r="F693" s="11"/>
      <c r="G693" s="11"/>
    </row>
    <row r="694" spans="6:7" ht="15.75" customHeight="1">
      <c r="F694" s="11"/>
      <c r="G694" s="11"/>
    </row>
    <row r="695" spans="6:7" ht="15.75" customHeight="1">
      <c r="F695" s="11"/>
      <c r="G695" s="11"/>
    </row>
    <row r="696" spans="6:7" ht="15.75" customHeight="1">
      <c r="F696" s="11"/>
      <c r="G696" s="11"/>
    </row>
    <row r="697" spans="6:7" ht="15.75" customHeight="1">
      <c r="F697" s="11"/>
      <c r="G697" s="11"/>
    </row>
    <row r="698" spans="6:7" ht="15.75" customHeight="1">
      <c r="F698" s="11"/>
      <c r="G698" s="11"/>
    </row>
    <row r="699" spans="6:7" ht="15.75" customHeight="1">
      <c r="F699" s="11"/>
      <c r="G699" s="11"/>
    </row>
    <row r="700" spans="6:7" ht="15.75" customHeight="1">
      <c r="F700" s="11"/>
      <c r="G700" s="11"/>
    </row>
    <row r="701" spans="6:7" ht="15.75" customHeight="1">
      <c r="F701" s="11"/>
      <c r="G701" s="11"/>
    </row>
    <row r="702" spans="6:7" ht="15.75" customHeight="1">
      <c r="F702" s="11"/>
      <c r="G702" s="11"/>
    </row>
    <row r="703" spans="6:7" ht="15.75" customHeight="1">
      <c r="F703" s="11"/>
      <c r="G703" s="11"/>
    </row>
    <row r="704" spans="6:7" ht="15.75" customHeight="1">
      <c r="F704" s="11"/>
      <c r="G704" s="11"/>
    </row>
    <row r="705" spans="6:7" ht="15.75" customHeight="1">
      <c r="F705" s="11"/>
      <c r="G705" s="11"/>
    </row>
    <row r="706" spans="6:7" ht="15.75" customHeight="1">
      <c r="F706" s="11"/>
      <c r="G706" s="11"/>
    </row>
    <row r="707" spans="6:7" ht="15.75" customHeight="1">
      <c r="F707" s="11"/>
      <c r="G707" s="11"/>
    </row>
    <row r="708" spans="6:7" ht="15.75" customHeight="1">
      <c r="F708" s="11"/>
      <c r="G708" s="11"/>
    </row>
    <row r="709" spans="6:7" ht="15.75" customHeight="1">
      <c r="F709" s="11"/>
      <c r="G709" s="11"/>
    </row>
    <row r="710" spans="6:7" ht="15.75" customHeight="1">
      <c r="F710" s="11"/>
      <c r="G710" s="11"/>
    </row>
    <row r="711" spans="6:7" ht="15.75" customHeight="1">
      <c r="F711" s="11"/>
      <c r="G711" s="11"/>
    </row>
    <row r="712" spans="6:7" ht="15.75" customHeight="1">
      <c r="F712" s="11"/>
      <c r="G712" s="11"/>
    </row>
    <row r="713" spans="6:7" ht="15.75" customHeight="1">
      <c r="F713" s="11"/>
      <c r="G713" s="11"/>
    </row>
    <row r="714" spans="6:7" ht="15.75" customHeight="1">
      <c r="F714" s="11"/>
      <c r="G714" s="11"/>
    </row>
    <row r="715" spans="6:7" ht="15.75" customHeight="1">
      <c r="F715" s="11"/>
      <c r="G715" s="11"/>
    </row>
    <row r="716" spans="6:7" ht="15.75" customHeight="1">
      <c r="F716" s="11"/>
      <c r="G716" s="11"/>
    </row>
    <row r="717" spans="6:7" ht="15.75" customHeight="1">
      <c r="F717" s="11"/>
      <c r="G717" s="11"/>
    </row>
    <row r="718" spans="6:7" ht="15.75" customHeight="1">
      <c r="F718" s="11"/>
      <c r="G718" s="11"/>
    </row>
    <row r="719" spans="6:7" ht="15.75" customHeight="1">
      <c r="F719" s="11"/>
      <c r="G719" s="11"/>
    </row>
    <row r="720" spans="6:7" ht="15.75" customHeight="1">
      <c r="F720" s="11"/>
      <c r="G720" s="11"/>
    </row>
    <row r="721" spans="6:7" ht="15.75" customHeight="1">
      <c r="F721" s="11"/>
      <c r="G721" s="11"/>
    </row>
    <row r="722" spans="6:7" ht="15.75" customHeight="1">
      <c r="F722" s="11"/>
      <c r="G722" s="11"/>
    </row>
    <row r="723" spans="6:7" ht="15.75" customHeight="1">
      <c r="F723" s="11"/>
      <c r="G723" s="11"/>
    </row>
    <row r="724" spans="6:7" ht="15.75" customHeight="1">
      <c r="F724" s="11"/>
      <c r="G724" s="11"/>
    </row>
    <row r="725" spans="6:7" ht="15.75" customHeight="1">
      <c r="F725" s="11"/>
      <c r="G725" s="11"/>
    </row>
    <row r="726" spans="6:7" ht="15.75" customHeight="1">
      <c r="F726" s="11"/>
      <c r="G726" s="11"/>
    </row>
    <row r="727" spans="6:7" ht="15.75" customHeight="1">
      <c r="F727" s="11"/>
      <c r="G727" s="11"/>
    </row>
    <row r="728" spans="6:7" ht="15.75" customHeight="1">
      <c r="F728" s="11"/>
      <c r="G728" s="11"/>
    </row>
    <row r="729" spans="6:7" ht="15.75" customHeight="1">
      <c r="F729" s="11"/>
      <c r="G729" s="11"/>
    </row>
    <row r="730" spans="6:7" ht="15.75" customHeight="1">
      <c r="F730" s="11"/>
      <c r="G730" s="11"/>
    </row>
    <row r="731" spans="6:7" ht="15.75" customHeight="1">
      <c r="F731" s="11"/>
      <c r="G731" s="11"/>
    </row>
    <row r="732" spans="6:7" ht="15.75" customHeight="1">
      <c r="F732" s="11"/>
      <c r="G732" s="11"/>
    </row>
    <row r="733" spans="6:7" ht="15.75" customHeight="1">
      <c r="F733" s="11"/>
      <c r="G733" s="11"/>
    </row>
    <row r="734" spans="6:7" ht="15.75" customHeight="1">
      <c r="F734" s="11"/>
      <c r="G734" s="11"/>
    </row>
    <row r="735" spans="6:7" ht="15.75" customHeight="1">
      <c r="F735" s="11"/>
      <c r="G735" s="11"/>
    </row>
    <row r="736" spans="6:7" ht="15.75" customHeight="1">
      <c r="F736" s="11"/>
      <c r="G736" s="11"/>
    </row>
    <row r="737" spans="6:7" ht="15.75" customHeight="1">
      <c r="F737" s="11"/>
      <c r="G737" s="11"/>
    </row>
    <row r="738" spans="6:7" ht="15.75" customHeight="1">
      <c r="F738" s="11"/>
      <c r="G738" s="11"/>
    </row>
    <row r="739" spans="6:7" ht="15.75" customHeight="1">
      <c r="F739" s="11"/>
      <c r="G739" s="11"/>
    </row>
    <row r="740" spans="6:7" ht="15.75" customHeight="1">
      <c r="F740" s="11"/>
      <c r="G740" s="11"/>
    </row>
    <row r="741" spans="6:7" ht="15.75" customHeight="1">
      <c r="F741" s="11"/>
      <c r="G741" s="11"/>
    </row>
    <row r="742" spans="6:7" ht="15.75" customHeight="1">
      <c r="F742" s="11"/>
      <c r="G742" s="11"/>
    </row>
    <row r="743" spans="6:7" ht="15.75" customHeight="1">
      <c r="F743" s="11"/>
      <c r="G743" s="11"/>
    </row>
    <row r="744" spans="6:7" ht="15.75" customHeight="1">
      <c r="F744" s="11"/>
      <c r="G744" s="11"/>
    </row>
    <row r="745" spans="6:7" ht="15.75" customHeight="1">
      <c r="F745" s="11"/>
      <c r="G745" s="11"/>
    </row>
    <row r="746" spans="6:7" ht="15.75" customHeight="1">
      <c r="F746" s="11"/>
      <c r="G746" s="11"/>
    </row>
    <row r="747" spans="6:7" ht="15.75" customHeight="1">
      <c r="F747" s="11"/>
      <c r="G747" s="11"/>
    </row>
    <row r="748" spans="6:7" ht="15.75" customHeight="1">
      <c r="F748" s="11"/>
      <c r="G748" s="11"/>
    </row>
    <row r="749" spans="6:7" ht="15.75" customHeight="1">
      <c r="F749" s="11"/>
      <c r="G749" s="11"/>
    </row>
    <row r="750" spans="6:7" ht="15.75" customHeight="1">
      <c r="F750" s="11"/>
      <c r="G750" s="11"/>
    </row>
    <row r="751" spans="6:7" ht="15.75" customHeight="1">
      <c r="F751" s="11"/>
      <c r="G751" s="11"/>
    </row>
    <row r="752" spans="6:7" ht="15.75" customHeight="1">
      <c r="F752" s="11"/>
      <c r="G752" s="11"/>
    </row>
    <row r="753" spans="6:7" ht="15.75" customHeight="1">
      <c r="F753" s="11"/>
      <c r="G753" s="11"/>
    </row>
    <row r="754" spans="6:7" ht="15.75" customHeight="1">
      <c r="F754" s="11"/>
      <c r="G754" s="11"/>
    </row>
    <row r="755" spans="6:7" ht="15.75" customHeight="1">
      <c r="F755" s="11"/>
      <c r="G755" s="11"/>
    </row>
    <row r="756" spans="6:7" ht="15.75" customHeight="1">
      <c r="F756" s="11"/>
      <c r="G756" s="11"/>
    </row>
    <row r="757" spans="6:7" ht="15.75" customHeight="1">
      <c r="F757" s="11"/>
      <c r="G757" s="11"/>
    </row>
    <row r="758" spans="6:7" ht="15.75" customHeight="1">
      <c r="F758" s="11"/>
      <c r="G758" s="11"/>
    </row>
    <row r="759" spans="6:7" ht="15.75" customHeight="1">
      <c r="F759" s="11"/>
      <c r="G759" s="11"/>
    </row>
    <row r="760" spans="6:7" ht="15.75" customHeight="1">
      <c r="F760" s="11"/>
      <c r="G760" s="11"/>
    </row>
    <row r="761" spans="6:7" ht="15.75" customHeight="1">
      <c r="F761" s="11"/>
      <c r="G761" s="11"/>
    </row>
    <row r="762" spans="6:7" ht="15.75" customHeight="1">
      <c r="F762" s="11"/>
      <c r="G762" s="11"/>
    </row>
    <row r="763" spans="6:7" ht="15.75" customHeight="1">
      <c r="F763" s="11"/>
      <c r="G763" s="11"/>
    </row>
    <row r="764" spans="6:7" ht="15.75" customHeight="1">
      <c r="F764" s="11"/>
      <c r="G764" s="11"/>
    </row>
    <row r="765" spans="6:7" ht="15.75" customHeight="1">
      <c r="F765" s="11"/>
      <c r="G765" s="11"/>
    </row>
    <row r="766" spans="6:7" ht="15.75" customHeight="1">
      <c r="F766" s="11"/>
      <c r="G766" s="11"/>
    </row>
    <row r="767" spans="6:7" ht="15.75" customHeight="1">
      <c r="F767" s="11"/>
      <c r="G767" s="11"/>
    </row>
    <row r="768" spans="6:7" ht="15.75" customHeight="1">
      <c r="F768" s="11"/>
      <c r="G768" s="11"/>
    </row>
    <row r="769" spans="6:7" ht="15.75" customHeight="1">
      <c r="F769" s="11"/>
      <c r="G769" s="11"/>
    </row>
    <row r="770" spans="6:7" ht="15.75" customHeight="1">
      <c r="F770" s="11"/>
      <c r="G770" s="11"/>
    </row>
    <row r="771" spans="6:7" ht="15.75" customHeight="1">
      <c r="F771" s="11"/>
      <c r="G771" s="11"/>
    </row>
    <row r="772" spans="6:7" ht="15.75" customHeight="1">
      <c r="F772" s="11"/>
      <c r="G772" s="11"/>
    </row>
    <row r="773" spans="6:7" ht="15.75" customHeight="1">
      <c r="F773" s="11"/>
      <c r="G773" s="11"/>
    </row>
    <row r="774" spans="6:7" ht="15.75" customHeight="1">
      <c r="F774" s="11"/>
      <c r="G774" s="11"/>
    </row>
    <row r="775" spans="6:7" ht="15.75" customHeight="1">
      <c r="F775" s="11"/>
      <c r="G775" s="11"/>
    </row>
    <row r="776" spans="6:7" ht="15.75" customHeight="1">
      <c r="F776" s="11"/>
      <c r="G776" s="11"/>
    </row>
    <row r="777" spans="6:7" ht="15.75" customHeight="1">
      <c r="F777" s="11"/>
      <c r="G777" s="11"/>
    </row>
    <row r="778" spans="6:7" ht="15.75" customHeight="1">
      <c r="F778" s="11"/>
      <c r="G778" s="11"/>
    </row>
    <row r="779" spans="6:7" ht="15.75" customHeight="1">
      <c r="F779" s="11"/>
      <c r="G779" s="11"/>
    </row>
    <row r="780" spans="6:7" ht="15.75" customHeight="1">
      <c r="F780" s="11"/>
      <c r="G780" s="11"/>
    </row>
    <row r="781" spans="6:7" ht="15.75" customHeight="1">
      <c r="F781" s="11"/>
      <c r="G781" s="11"/>
    </row>
    <row r="782" spans="6:7" ht="15.75" customHeight="1">
      <c r="F782" s="11"/>
      <c r="G782" s="11"/>
    </row>
    <row r="783" spans="6:7" ht="15.75" customHeight="1">
      <c r="F783" s="11"/>
      <c r="G783" s="11"/>
    </row>
    <row r="784" spans="6:7" ht="15.75" customHeight="1">
      <c r="F784" s="11"/>
      <c r="G784" s="11"/>
    </row>
    <row r="785" spans="6:7" ht="15.75" customHeight="1">
      <c r="F785" s="11"/>
      <c r="G785" s="11"/>
    </row>
    <row r="786" spans="6:7" ht="15.75" customHeight="1">
      <c r="F786" s="11"/>
      <c r="G786" s="11"/>
    </row>
    <row r="787" spans="6:7" ht="15.75" customHeight="1">
      <c r="F787" s="11"/>
      <c r="G787" s="11"/>
    </row>
    <row r="788" spans="6:7" ht="15.75" customHeight="1">
      <c r="F788" s="11"/>
      <c r="G788" s="11"/>
    </row>
    <row r="789" spans="6:7" ht="15.75" customHeight="1">
      <c r="F789" s="11"/>
      <c r="G789" s="11"/>
    </row>
    <row r="790" spans="6:7" ht="15.75" customHeight="1">
      <c r="F790" s="11"/>
      <c r="G790" s="11"/>
    </row>
    <row r="791" spans="6:7" ht="15.75" customHeight="1">
      <c r="F791" s="11"/>
      <c r="G791" s="11"/>
    </row>
    <row r="792" spans="6:7" ht="15.75" customHeight="1">
      <c r="F792" s="11"/>
      <c r="G792" s="11"/>
    </row>
    <row r="793" spans="6:7" ht="15.75" customHeight="1">
      <c r="F793" s="11"/>
      <c r="G793" s="11"/>
    </row>
    <row r="794" spans="6:7" ht="15.75" customHeight="1">
      <c r="F794" s="11"/>
      <c r="G794" s="11"/>
    </row>
    <row r="795" spans="6:7" ht="15.75" customHeight="1">
      <c r="F795" s="11"/>
      <c r="G795" s="11"/>
    </row>
    <row r="796" spans="6:7" ht="15.75" customHeight="1">
      <c r="F796" s="11"/>
      <c r="G796" s="11"/>
    </row>
    <row r="797" spans="6:7" ht="15.75" customHeight="1">
      <c r="F797" s="11"/>
      <c r="G797" s="11"/>
    </row>
    <row r="798" spans="6:7" ht="15.75" customHeight="1">
      <c r="F798" s="11"/>
      <c r="G798" s="11"/>
    </row>
    <row r="799" spans="6:7" ht="15.75" customHeight="1">
      <c r="F799" s="11"/>
      <c r="G799" s="11"/>
    </row>
    <row r="800" spans="6:7" ht="15.75" customHeight="1">
      <c r="F800" s="11"/>
      <c r="G800" s="11"/>
    </row>
    <row r="801" spans="6:7" ht="15.75" customHeight="1">
      <c r="F801" s="11"/>
      <c r="G801" s="11"/>
    </row>
    <row r="802" spans="6:7" ht="15.75" customHeight="1">
      <c r="F802" s="11"/>
      <c r="G802" s="11"/>
    </row>
    <row r="803" spans="6:7" ht="15.75" customHeight="1">
      <c r="F803" s="11"/>
      <c r="G803" s="11"/>
    </row>
    <row r="804" spans="6:7" ht="15.75" customHeight="1">
      <c r="F804" s="11"/>
      <c r="G804" s="11"/>
    </row>
    <row r="805" spans="6:7" ht="15.75" customHeight="1">
      <c r="F805" s="11"/>
      <c r="G805" s="11"/>
    </row>
    <row r="806" spans="6:7" ht="15.75" customHeight="1">
      <c r="F806" s="11"/>
      <c r="G806" s="11"/>
    </row>
    <row r="807" spans="6:7" ht="15.75" customHeight="1">
      <c r="F807" s="11"/>
      <c r="G807" s="11"/>
    </row>
    <row r="808" spans="6:7" ht="15.75" customHeight="1">
      <c r="F808" s="11"/>
      <c r="G808" s="11"/>
    </row>
    <row r="809" spans="6:7" ht="15.75" customHeight="1">
      <c r="F809" s="11"/>
      <c r="G809" s="11"/>
    </row>
    <row r="810" spans="6:7" ht="15.75" customHeight="1">
      <c r="F810" s="11"/>
      <c r="G810" s="11"/>
    </row>
    <row r="811" spans="6:7" ht="15.75" customHeight="1">
      <c r="F811" s="11"/>
      <c r="G811" s="11"/>
    </row>
    <row r="812" spans="6:7" ht="15.75" customHeight="1">
      <c r="F812" s="11"/>
      <c r="G812" s="11"/>
    </row>
    <row r="813" spans="6:7" ht="15.75" customHeight="1">
      <c r="F813" s="11"/>
      <c r="G813" s="11"/>
    </row>
    <row r="814" spans="6:7" ht="15.75" customHeight="1">
      <c r="F814" s="11"/>
      <c r="G814" s="11"/>
    </row>
    <row r="815" spans="6:7" ht="15.75" customHeight="1">
      <c r="F815" s="11"/>
      <c r="G815" s="11"/>
    </row>
    <row r="816" spans="6:7" ht="15.75" customHeight="1">
      <c r="F816" s="11"/>
      <c r="G816" s="11"/>
    </row>
    <row r="817" spans="6:7" ht="15.75" customHeight="1">
      <c r="F817" s="11"/>
      <c r="G817" s="11"/>
    </row>
    <row r="818" spans="6:7" ht="15.75" customHeight="1">
      <c r="F818" s="11"/>
      <c r="G818" s="11"/>
    </row>
    <row r="819" spans="6:7" ht="15.75" customHeight="1">
      <c r="F819" s="11"/>
      <c r="G819" s="11"/>
    </row>
    <row r="820" spans="6:7" ht="15.75" customHeight="1">
      <c r="F820" s="11"/>
      <c r="G820" s="11"/>
    </row>
    <row r="821" spans="6:7" ht="15.75" customHeight="1">
      <c r="F821" s="11"/>
      <c r="G821" s="11"/>
    </row>
    <row r="822" spans="6:7" ht="15.75" customHeight="1">
      <c r="F822" s="11"/>
      <c r="G822" s="11"/>
    </row>
    <row r="823" spans="6:7" ht="15.75" customHeight="1">
      <c r="F823" s="11"/>
      <c r="G823" s="11"/>
    </row>
    <row r="824" spans="6:7" ht="15.75" customHeight="1">
      <c r="F824" s="11"/>
      <c r="G824" s="11"/>
    </row>
    <row r="825" spans="6:7" ht="15.75" customHeight="1">
      <c r="F825" s="11"/>
      <c r="G825" s="11"/>
    </row>
    <row r="826" spans="6:7" ht="15.75" customHeight="1">
      <c r="F826" s="11"/>
      <c r="G826" s="11"/>
    </row>
    <row r="827" spans="6:7" ht="15.75" customHeight="1">
      <c r="F827" s="11"/>
      <c r="G827" s="11"/>
    </row>
    <row r="828" spans="6:7" ht="15.75" customHeight="1">
      <c r="F828" s="11"/>
      <c r="G828" s="11"/>
    </row>
    <row r="829" spans="6:7" ht="15.75" customHeight="1">
      <c r="F829" s="11"/>
      <c r="G829" s="11"/>
    </row>
    <row r="830" spans="6:7" ht="15.75" customHeight="1">
      <c r="F830" s="11"/>
      <c r="G830" s="11"/>
    </row>
    <row r="831" spans="6:7" ht="15.75" customHeight="1">
      <c r="F831" s="11"/>
      <c r="G831" s="11"/>
    </row>
    <row r="832" spans="6:7" ht="15.75" customHeight="1">
      <c r="F832" s="11"/>
      <c r="G832" s="11"/>
    </row>
    <row r="833" spans="6:7" ht="15.75" customHeight="1">
      <c r="F833" s="11"/>
      <c r="G833" s="11"/>
    </row>
    <row r="834" spans="6:7" ht="15.75" customHeight="1">
      <c r="F834" s="11"/>
      <c r="G834" s="11"/>
    </row>
    <row r="835" spans="6:7" ht="15.75" customHeight="1">
      <c r="F835" s="11"/>
      <c r="G835" s="11"/>
    </row>
    <row r="836" spans="6:7" ht="15.75" customHeight="1">
      <c r="F836" s="11"/>
      <c r="G836" s="11"/>
    </row>
    <row r="837" spans="6:7" ht="15.75" customHeight="1">
      <c r="F837" s="11"/>
      <c r="G837" s="11"/>
    </row>
    <row r="838" spans="6:7" ht="15.75" customHeight="1">
      <c r="F838" s="11"/>
      <c r="G838" s="11"/>
    </row>
    <row r="839" spans="6:7" ht="15.75" customHeight="1">
      <c r="F839" s="11"/>
      <c r="G839" s="11"/>
    </row>
    <row r="840" spans="6:7" ht="15.75" customHeight="1">
      <c r="F840" s="11"/>
      <c r="G840" s="11"/>
    </row>
    <row r="841" spans="6:7" ht="15.75" customHeight="1">
      <c r="F841" s="11"/>
      <c r="G841" s="11"/>
    </row>
    <row r="842" spans="6:7" ht="15.75" customHeight="1">
      <c r="F842" s="11"/>
      <c r="G842" s="11"/>
    </row>
    <row r="843" spans="6:7" ht="15.75" customHeight="1">
      <c r="F843" s="11"/>
      <c r="G843" s="11"/>
    </row>
    <row r="844" spans="6:7" ht="15.75" customHeight="1">
      <c r="F844" s="11"/>
      <c r="G844" s="11"/>
    </row>
    <row r="845" spans="6:7" ht="15.75" customHeight="1">
      <c r="F845" s="11"/>
      <c r="G845" s="11"/>
    </row>
    <row r="846" spans="6:7" ht="15.75" customHeight="1">
      <c r="F846" s="11"/>
      <c r="G846" s="11"/>
    </row>
    <row r="847" spans="6:7" ht="15.75" customHeight="1">
      <c r="F847" s="11"/>
      <c r="G847" s="11"/>
    </row>
    <row r="848" spans="6:7" ht="15.75" customHeight="1">
      <c r="F848" s="11"/>
      <c r="G848" s="11"/>
    </row>
    <row r="849" spans="6:7" ht="15.75" customHeight="1">
      <c r="F849" s="11"/>
      <c r="G849" s="11"/>
    </row>
    <row r="850" spans="6:7" ht="15.75" customHeight="1">
      <c r="F850" s="11"/>
      <c r="G850" s="11"/>
    </row>
    <row r="851" spans="6:7" ht="15.75" customHeight="1">
      <c r="F851" s="11"/>
      <c r="G851" s="11"/>
    </row>
    <row r="852" spans="6:7" ht="15.75" customHeight="1">
      <c r="F852" s="11"/>
      <c r="G852" s="11"/>
    </row>
    <row r="853" spans="6:7" ht="15.75" customHeight="1">
      <c r="F853" s="11"/>
      <c r="G853" s="11"/>
    </row>
    <row r="854" spans="6:7" ht="15.75" customHeight="1">
      <c r="F854" s="11"/>
      <c r="G854" s="11"/>
    </row>
    <row r="855" spans="6:7" ht="15.75" customHeight="1">
      <c r="F855" s="11"/>
      <c r="G855" s="11"/>
    </row>
    <row r="856" spans="6:7" ht="15.75" customHeight="1">
      <c r="F856" s="11"/>
      <c r="G856" s="11"/>
    </row>
    <row r="857" spans="6:7" ht="15.75" customHeight="1">
      <c r="F857" s="11"/>
      <c r="G857" s="11"/>
    </row>
    <row r="858" spans="6:7" ht="15.75" customHeight="1">
      <c r="F858" s="11"/>
      <c r="G858" s="11"/>
    </row>
    <row r="859" spans="6:7" ht="15.75" customHeight="1">
      <c r="F859" s="11"/>
      <c r="G859" s="11"/>
    </row>
    <row r="860" spans="6:7" ht="15.75" customHeight="1">
      <c r="F860" s="11"/>
      <c r="G860" s="11"/>
    </row>
    <row r="861" spans="6:7" ht="15.75" customHeight="1">
      <c r="F861" s="11"/>
      <c r="G861" s="11"/>
    </row>
    <row r="862" spans="6:7" ht="15.75" customHeight="1">
      <c r="F862" s="11"/>
      <c r="G862" s="11"/>
    </row>
    <row r="863" spans="6:7" ht="15.75" customHeight="1">
      <c r="F863" s="11"/>
      <c r="G863" s="11"/>
    </row>
    <row r="864" spans="6:7" ht="15.75" customHeight="1">
      <c r="F864" s="11"/>
      <c r="G864" s="11"/>
    </row>
    <row r="865" spans="6:7" ht="15.75" customHeight="1">
      <c r="F865" s="11"/>
      <c r="G865" s="11"/>
    </row>
    <row r="866" spans="6:7" ht="15.75" customHeight="1">
      <c r="F866" s="11"/>
      <c r="G866" s="11"/>
    </row>
    <row r="867" spans="6:7" ht="15.75" customHeight="1">
      <c r="F867" s="11"/>
      <c r="G867" s="11"/>
    </row>
    <row r="868" spans="6:7" ht="15.75" customHeight="1">
      <c r="F868" s="11"/>
      <c r="G868" s="11"/>
    </row>
    <row r="869" spans="6:7" ht="15.75" customHeight="1">
      <c r="F869" s="11"/>
      <c r="G869" s="11"/>
    </row>
    <row r="870" spans="6:7" ht="15.75" customHeight="1">
      <c r="F870" s="11"/>
      <c r="G870" s="11"/>
    </row>
    <row r="871" spans="6:7" ht="15.75" customHeight="1">
      <c r="F871" s="11"/>
      <c r="G871" s="11"/>
    </row>
    <row r="872" spans="6:7" ht="15.75" customHeight="1">
      <c r="F872" s="11"/>
      <c r="G872" s="11"/>
    </row>
    <row r="873" spans="6:7" ht="15.75" customHeight="1">
      <c r="F873" s="11"/>
      <c r="G873" s="11"/>
    </row>
    <row r="874" spans="6:7" ht="15.75" customHeight="1">
      <c r="F874" s="11"/>
      <c r="G874" s="11"/>
    </row>
    <row r="875" spans="6:7" ht="15.75" customHeight="1">
      <c r="F875" s="11"/>
      <c r="G875" s="11"/>
    </row>
    <row r="876" spans="6:7" ht="15.75" customHeight="1">
      <c r="F876" s="11"/>
      <c r="G876" s="11"/>
    </row>
    <row r="877" spans="6:7" ht="15.75" customHeight="1">
      <c r="F877" s="11"/>
      <c r="G877" s="11"/>
    </row>
    <row r="878" spans="6:7" ht="15.75" customHeight="1">
      <c r="F878" s="11"/>
      <c r="G878" s="11"/>
    </row>
    <row r="879" spans="6:7" ht="15.75" customHeight="1">
      <c r="F879" s="11"/>
      <c r="G879" s="11"/>
    </row>
    <row r="880" spans="6:7" ht="15.75" customHeight="1">
      <c r="F880" s="11"/>
      <c r="G880" s="11"/>
    </row>
    <row r="881" spans="6:7" ht="15.75" customHeight="1">
      <c r="F881" s="11"/>
      <c r="G881" s="11"/>
    </row>
    <row r="882" spans="6:7" ht="15.75" customHeight="1">
      <c r="F882" s="11"/>
      <c r="G882" s="11"/>
    </row>
    <row r="883" spans="6:7" ht="15.75" customHeight="1">
      <c r="F883" s="11"/>
      <c r="G883" s="11"/>
    </row>
    <row r="884" spans="6:7" ht="15.75" customHeight="1">
      <c r="F884" s="11"/>
      <c r="G884" s="11"/>
    </row>
    <row r="885" spans="6:7" ht="15.75" customHeight="1">
      <c r="F885" s="11"/>
      <c r="G885" s="11"/>
    </row>
    <row r="886" spans="6:7" ht="15.75" customHeight="1">
      <c r="F886" s="11"/>
      <c r="G886" s="11"/>
    </row>
    <row r="887" spans="6:7" ht="15.75" customHeight="1">
      <c r="F887" s="11"/>
      <c r="G887" s="11"/>
    </row>
    <row r="888" spans="6:7" ht="15.75" customHeight="1">
      <c r="F888" s="11"/>
      <c r="G888" s="11"/>
    </row>
    <row r="889" spans="6:7" ht="15.75" customHeight="1">
      <c r="F889" s="11"/>
      <c r="G889" s="11"/>
    </row>
    <row r="890" spans="6:7" ht="15.75" customHeight="1">
      <c r="F890" s="11"/>
      <c r="G890" s="11"/>
    </row>
    <row r="891" spans="6:7" ht="15.75" customHeight="1">
      <c r="F891" s="11"/>
      <c r="G891" s="11"/>
    </row>
    <row r="892" spans="6:7" ht="15.75" customHeight="1">
      <c r="F892" s="11"/>
      <c r="G892" s="11"/>
    </row>
    <row r="893" spans="6:7" ht="15.75" customHeight="1">
      <c r="F893" s="11"/>
      <c r="G893" s="11"/>
    </row>
    <row r="894" spans="6:7" ht="15.75" customHeight="1">
      <c r="F894" s="11"/>
      <c r="G894" s="11"/>
    </row>
    <row r="895" spans="6:7" ht="15.75" customHeight="1">
      <c r="F895" s="11"/>
      <c r="G895" s="11"/>
    </row>
    <row r="896" spans="6:7" ht="15.75" customHeight="1">
      <c r="F896" s="11"/>
      <c r="G896" s="11"/>
    </row>
    <row r="897" spans="6:7" ht="15.75" customHeight="1">
      <c r="F897" s="11"/>
      <c r="G897" s="11"/>
    </row>
    <row r="898" spans="6:7" ht="15.75" customHeight="1">
      <c r="F898" s="11"/>
      <c r="G898" s="11"/>
    </row>
    <row r="899" spans="6:7" ht="15.75" customHeight="1">
      <c r="F899" s="11"/>
      <c r="G899" s="11"/>
    </row>
    <row r="900" spans="6:7" ht="15.75" customHeight="1">
      <c r="F900" s="11"/>
      <c r="G900" s="11"/>
    </row>
    <row r="901" spans="6:7" ht="15.75" customHeight="1">
      <c r="F901" s="11"/>
      <c r="G901" s="11"/>
    </row>
    <row r="902" spans="6:7" ht="15.75" customHeight="1">
      <c r="F902" s="11"/>
      <c r="G902" s="11"/>
    </row>
    <row r="903" spans="6:7" ht="15.75" customHeight="1">
      <c r="F903" s="11"/>
      <c r="G903" s="11"/>
    </row>
    <row r="904" spans="6:7" ht="15.75" customHeight="1">
      <c r="F904" s="11"/>
      <c r="G904" s="11"/>
    </row>
    <row r="905" spans="6:7" ht="15.75" customHeight="1">
      <c r="F905" s="11"/>
      <c r="G905" s="11"/>
    </row>
    <row r="906" spans="6:7" ht="15.75" customHeight="1">
      <c r="F906" s="11"/>
      <c r="G906" s="11"/>
    </row>
    <row r="907" spans="6:7" ht="15.75" customHeight="1">
      <c r="F907" s="11"/>
      <c r="G907" s="11"/>
    </row>
    <row r="908" spans="6:7" ht="15.75" customHeight="1">
      <c r="F908" s="11"/>
      <c r="G908" s="11"/>
    </row>
    <row r="909" spans="6:7" ht="15.75" customHeight="1">
      <c r="F909" s="11"/>
      <c r="G909" s="11"/>
    </row>
    <row r="910" spans="6:7" ht="15.75" customHeight="1">
      <c r="F910" s="11"/>
      <c r="G910" s="11"/>
    </row>
    <row r="911" spans="6:7" ht="15.75" customHeight="1">
      <c r="F911" s="11"/>
      <c r="G911" s="11"/>
    </row>
    <row r="912" spans="6:7" ht="15.75" customHeight="1">
      <c r="F912" s="11"/>
      <c r="G912" s="11"/>
    </row>
    <row r="913" spans="6:7" ht="15.75" customHeight="1">
      <c r="F913" s="11"/>
      <c r="G913" s="11"/>
    </row>
    <row r="914" spans="6:7" ht="15.75" customHeight="1">
      <c r="F914" s="11"/>
      <c r="G914" s="11"/>
    </row>
    <row r="915" spans="6:7" ht="15.75" customHeight="1">
      <c r="F915" s="11"/>
      <c r="G915" s="11"/>
    </row>
    <row r="916" spans="6:7" ht="15.75" customHeight="1">
      <c r="F916" s="11"/>
      <c r="G916" s="11"/>
    </row>
    <row r="917" spans="6:7" ht="15.75" customHeight="1">
      <c r="F917" s="11"/>
      <c r="G917" s="11"/>
    </row>
    <row r="918" spans="6:7" ht="15.75" customHeight="1">
      <c r="F918" s="11"/>
      <c r="G918" s="11"/>
    </row>
    <row r="919" spans="6:7" ht="15" customHeight="1">
      <c r="F919" s="11"/>
      <c r="G919" s="11"/>
    </row>
    <row r="920" spans="6:7" ht="15" customHeight="1">
      <c r="F920" s="11"/>
      <c r="G920" s="11"/>
    </row>
    <row r="921" spans="6:7" ht="15" customHeight="1">
      <c r="F921" s="11"/>
      <c r="G921" s="11"/>
    </row>
  </sheetData>
  <mergeCells count="34">
    <mergeCell ref="B34:H34"/>
    <mergeCell ref="B38:H38"/>
    <mergeCell ref="B2:D3"/>
    <mergeCell ref="E2:G2"/>
    <mergeCell ref="E3:G3"/>
    <mergeCell ref="B4:B5"/>
    <mergeCell ref="C4:E5"/>
    <mergeCell ref="F4:F5"/>
    <mergeCell ref="G4:G5"/>
    <mergeCell ref="C9:E9"/>
    <mergeCell ref="C11:E11"/>
    <mergeCell ref="B19:H19"/>
    <mergeCell ref="H6:J6"/>
    <mergeCell ref="C8:E8"/>
    <mergeCell ref="C13:E13"/>
    <mergeCell ref="C14:E14"/>
    <mergeCell ref="C15:E15"/>
    <mergeCell ref="B7:I7"/>
    <mergeCell ref="H23:J23"/>
    <mergeCell ref="B24:I24"/>
    <mergeCell ref="C12:E12"/>
    <mergeCell ref="C16:E16"/>
    <mergeCell ref="C10:E10"/>
    <mergeCell ref="C33:E33"/>
    <mergeCell ref="C17:E17"/>
    <mergeCell ref="C18:E18"/>
    <mergeCell ref="C25:E25"/>
    <mergeCell ref="C30:E30"/>
    <mergeCell ref="C28:E28"/>
    <mergeCell ref="C26:E26"/>
    <mergeCell ref="C27:E27"/>
    <mergeCell ref="C29:E29"/>
    <mergeCell ref="C31:E31"/>
    <mergeCell ref="C32:E32"/>
  </mergeCells>
  <pageMargins left="0.7" right="0.7" top="0.75" bottom="0.75" header="0" footer="0"/>
  <pageSetup scale="3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560CD-6884-4956-BC12-F46820D0A238}">
  <sheetPr>
    <pageSetUpPr fitToPage="1"/>
  </sheetPr>
  <dimension ref="C4:Q35"/>
  <sheetViews>
    <sheetView topLeftCell="D10" workbookViewId="0">
      <selection activeCell="J30" sqref="J30"/>
    </sheetView>
  </sheetViews>
  <sheetFormatPr baseColWidth="10" defaultRowHeight="15"/>
  <cols>
    <col min="1" max="2" width="11.42578125" style="504"/>
    <col min="3" max="3" width="54.5703125" style="504" customWidth="1"/>
    <col min="4" max="5" width="14.28515625" style="504" customWidth="1"/>
    <col min="6" max="6" width="14" style="504" bestFit="1" customWidth="1"/>
    <col min="7" max="9" width="11.42578125" style="504"/>
    <col min="10" max="10" width="52.28515625" style="504" customWidth="1"/>
    <col min="11" max="11" width="16.140625" style="504" customWidth="1"/>
    <col min="12" max="12" width="19.5703125" style="504" customWidth="1"/>
    <col min="13" max="13" width="18.28515625" style="504" customWidth="1"/>
    <col min="14" max="14" width="17.7109375" style="504" customWidth="1"/>
    <col min="15" max="15" width="15.85546875" style="504" customWidth="1"/>
    <col min="16" max="16" width="14.140625" style="504" customWidth="1"/>
    <col min="17" max="17" width="14.5703125" style="504" customWidth="1"/>
    <col min="18" max="16384" width="11.42578125" style="504"/>
  </cols>
  <sheetData>
    <row r="4" spans="3:17">
      <c r="C4" s="889" t="s">
        <v>471</v>
      </c>
      <c r="D4" s="889"/>
      <c r="E4" s="889"/>
      <c r="F4" s="889"/>
    </row>
    <row r="5" spans="3:17">
      <c r="C5" s="505"/>
      <c r="D5" s="505"/>
      <c r="E5" s="505"/>
      <c r="F5" s="505"/>
    </row>
    <row r="6" spans="3:17">
      <c r="C6" s="890" t="s">
        <v>472</v>
      </c>
      <c r="D6" s="891"/>
      <c r="E6" s="891"/>
      <c r="F6" s="892"/>
    </row>
    <row r="7" spans="3:17" ht="44.25" customHeight="1">
      <c r="C7" s="506" t="s">
        <v>473</v>
      </c>
      <c r="D7" s="507" t="s">
        <v>474</v>
      </c>
      <c r="E7" s="507" t="s">
        <v>475</v>
      </c>
      <c r="F7" s="507" t="s">
        <v>476</v>
      </c>
      <c r="J7" s="893" t="s">
        <v>477</v>
      </c>
      <c r="K7" s="893"/>
      <c r="L7" s="893"/>
      <c r="M7" s="893"/>
      <c r="N7" s="893"/>
      <c r="O7" s="893"/>
      <c r="P7" s="893"/>
      <c r="Q7" s="893"/>
    </row>
    <row r="8" spans="3:17">
      <c r="C8" s="508"/>
      <c r="D8" s="509">
        <v>1160000</v>
      </c>
      <c r="E8" s="509">
        <f>D8*1.5</f>
        <v>1740000</v>
      </c>
      <c r="F8" s="509">
        <f>D8*2</f>
        <v>2320000</v>
      </c>
    </row>
    <row r="9" spans="3:17" ht="30.75" customHeight="1">
      <c r="C9" s="510" t="s">
        <v>478</v>
      </c>
      <c r="D9" s="511" t="s">
        <v>479</v>
      </c>
      <c r="E9" s="511" t="s">
        <v>480</v>
      </c>
      <c r="F9" s="511" t="s">
        <v>481</v>
      </c>
      <c r="J9" s="883" t="s">
        <v>482</v>
      </c>
      <c r="K9" s="883"/>
      <c r="L9" s="894">
        <v>1160000</v>
      </c>
      <c r="M9" s="894"/>
      <c r="N9" s="894"/>
      <c r="O9" s="894"/>
      <c r="P9" s="894"/>
      <c r="Q9" s="512"/>
    </row>
    <row r="10" spans="3:17" ht="20.100000000000001" customHeight="1">
      <c r="C10" s="513" t="s">
        <v>483</v>
      </c>
      <c r="D10" s="514">
        <v>30</v>
      </c>
      <c r="E10" s="514">
        <v>30</v>
      </c>
      <c r="F10" s="514">
        <v>30</v>
      </c>
      <c r="J10" s="883" t="s">
        <v>484</v>
      </c>
      <c r="K10" s="883"/>
      <c r="L10" s="515">
        <v>1.76</v>
      </c>
      <c r="M10" s="887" t="s">
        <v>485</v>
      </c>
      <c r="N10" s="887"/>
      <c r="O10" s="887"/>
      <c r="P10" s="887"/>
      <c r="Q10" s="887"/>
    </row>
    <row r="11" spans="3:17" ht="20.100000000000001" customHeight="1">
      <c r="C11" s="513" t="s">
        <v>486</v>
      </c>
      <c r="D11" s="513">
        <f>+D8</f>
        <v>1160000</v>
      </c>
      <c r="E11" s="513">
        <f>+E8</f>
        <v>1740000</v>
      </c>
      <c r="F11" s="513">
        <f>+F8</f>
        <v>2320000</v>
      </c>
      <c r="J11" s="883"/>
      <c r="K11" s="883"/>
      <c r="L11" s="515">
        <v>1.7</v>
      </c>
      <c r="M11" s="887" t="s">
        <v>487</v>
      </c>
      <c r="N11" s="887"/>
      <c r="O11" s="887"/>
      <c r="P11" s="887"/>
      <c r="Q11" s="887"/>
    </row>
    <row r="12" spans="3:17" ht="20.100000000000001" customHeight="1">
      <c r="C12" s="516" t="s">
        <v>488</v>
      </c>
      <c r="D12" s="517">
        <v>117172</v>
      </c>
      <c r="E12" s="517">
        <f>+D12</f>
        <v>117172</v>
      </c>
      <c r="F12" s="517">
        <f>+E12</f>
        <v>117172</v>
      </c>
      <c r="J12" s="883"/>
      <c r="K12" s="883"/>
      <c r="L12" s="515">
        <v>1.67</v>
      </c>
      <c r="M12" s="887" t="s">
        <v>489</v>
      </c>
      <c r="N12" s="887"/>
      <c r="O12" s="887"/>
      <c r="P12" s="887"/>
      <c r="Q12" s="887"/>
    </row>
    <row r="13" spans="3:17" ht="20.100000000000001" customHeight="1" thickBot="1">
      <c r="C13" s="516" t="s">
        <v>490</v>
      </c>
      <c r="D13" s="516">
        <f>+ROUND(((D11+D12)/360*D10),0)</f>
        <v>106431</v>
      </c>
      <c r="E13" s="516">
        <f>+ROUND(((E11+E12)/360*E10),0)</f>
        <v>154764</v>
      </c>
      <c r="F13" s="516">
        <f>+ROUND(((F11+F12)/360*F10),0)</f>
        <v>203098</v>
      </c>
    </row>
    <row r="14" spans="3:17" ht="20.100000000000001" customHeight="1">
      <c r="C14" s="516" t="s">
        <v>491</v>
      </c>
      <c r="D14" s="516">
        <f>+ROUND(((D12+D11)/360*D10),0)</f>
        <v>106431</v>
      </c>
      <c r="E14" s="516">
        <f>+ROUND(((E12+E11)/360*E10),0)</f>
        <v>154764</v>
      </c>
      <c r="F14" s="516">
        <f>+ROUND(((F12+F11)/360*F10),0)</f>
        <v>203098</v>
      </c>
      <c r="J14" s="883" t="s">
        <v>492</v>
      </c>
      <c r="K14" s="518" t="s">
        <v>493</v>
      </c>
      <c r="L14" s="884" t="s">
        <v>494</v>
      </c>
      <c r="M14" s="885"/>
      <c r="N14" s="884" t="s">
        <v>172</v>
      </c>
      <c r="O14" s="885"/>
      <c r="P14" s="884" t="s">
        <v>495</v>
      </c>
      <c r="Q14" s="885"/>
    </row>
    <row r="15" spans="3:17" ht="20.100000000000001" customHeight="1">
      <c r="C15" s="516" t="s">
        <v>496</v>
      </c>
      <c r="D15" s="516">
        <f>+D14*12%</f>
        <v>12771.72</v>
      </c>
      <c r="E15" s="516">
        <f>+E14*12%</f>
        <v>18571.68</v>
      </c>
      <c r="F15" s="516">
        <f>+F14*12%</f>
        <v>24371.759999999998</v>
      </c>
      <c r="J15" s="883"/>
      <c r="K15" s="518"/>
      <c r="L15" s="519" t="s">
        <v>497</v>
      </c>
      <c r="M15" s="520" t="s">
        <v>498</v>
      </c>
      <c r="N15" s="519" t="s">
        <v>497</v>
      </c>
      <c r="O15" s="520" t="s">
        <v>498</v>
      </c>
      <c r="P15" s="519" t="s">
        <v>497</v>
      </c>
      <c r="Q15" s="520" t="s">
        <v>498</v>
      </c>
    </row>
    <row r="16" spans="3:17" ht="20.100000000000001" customHeight="1">
      <c r="C16" s="516" t="s">
        <v>499</v>
      </c>
      <c r="D16" s="516">
        <f>+ROUND(((D11+D12)/720)*D10,0)</f>
        <v>53216</v>
      </c>
      <c r="E16" s="516">
        <f>+ROUND(((E11+E12)/720)*E10,0)</f>
        <v>77382</v>
      </c>
      <c r="F16" s="516">
        <f>+ROUND(((F11+F12)/720)*F10,0)</f>
        <v>101549</v>
      </c>
      <c r="J16" s="512" t="s">
        <v>82</v>
      </c>
      <c r="K16" s="521">
        <v>1.25</v>
      </c>
      <c r="L16" s="522">
        <v>1450000</v>
      </c>
      <c r="M16" s="523">
        <v>4001999.9999999995</v>
      </c>
      <c r="N16" s="524">
        <v>48333</v>
      </c>
      <c r="O16" s="523">
        <v>133400</v>
      </c>
      <c r="P16" s="524">
        <v>6042</v>
      </c>
      <c r="Q16" s="523">
        <v>16675</v>
      </c>
    </row>
    <row r="17" spans="3:17" ht="20.100000000000001" customHeight="1">
      <c r="C17" s="516" t="s">
        <v>500</v>
      </c>
      <c r="D17" s="516">
        <f>+((65000+55000+35000+25000+20000+30000)/4)</f>
        <v>57500</v>
      </c>
      <c r="E17" s="516">
        <f>+((65000+55000+35000+25000+20000+30000)/4)</f>
        <v>57500</v>
      </c>
      <c r="F17" s="516">
        <f>+((65000+55000+35000+25000+20000+30000)/4)</f>
        <v>57500</v>
      </c>
      <c r="J17" s="512" t="s">
        <v>79</v>
      </c>
      <c r="K17" s="521">
        <v>1.3</v>
      </c>
      <c r="L17" s="522">
        <v>1508000</v>
      </c>
      <c r="M17" s="523">
        <v>4162079.9999999995</v>
      </c>
      <c r="N17" s="524">
        <v>50267</v>
      </c>
      <c r="O17" s="523">
        <v>138736</v>
      </c>
      <c r="P17" s="524">
        <v>6283</v>
      </c>
      <c r="Q17" s="523">
        <v>17342</v>
      </c>
    </row>
    <row r="18" spans="3:17" ht="20.100000000000001" customHeight="1">
      <c r="C18" s="516" t="s">
        <v>501</v>
      </c>
      <c r="D18" s="516">
        <f>ROUND((8.5%*D8),0)</f>
        <v>98600</v>
      </c>
      <c r="E18" s="516">
        <f>8.5%*E8</f>
        <v>147900</v>
      </c>
      <c r="F18" s="516">
        <f>8.5%*F8</f>
        <v>197200</v>
      </c>
      <c r="J18" s="512" t="s">
        <v>73</v>
      </c>
      <c r="K18" s="521">
        <v>1</v>
      </c>
      <c r="L18" s="522">
        <v>1160000</v>
      </c>
      <c r="M18" s="523">
        <v>3201599.9999999995</v>
      </c>
      <c r="N18" s="524">
        <v>38667</v>
      </c>
      <c r="O18" s="523">
        <v>106720</v>
      </c>
      <c r="P18" s="524">
        <v>4833</v>
      </c>
      <c r="Q18" s="523">
        <v>13340</v>
      </c>
    </row>
    <row r="19" spans="3:17" ht="20.100000000000001" customHeight="1">
      <c r="C19" s="516" t="s">
        <v>502</v>
      </c>
      <c r="D19" s="516">
        <f>ROUND((4%*D8),0)</f>
        <v>46400</v>
      </c>
      <c r="E19" s="516">
        <f>ROUND((4%*E8),0)</f>
        <v>69600</v>
      </c>
      <c r="F19" s="516">
        <f>ROUND((4%*F8),0)</f>
        <v>92800</v>
      </c>
      <c r="J19" s="512" t="s">
        <v>77</v>
      </c>
      <c r="K19" s="521">
        <v>1.25</v>
      </c>
      <c r="L19" s="522">
        <v>1450000</v>
      </c>
      <c r="M19" s="523">
        <v>4001999.9999999995</v>
      </c>
      <c r="N19" s="524">
        <v>48333</v>
      </c>
      <c r="O19" s="523">
        <v>133400</v>
      </c>
      <c r="P19" s="524">
        <v>6042</v>
      </c>
      <c r="Q19" s="523">
        <v>16675</v>
      </c>
    </row>
    <row r="20" spans="3:17" ht="20.100000000000001" customHeight="1">
      <c r="C20" s="516" t="s">
        <v>503</v>
      </c>
      <c r="D20" s="516">
        <f>ROUND((3%*D8),0)</f>
        <v>34800</v>
      </c>
      <c r="E20" s="516">
        <f>ROUND((3%*E8),0)</f>
        <v>52200</v>
      </c>
      <c r="F20" s="516">
        <f>ROUND((3%*F8),0)</f>
        <v>69600</v>
      </c>
      <c r="J20" s="512" t="s">
        <v>75</v>
      </c>
      <c r="K20" s="521">
        <v>1.5</v>
      </c>
      <c r="L20" s="522">
        <v>1740000</v>
      </c>
      <c r="M20" s="523">
        <v>4698000</v>
      </c>
      <c r="N20" s="524">
        <v>58000</v>
      </c>
      <c r="O20" s="523">
        <v>156600</v>
      </c>
      <c r="P20" s="524">
        <v>7250</v>
      </c>
      <c r="Q20" s="523">
        <v>19575</v>
      </c>
    </row>
    <row r="21" spans="3:17" ht="20.100000000000001" customHeight="1">
      <c r="C21" s="516" t="s">
        <v>504</v>
      </c>
      <c r="D21" s="516">
        <f>ROUND((2%*D8),0)</f>
        <v>23200</v>
      </c>
      <c r="E21" s="516">
        <f>ROUND((2%*E8),0)</f>
        <v>34800</v>
      </c>
      <c r="F21" s="516">
        <f>ROUND((2%*F8),0)</f>
        <v>46400</v>
      </c>
      <c r="J21" s="512" t="s">
        <v>80</v>
      </c>
      <c r="K21" s="521">
        <v>1.75</v>
      </c>
      <c r="L21" s="522">
        <v>2030000</v>
      </c>
      <c r="M21" s="523">
        <v>5481000</v>
      </c>
      <c r="N21" s="524">
        <v>67667</v>
      </c>
      <c r="O21" s="523">
        <v>182700</v>
      </c>
      <c r="P21" s="524">
        <v>8458</v>
      </c>
      <c r="Q21" s="523">
        <v>22838</v>
      </c>
    </row>
    <row r="22" spans="3:17" ht="20.100000000000001" customHeight="1">
      <c r="C22" s="516" t="s">
        <v>505</v>
      </c>
      <c r="D22" s="516">
        <f>ROUND((12%*D8),0)</f>
        <v>139200</v>
      </c>
      <c r="E22" s="516">
        <f>E8*0.12</f>
        <v>208800</v>
      </c>
      <c r="F22" s="516">
        <f>F8*0.12</f>
        <v>278400</v>
      </c>
      <c r="J22" s="512" t="s">
        <v>83</v>
      </c>
      <c r="K22" s="521">
        <v>1.6</v>
      </c>
      <c r="L22" s="522">
        <v>1856000</v>
      </c>
      <c r="M22" s="523">
        <v>5011200</v>
      </c>
      <c r="N22" s="522">
        <v>61866.666666666664</v>
      </c>
      <c r="O22" s="523">
        <v>167040</v>
      </c>
      <c r="P22" s="522">
        <v>7733.333333333333</v>
      </c>
      <c r="Q22" s="523">
        <v>20880</v>
      </c>
    </row>
    <row r="23" spans="3:17" ht="20.100000000000001" customHeight="1">
      <c r="C23" s="516" t="s">
        <v>506</v>
      </c>
      <c r="D23" s="516">
        <f>ROUND((6.96%*D8),0)</f>
        <v>80736</v>
      </c>
      <c r="E23" s="516">
        <f>E8*0.0696</f>
        <v>121103.99999999999</v>
      </c>
      <c r="F23" s="516">
        <f>F8*0.0696</f>
        <v>161472</v>
      </c>
      <c r="J23" s="512" t="s">
        <v>507</v>
      </c>
      <c r="K23" s="521">
        <v>1.6</v>
      </c>
      <c r="L23" s="522">
        <v>1856000</v>
      </c>
      <c r="M23" s="523">
        <v>5011200</v>
      </c>
      <c r="N23" s="522">
        <v>61866.666666666664</v>
      </c>
      <c r="O23" s="523">
        <v>167040</v>
      </c>
      <c r="P23" s="522">
        <v>7733.333333333333</v>
      </c>
      <c r="Q23" s="523">
        <v>20880</v>
      </c>
    </row>
    <row r="24" spans="3:17" ht="20.100000000000001" customHeight="1">
      <c r="C24" s="525" t="s">
        <v>508</v>
      </c>
      <c r="D24" s="525">
        <f>SUM(D11:D23)</f>
        <v>2036457.72</v>
      </c>
      <c r="E24" s="525">
        <f>SUM(E11:E23)</f>
        <v>2954557.68</v>
      </c>
      <c r="F24" s="525">
        <f>SUM(F11:F23)</f>
        <v>3872660.76</v>
      </c>
      <c r="J24" s="512" t="s">
        <v>509</v>
      </c>
      <c r="K24" s="521">
        <v>4</v>
      </c>
      <c r="L24" s="522">
        <v>4640000</v>
      </c>
      <c r="M24" s="523">
        <v>12388800</v>
      </c>
      <c r="N24" s="522">
        <v>154666.66666666666</v>
      </c>
      <c r="O24" s="523">
        <v>412960</v>
      </c>
      <c r="P24" s="522">
        <v>19333.333333333332</v>
      </c>
      <c r="Q24" s="523">
        <v>51620</v>
      </c>
    </row>
    <row r="25" spans="3:17" ht="20.100000000000001" customHeight="1">
      <c r="C25" s="526"/>
      <c r="D25" s="526"/>
      <c r="E25" s="526"/>
      <c r="F25" s="505"/>
      <c r="J25" s="512" t="s">
        <v>510</v>
      </c>
      <c r="K25" s="521">
        <v>3</v>
      </c>
      <c r="L25" s="522">
        <v>3480000</v>
      </c>
      <c r="M25" s="523">
        <v>3480000</v>
      </c>
      <c r="N25" s="522">
        <v>116000</v>
      </c>
      <c r="O25" s="523">
        <v>116000</v>
      </c>
      <c r="P25" s="522">
        <v>14500</v>
      </c>
      <c r="Q25" s="523">
        <v>14500</v>
      </c>
    </row>
    <row r="26" spans="3:17" ht="20.100000000000001" customHeight="1">
      <c r="C26" s="527" t="s">
        <v>374</v>
      </c>
      <c r="D26" s="528">
        <f>ROUND((D24/D11),2)</f>
        <v>1.76</v>
      </c>
      <c r="E26" s="528">
        <f>ROUND((E24/E11),2)</f>
        <v>1.7</v>
      </c>
      <c r="F26" s="528">
        <f>ROUND((F24/F11),2)</f>
        <v>1.67</v>
      </c>
      <c r="J26" s="512" t="s">
        <v>511</v>
      </c>
      <c r="K26" s="521">
        <v>4.45</v>
      </c>
      <c r="L26" s="522">
        <v>5162000</v>
      </c>
      <c r="M26" s="523">
        <v>13782540</v>
      </c>
      <c r="N26" s="522">
        <v>172066.66666666666</v>
      </c>
      <c r="O26" s="523">
        <v>459418</v>
      </c>
      <c r="P26" s="522">
        <v>21508.333333333332</v>
      </c>
      <c r="Q26" s="523">
        <v>57427</v>
      </c>
    </row>
    <row r="27" spans="3:17">
      <c r="J27" s="512" t="s">
        <v>512</v>
      </c>
      <c r="K27" s="521">
        <v>1.8</v>
      </c>
      <c r="L27" s="522">
        <v>2088000</v>
      </c>
      <c r="M27" s="523">
        <v>5637600</v>
      </c>
      <c r="N27" s="522">
        <v>69600</v>
      </c>
      <c r="O27" s="523">
        <v>187920</v>
      </c>
      <c r="P27" s="522">
        <v>8700</v>
      </c>
      <c r="Q27" s="523">
        <v>23490</v>
      </c>
    </row>
    <row r="28" spans="3:17" ht="15.75" thickBot="1">
      <c r="J28" s="529" t="s">
        <v>513</v>
      </c>
      <c r="K28" s="530">
        <v>1.75</v>
      </c>
      <c r="L28" s="531">
        <v>2030000</v>
      </c>
      <c r="M28" s="532">
        <v>5602800</v>
      </c>
      <c r="N28" s="531">
        <v>67666.666666666672</v>
      </c>
      <c r="O28" s="532">
        <v>186760</v>
      </c>
      <c r="P28" s="531">
        <v>8458.3333333333339</v>
      </c>
      <c r="Q28" s="532">
        <v>23345</v>
      </c>
    </row>
    <row r="29" spans="3:17">
      <c r="J29" s="533" t="s">
        <v>71</v>
      </c>
      <c r="K29" s="886"/>
      <c r="L29" s="886"/>
      <c r="M29" s="886"/>
      <c r="N29" s="886"/>
      <c r="O29" s="886"/>
      <c r="P29" s="886"/>
      <c r="Q29" s="534">
        <v>46255</v>
      </c>
    </row>
    <row r="30" spans="3:17">
      <c r="J30" s="519" t="s">
        <v>514</v>
      </c>
      <c r="K30" s="887"/>
      <c r="L30" s="887"/>
      <c r="M30" s="887"/>
      <c r="N30" s="887"/>
      <c r="O30" s="887"/>
      <c r="P30" s="887"/>
      <c r="Q30" s="535">
        <v>49590</v>
      </c>
    </row>
    <row r="31" spans="3:17">
      <c r="J31" s="519" t="s">
        <v>515</v>
      </c>
      <c r="K31" s="887"/>
      <c r="L31" s="887"/>
      <c r="M31" s="887"/>
      <c r="N31" s="887"/>
      <c r="O31" s="887"/>
      <c r="P31" s="887"/>
      <c r="Q31" s="535">
        <v>49590</v>
      </c>
    </row>
    <row r="32" spans="3:17">
      <c r="J32" s="519" t="s">
        <v>516</v>
      </c>
      <c r="K32" s="887"/>
      <c r="L32" s="887"/>
      <c r="M32" s="887"/>
      <c r="N32" s="887"/>
      <c r="O32" s="887"/>
      <c r="P32" s="887"/>
      <c r="Q32" s="535">
        <v>57522</v>
      </c>
    </row>
    <row r="33" spans="10:17">
      <c r="J33" s="519" t="s">
        <v>517</v>
      </c>
      <c r="K33" s="887"/>
      <c r="L33" s="887"/>
      <c r="M33" s="887"/>
      <c r="N33" s="887"/>
      <c r="O33" s="887"/>
      <c r="P33" s="887"/>
      <c r="Q33" s="535">
        <v>37555</v>
      </c>
    </row>
    <row r="34" spans="10:17" ht="15.75" thickBot="1">
      <c r="J34" s="536" t="s">
        <v>518</v>
      </c>
      <c r="K34" s="888"/>
      <c r="L34" s="888"/>
      <c r="M34" s="888"/>
      <c r="N34" s="888"/>
      <c r="O34" s="888"/>
      <c r="P34" s="888"/>
      <c r="Q34" s="537">
        <v>98455</v>
      </c>
    </row>
    <row r="35" spans="10:17">
      <c r="J35" s="533" t="s">
        <v>519</v>
      </c>
      <c r="Q35" s="545">
        <f>+Q18+Q18</f>
        <v>26680</v>
      </c>
    </row>
  </sheetData>
  <mergeCells count="14">
    <mergeCell ref="J10:K12"/>
    <mergeCell ref="M10:Q10"/>
    <mergeCell ref="M11:Q11"/>
    <mergeCell ref="M12:Q12"/>
    <mergeCell ref="C4:F4"/>
    <mergeCell ref="C6:F6"/>
    <mergeCell ref="J7:Q7"/>
    <mergeCell ref="J9:K9"/>
    <mergeCell ref="L9:P9"/>
    <mergeCell ref="J14:J15"/>
    <mergeCell ref="L14:M14"/>
    <mergeCell ref="N14:O14"/>
    <mergeCell ref="P14:Q14"/>
    <mergeCell ref="K29:P34"/>
  </mergeCells>
  <pageMargins left="0.7" right="0.7" top="0.75" bottom="0.75" header="0.3" footer="0.3"/>
  <pageSetup scale="3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EF57A-E3DD-4E9F-B704-1E963BC84E1E}">
  <dimension ref="B1:M919"/>
  <sheetViews>
    <sheetView showGridLines="0" zoomScale="70" zoomScaleNormal="70" workbookViewId="0">
      <selection activeCell="J10" sqref="B10:J10"/>
    </sheetView>
  </sheetViews>
  <sheetFormatPr baseColWidth="10" defaultColWidth="14.42578125" defaultRowHeight="15" customHeight="1"/>
  <cols>
    <col min="1" max="2" width="10.7109375" style="319" customWidth="1"/>
    <col min="3" max="3" width="53.7109375" style="319" customWidth="1"/>
    <col min="4" max="4" width="12.5703125" style="319" customWidth="1"/>
    <col min="5" max="5" width="17.5703125" style="319" customWidth="1"/>
    <col min="6" max="6" width="17" style="319" customWidth="1"/>
    <col min="7" max="7" width="21.28515625" style="319" customWidth="1"/>
    <col min="8" max="8" width="30.85546875" style="319" customWidth="1"/>
    <col min="9" max="9" width="31.140625" style="319" customWidth="1"/>
    <col min="10" max="10" width="27.42578125" style="319" customWidth="1"/>
    <col min="11" max="11" width="27.140625" style="319" bestFit="1" customWidth="1"/>
    <col min="12" max="12" width="23.7109375" style="319" customWidth="1"/>
    <col min="13" max="13" width="25.85546875" style="319" customWidth="1"/>
    <col min="14" max="16384" width="14.42578125" style="319"/>
  </cols>
  <sheetData>
    <row r="1" spans="2:13">
      <c r="F1" s="11"/>
      <c r="G1" s="11"/>
    </row>
    <row r="2" spans="2:13" ht="15.75">
      <c r="B2" s="863" t="s">
        <v>5</v>
      </c>
      <c r="C2" s="864"/>
      <c r="D2" s="865"/>
      <c r="E2" s="869" t="s">
        <v>6</v>
      </c>
      <c r="F2" s="870"/>
      <c r="G2" s="871"/>
      <c r="H2" s="375"/>
      <c r="I2" s="375"/>
      <c r="J2" s="375"/>
    </row>
    <row r="3" spans="2:13" ht="15.75">
      <c r="B3" s="866"/>
      <c r="C3" s="867"/>
      <c r="D3" s="868"/>
      <c r="E3" s="869" t="s">
        <v>427</v>
      </c>
      <c r="F3" s="870"/>
      <c r="G3" s="871"/>
      <c r="H3" s="375"/>
      <c r="I3" s="375"/>
      <c r="J3" s="375"/>
    </row>
    <row r="4" spans="2:13" ht="54" customHeight="1">
      <c r="B4" s="872" t="s">
        <v>8</v>
      </c>
      <c r="C4" s="874" t="s">
        <v>434</v>
      </c>
      <c r="D4" s="864"/>
      <c r="E4" s="865"/>
      <c r="F4" s="875" t="s">
        <v>10</v>
      </c>
      <c r="G4" s="876" t="s">
        <v>432</v>
      </c>
      <c r="H4" s="375"/>
      <c r="I4" s="375"/>
      <c r="J4" s="375"/>
    </row>
    <row r="5" spans="2:13" ht="21.75" customHeight="1" thickBot="1">
      <c r="B5" s="873"/>
      <c r="C5" s="866"/>
      <c r="D5" s="867"/>
      <c r="E5" s="868"/>
      <c r="F5" s="873"/>
      <c r="G5" s="873"/>
      <c r="H5" s="375"/>
      <c r="I5" s="375"/>
      <c r="J5" s="375"/>
    </row>
    <row r="6" spans="2:13" ht="45.75" customHeight="1" thickBot="1">
      <c r="B6" s="376"/>
      <c r="C6" s="377"/>
      <c r="D6" s="378"/>
      <c r="E6" s="379"/>
      <c r="F6" s="380"/>
      <c r="G6" s="380"/>
      <c r="H6" s="880" t="s">
        <v>416</v>
      </c>
      <c r="I6" s="881"/>
      <c r="J6" s="882"/>
      <c r="K6" s="12"/>
    </row>
    <row r="7" spans="2:13" ht="28.5" customHeight="1">
      <c r="B7" s="845" t="s">
        <v>469</v>
      </c>
      <c r="C7" s="846"/>
      <c r="D7" s="846"/>
      <c r="E7" s="846"/>
      <c r="F7" s="846"/>
      <c r="G7" s="846"/>
      <c r="H7" s="846"/>
      <c r="I7" s="847"/>
      <c r="J7" s="381" t="s">
        <v>16</v>
      </c>
      <c r="K7" s="13"/>
    </row>
    <row r="8" spans="2:13" ht="33.75" customHeight="1">
      <c r="B8" s="382" t="s">
        <v>21</v>
      </c>
      <c r="C8" s="897" t="s">
        <v>22</v>
      </c>
      <c r="D8" s="898"/>
      <c r="E8" s="899"/>
      <c r="F8" s="383" t="s">
        <v>23</v>
      </c>
      <c r="G8" s="383" t="s">
        <v>431</v>
      </c>
      <c r="H8" s="383" t="s">
        <v>24</v>
      </c>
      <c r="I8" s="383" t="s">
        <v>25</v>
      </c>
      <c r="J8" s="384" t="s">
        <v>26</v>
      </c>
      <c r="K8" s="6"/>
    </row>
    <row r="9" spans="2:13" ht="78" customHeight="1">
      <c r="B9" s="436" t="s">
        <v>458</v>
      </c>
      <c r="C9" s="900" t="str">
        <f>+C88</f>
        <v>MURO EN PLACA DE FIBROCEMENTO 8mm - 2 CARA (INC. ACABADOS - AILASMIENTO ACUSTICO ) - e= 10,6CM</v>
      </c>
      <c r="D9" s="901"/>
      <c r="E9" s="902"/>
      <c r="F9" s="474" t="s">
        <v>35</v>
      </c>
      <c r="G9" s="475">
        <f>+((10+10)*2.7)-(3*1.5*2)-(1.5*1*2)</f>
        <v>42</v>
      </c>
      <c r="H9" s="476">
        <f>+H88</f>
        <v>159590.74345161524</v>
      </c>
      <c r="I9" s="477">
        <f>+H9*G9</f>
        <v>6702811.2249678401</v>
      </c>
      <c r="J9" s="478">
        <f>+I9/$I$17</f>
        <v>0.20767633268368232</v>
      </c>
      <c r="K9" s="6"/>
      <c r="L9" s="469"/>
      <c r="M9" s="469"/>
    </row>
    <row r="10" spans="2:13" ht="78" customHeight="1">
      <c r="B10" s="436" t="s">
        <v>459</v>
      </c>
      <c r="C10" s="900" t="s">
        <v>466</v>
      </c>
      <c r="D10" s="901"/>
      <c r="E10" s="902"/>
      <c r="F10" s="474" t="s">
        <v>35</v>
      </c>
      <c r="G10" s="475">
        <v>30</v>
      </c>
      <c r="H10" s="476">
        <v>658000</v>
      </c>
      <c r="I10" s="477">
        <f>+H10*G10</f>
        <v>19740000</v>
      </c>
      <c r="J10" s="478">
        <f t="shared" ref="J10:J15" si="0">+I10/$I$17</f>
        <v>0.61161364531723905</v>
      </c>
      <c r="K10" s="6"/>
      <c r="L10" s="469"/>
      <c r="M10" s="469"/>
    </row>
    <row r="11" spans="2:13" ht="78" customHeight="1">
      <c r="B11" s="437" t="s">
        <v>460</v>
      </c>
      <c r="C11" s="895" t="str">
        <f>+C105</f>
        <v xml:space="preserve">SUMINISTRO E INSTALACION VENTANA DOBEL CORREDIZA EN ALUMINIIO SECC. (1,5*1,5*2UND)  Inc. Perfiles, alfajias,  y herrajes necesarios para su corresta instalación y funcionamiento sobre muro placa fibrocemento </v>
      </c>
      <c r="D11" s="896"/>
      <c r="E11" s="896"/>
      <c r="F11" s="479" t="str">
        <f>+D105</f>
        <v>UN</v>
      </c>
      <c r="G11" s="480">
        <v>2</v>
      </c>
      <c r="H11" s="481">
        <f>+H105</f>
        <v>1435818</v>
      </c>
      <c r="I11" s="477">
        <f>+H11*G11</f>
        <v>2871636</v>
      </c>
      <c r="J11" s="478">
        <f t="shared" si="0"/>
        <v>8.897324022209803E-2</v>
      </c>
      <c r="K11" s="6"/>
    </row>
    <row r="12" spans="2:13" ht="78" customHeight="1">
      <c r="B12" s="437" t="s">
        <v>461</v>
      </c>
      <c r="C12" s="895" t="str">
        <f>+C112</f>
        <v xml:space="preserve">SUMINISTRO E INSTALACION VENTANA SIMPLE CORREDIZA EN ALUMINIIO SECC. (1,0*1,5*1UND )  Inc. Perfiles, alfajias,  y herrajes necesarios para su corresta instalación y funcionamiento sobre muro placa fibrocemento de 8mm </v>
      </c>
      <c r="D12" s="896"/>
      <c r="E12" s="896"/>
      <c r="F12" s="479" t="str">
        <f>+D112</f>
        <v>UN</v>
      </c>
      <c r="G12" s="480">
        <v>2</v>
      </c>
      <c r="H12" s="481">
        <f>+H112</f>
        <v>492304.28</v>
      </c>
      <c r="I12" s="477">
        <f>+H12*G12</f>
        <v>984608.56</v>
      </c>
      <c r="J12" s="478">
        <f t="shared" si="0"/>
        <v>3.0506587162723278E-2</v>
      </c>
      <c r="K12" s="6"/>
    </row>
    <row r="13" spans="2:13" ht="48.75" customHeight="1">
      <c r="B13" s="437" t="s">
        <v>462</v>
      </c>
      <c r="C13" s="895" t="str">
        <f>+C64</f>
        <v>SALIDA DOBLE TOMA CORRIENDO SIMPLE CABLE CU # 12 THHN AWG, TUBERIA PVC 1/2" LONG PROME 6 m</v>
      </c>
      <c r="D13" s="909"/>
      <c r="E13" s="909"/>
      <c r="F13" s="479" t="s">
        <v>42</v>
      </c>
      <c r="G13" s="480">
        <v>4</v>
      </c>
      <c r="H13" s="481">
        <f>+H64</f>
        <v>88996.65</v>
      </c>
      <c r="I13" s="481">
        <f t="shared" ref="I13" si="1">+H13*G13</f>
        <v>355986.6</v>
      </c>
      <c r="J13" s="478">
        <f t="shared" si="0"/>
        <v>1.1029699195040012E-2</v>
      </c>
      <c r="K13" s="6"/>
    </row>
    <row r="14" spans="2:13" ht="45" customHeight="1">
      <c r="B14" s="437" t="s">
        <v>463</v>
      </c>
      <c r="C14" s="895" t="str">
        <f>+C127</f>
        <v>RAMPA DE ACECSO MOVILIDAD REDUCIDA, PLACA CONTRAPISO E: 10CM  CONCRETO 21MPA</v>
      </c>
      <c r="D14" s="896"/>
      <c r="E14" s="896"/>
      <c r="F14" s="479" t="str">
        <f>+D127</f>
        <v>UND</v>
      </c>
      <c r="G14" s="480">
        <v>1</v>
      </c>
      <c r="H14" s="481">
        <f>+H127</f>
        <v>350276.9</v>
      </c>
      <c r="I14" s="481">
        <f>G14*H14</f>
        <v>350276.9</v>
      </c>
      <c r="J14" s="478">
        <f t="shared" si="0"/>
        <v>1.0852792891561399E-2</v>
      </c>
      <c r="K14" s="6"/>
    </row>
    <row r="15" spans="2:13" ht="74.25" customHeight="1">
      <c r="B15" s="437" t="s">
        <v>464</v>
      </c>
      <c r="C15" s="895" t="str">
        <f>+C80</f>
        <v>SUMINISTRO Y APLICACIÓN DE PINTURA EXTERIOR ACRILICA TEXTURIZADA IMPERMEABILIZADA  PARA EXTERIORES INCLUYE FILOS Y DILATACIONES</v>
      </c>
      <c r="D15" s="896"/>
      <c r="E15" s="896"/>
      <c r="F15" s="479" t="s">
        <v>35</v>
      </c>
      <c r="G15" s="480">
        <f>30*1</f>
        <v>30</v>
      </c>
      <c r="H15" s="481">
        <f>+H80</f>
        <v>22033.816999999995</v>
      </c>
      <c r="I15" s="481">
        <f>+H15*G15</f>
        <v>661014.50999999989</v>
      </c>
      <c r="J15" s="478">
        <f t="shared" si="0"/>
        <v>2.0480521482709652E-2</v>
      </c>
      <c r="K15" s="6"/>
    </row>
    <row r="16" spans="2:13" ht="74.25" customHeight="1">
      <c r="B16" s="437" t="s">
        <v>465</v>
      </c>
      <c r="C16" s="895" t="s">
        <v>456</v>
      </c>
      <c r="D16" s="896"/>
      <c r="E16" s="896"/>
      <c r="F16" s="479" t="s">
        <v>35</v>
      </c>
      <c r="G16" s="480">
        <f>3+3+4</f>
        <v>10</v>
      </c>
      <c r="H16" s="481">
        <f>+G101+G102</f>
        <v>60894.350000000006</v>
      </c>
      <c r="I16" s="481">
        <f>+H16*G16</f>
        <v>608943.5</v>
      </c>
      <c r="J16" s="478">
        <f t="shared" ref="J16" si="2">+I16/$I$17</f>
        <v>1.886718104494621E-2</v>
      </c>
      <c r="K16" s="6"/>
    </row>
    <row r="17" spans="2:11" ht="22.5" customHeight="1" thickBot="1">
      <c r="B17" s="877" t="s">
        <v>438</v>
      </c>
      <c r="C17" s="878"/>
      <c r="D17" s="878"/>
      <c r="E17" s="878"/>
      <c r="F17" s="878"/>
      <c r="G17" s="878"/>
      <c r="H17" s="879"/>
      <c r="I17" s="486">
        <f>+I9+I11+I13+I14+I15+I12+I16+I10</f>
        <v>32275277.294967841</v>
      </c>
      <c r="J17" s="487">
        <f>SUM(J9:J16)</f>
        <v>1</v>
      </c>
      <c r="K17" s="14"/>
    </row>
    <row r="18" spans="2:11" ht="15.75" customHeight="1">
      <c r="B18" s="375"/>
      <c r="C18" s="375"/>
      <c r="D18" s="375"/>
      <c r="E18" s="375"/>
      <c r="F18" s="385"/>
      <c r="G18" s="385"/>
      <c r="H18" s="375"/>
      <c r="I18" s="375"/>
      <c r="J18" s="375"/>
    </row>
    <row r="19" spans="2:11" ht="15.75" customHeight="1">
      <c r="B19" s="375"/>
      <c r="C19" s="375"/>
      <c r="D19" s="375"/>
      <c r="E19" s="375"/>
      <c r="F19" s="385"/>
      <c r="G19" s="385"/>
      <c r="H19" s="375"/>
      <c r="I19" s="375"/>
      <c r="J19" s="375"/>
    </row>
    <row r="20" spans="2:11" ht="15.75" customHeight="1" thickBot="1">
      <c r="B20" s="375"/>
      <c r="C20" s="375"/>
      <c r="D20" s="375"/>
      <c r="E20" s="375"/>
      <c r="F20" s="385"/>
      <c r="G20" s="385"/>
      <c r="H20" s="375"/>
      <c r="I20" s="375"/>
      <c r="J20" s="375"/>
    </row>
    <row r="21" spans="2:11" ht="15.75" customHeight="1" thickBot="1">
      <c r="B21" s="376"/>
      <c r="C21" s="377"/>
      <c r="D21" s="378"/>
      <c r="E21" s="379"/>
      <c r="F21" s="380"/>
      <c r="G21" s="380"/>
      <c r="H21" s="880" t="s">
        <v>416</v>
      </c>
      <c r="I21" s="881"/>
      <c r="J21" s="882"/>
    </row>
    <row r="22" spans="2:11" ht="15.75" customHeight="1">
      <c r="B22" s="845" t="s">
        <v>440</v>
      </c>
      <c r="C22" s="846"/>
      <c r="D22" s="846"/>
      <c r="E22" s="846"/>
      <c r="F22" s="846"/>
      <c r="G22" s="846"/>
      <c r="H22" s="846"/>
      <c r="I22" s="847"/>
      <c r="J22" s="381" t="s">
        <v>16</v>
      </c>
    </row>
    <row r="23" spans="2:11" ht="15.75" customHeight="1">
      <c r="B23" s="382" t="s">
        <v>21</v>
      </c>
      <c r="C23" s="897" t="s">
        <v>22</v>
      </c>
      <c r="D23" s="898"/>
      <c r="E23" s="899"/>
      <c r="F23" s="383" t="s">
        <v>23</v>
      </c>
      <c r="G23" s="383" t="s">
        <v>431</v>
      </c>
      <c r="H23" s="383" t="s">
        <v>24</v>
      </c>
      <c r="I23" s="383" t="s">
        <v>25</v>
      </c>
      <c r="J23" s="384" t="s">
        <v>26</v>
      </c>
    </row>
    <row r="24" spans="2:11" ht="75.75" customHeight="1">
      <c r="B24" s="436">
        <v>1</v>
      </c>
      <c r="C24" s="906" t="str">
        <f>+C9</f>
        <v>MURO EN PLACA DE FIBROCEMENTO 8mm - 2 CARA (INC. ACABADOS - AILASMIENTO ACUSTICO ) - e= 10,6CM</v>
      </c>
      <c r="D24" s="907"/>
      <c r="E24" s="908"/>
      <c r="F24" s="482" t="s">
        <v>35</v>
      </c>
      <c r="G24" s="483">
        <f>+(3*2.5)+(2*2.5*2)+(5*2.5)</f>
        <v>30</v>
      </c>
      <c r="H24" s="476">
        <f>+H9</f>
        <v>159590.74345161524</v>
      </c>
      <c r="I24" s="477">
        <f>+H24*G24</f>
        <v>4787722.3035484571</v>
      </c>
      <c r="J24" s="478">
        <f t="shared" ref="J24:J28" si="3">+I24/$I$17</f>
        <v>0.14834023763120166</v>
      </c>
    </row>
    <row r="25" spans="2:11" ht="48.75" customHeight="1">
      <c r="B25" s="437">
        <v>3</v>
      </c>
      <c r="C25" s="895" t="str">
        <f>+C121</f>
        <v xml:space="preserve">SUMINISTRO E INSTALACION DE PUERTA EN ALUMINIO, INCLUYE VIDRIO 4MM, CERRADURA, MARCO Y NAVE </v>
      </c>
      <c r="D25" s="909"/>
      <c r="E25" s="909"/>
      <c r="F25" s="479" t="s">
        <v>23</v>
      </c>
      <c r="G25" s="480">
        <v>3</v>
      </c>
      <c r="H25" s="481">
        <f>+H121</f>
        <v>792264.82</v>
      </c>
      <c r="I25" s="481">
        <f t="shared" ref="I25:I27" si="4">+H25*G25</f>
        <v>2376794.46</v>
      </c>
      <c r="J25" s="478">
        <f t="shared" si="3"/>
        <v>7.3641333528390002E-2</v>
      </c>
    </row>
    <row r="26" spans="2:11" ht="60" customHeight="1">
      <c r="B26" s="437">
        <v>5</v>
      </c>
      <c r="C26" s="895" t="str">
        <f>+C13</f>
        <v>SALIDA DOBLE TOMA CORRIENDO SIMPLE CABLE CU # 12 THHN AWG, TUBERIA PVC 1/2" LONG PROME 6 m</v>
      </c>
      <c r="D26" s="896"/>
      <c r="E26" s="896"/>
      <c r="F26" s="479" t="str">
        <f>+F13</f>
        <v>PTO</v>
      </c>
      <c r="G26" s="480">
        <v>2</v>
      </c>
      <c r="H26" s="481">
        <f>+H13</f>
        <v>88996.65</v>
      </c>
      <c r="I26" s="481">
        <f t="shared" si="4"/>
        <v>177993.3</v>
      </c>
      <c r="J26" s="478">
        <f t="shared" si="3"/>
        <v>5.5148495975200062E-3</v>
      </c>
    </row>
    <row r="27" spans="2:11" ht="76.5" customHeight="1">
      <c r="B27" s="437">
        <v>7</v>
      </c>
      <c r="C27" s="895" t="str">
        <f>+C72</f>
        <v xml:space="preserve">
SUMINISTRO E INSTALACIÓN SALIDA DATOS Y/O AUDIO CAT 5A – 6 - CAT 6E PUNTOS CON LONGITUD DE 6 METROS </v>
      </c>
      <c r="D27" s="896"/>
      <c r="E27" s="896"/>
      <c r="F27" s="479" t="str">
        <f>+D72</f>
        <v>UN</v>
      </c>
      <c r="G27" s="480">
        <v>2</v>
      </c>
      <c r="H27" s="481">
        <f>+H72</f>
        <v>149571.19999999998</v>
      </c>
      <c r="I27" s="481">
        <f t="shared" si="4"/>
        <v>299142.39999999997</v>
      </c>
      <c r="J27" s="478">
        <f t="shared" si="3"/>
        <v>9.268468780797753E-3</v>
      </c>
    </row>
    <row r="28" spans="2:11" ht="73.5" customHeight="1">
      <c r="B28" s="437">
        <v>8</v>
      </c>
      <c r="C28" s="895" t="str">
        <f>+C112</f>
        <v xml:space="preserve">SUMINISTRO E INSTALACION VENTANA SIMPLE CORREDIZA EN ALUMINIIO SECC. (1,0*1,5*1UND )  Inc. Perfiles, alfajias,  y herrajes necesarios para su corresta instalación y funcionamiento sobre muro placa fibrocemento de 8mm </v>
      </c>
      <c r="D28" s="896"/>
      <c r="E28" s="896"/>
      <c r="F28" s="479" t="s">
        <v>447</v>
      </c>
      <c r="G28" s="480">
        <v>1</v>
      </c>
      <c r="H28" s="481">
        <f>+H112</f>
        <v>492304.28</v>
      </c>
      <c r="I28" s="481">
        <f>+H28*G28</f>
        <v>492304.28</v>
      </c>
      <c r="J28" s="478">
        <f t="shared" si="3"/>
        <v>1.5253293581361639E-2</v>
      </c>
    </row>
    <row r="29" spans="2:11" ht="35.1" customHeight="1" thickBot="1">
      <c r="B29" s="903" t="s">
        <v>437</v>
      </c>
      <c r="C29" s="904"/>
      <c r="D29" s="904"/>
      <c r="E29" s="904"/>
      <c r="F29" s="904"/>
      <c r="G29" s="904"/>
      <c r="H29" s="905"/>
      <c r="I29" s="484">
        <f>+I24+I25+I26+I27+I28</f>
        <v>8133956.7435484575</v>
      </c>
      <c r="J29" s="485">
        <f>SUM(J24:J28)</f>
        <v>0.25201818311927104</v>
      </c>
    </row>
    <row r="30" spans="2:11" ht="15.75" customHeight="1">
      <c r="B30" s="375"/>
      <c r="C30" s="375"/>
      <c r="D30" s="375"/>
      <c r="E30" s="375"/>
      <c r="F30" s="385"/>
      <c r="G30" s="385"/>
      <c r="H30" s="375"/>
      <c r="I30" s="375"/>
      <c r="J30" s="375"/>
    </row>
    <row r="31" spans="2:11" ht="15.75" customHeight="1">
      <c r="B31" s="375"/>
      <c r="C31" s="375"/>
      <c r="D31" s="375"/>
      <c r="E31" s="375"/>
      <c r="F31" s="385"/>
      <c r="G31" s="385"/>
      <c r="H31" s="375"/>
      <c r="I31" s="375"/>
      <c r="J31" s="375"/>
    </row>
    <row r="32" spans="2:11" ht="15.75" customHeight="1">
      <c r="F32" s="11"/>
      <c r="G32" s="11"/>
    </row>
    <row r="33" spans="2:8" ht="15.75" customHeight="1">
      <c r="B33" s="860" t="s">
        <v>426</v>
      </c>
      <c r="C33" s="861"/>
      <c r="D33" s="861"/>
      <c r="E33" s="861"/>
      <c r="F33" s="861"/>
      <c r="G33" s="861"/>
      <c r="H33" s="862"/>
    </row>
    <row r="34" spans="2:8" ht="15.75" customHeight="1">
      <c r="F34" s="11"/>
      <c r="G34" s="11"/>
    </row>
    <row r="35" spans="2:8" ht="57" hidden="1" customHeight="1">
      <c r="B35" s="386"/>
      <c r="C35" s="387" t="s">
        <v>421</v>
      </c>
      <c r="D35" s="388" t="s">
        <v>35</v>
      </c>
      <c r="E35" s="388"/>
      <c r="F35" s="388"/>
      <c r="G35" s="389"/>
      <c r="H35" s="390">
        <f>SUM(G36:G46)-0.21</f>
        <v>83368.996000218394</v>
      </c>
    </row>
    <row r="36" spans="2:8" ht="15.75" hidden="1" customHeight="1">
      <c r="B36" s="391"/>
      <c r="C36" s="392" t="s">
        <v>149</v>
      </c>
      <c r="D36" s="393" t="s">
        <v>46</v>
      </c>
      <c r="E36" s="394">
        <v>0.35</v>
      </c>
      <c r="F36" s="395">
        <v>1799.9999999999998</v>
      </c>
      <c r="G36" s="396">
        <f>+E36*F36</f>
        <v>629.99999999999989</v>
      </c>
      <c r="H36" s="397"/>
    </row>
    <row r="37" spans="2:8" ht="15.75" hidden="1" customHeight="1">
      <c r="B37" s="391"/>
      <c r="C37" s="392" t="s">
        <v>150</v>
      </c>
      <c r="D37" s="393" t="s">
        <v>46</v>
      </c>
      <c r="E37" s="394">
        <v>0.7</v>
      </c>
      <c r="F37" s="395">
        <v>9500</v>
      </c>
      <c r="G37" s="396">
        <f t="shared" ref="G37:G46" si="5">+E37*F37</f>
        <v>6650</v>
      </c>
      <c r="H37" s="397"/>
    </row>
    <row r="38" spans="2:8" ht="15.75" hidden="1" customHeight="1">
      <c r="B38" s="391"/>
      <c r="C38" s="398" t="s">
        <v>97</v>
      </c>
      <c r="D38" s="393" t="s">
        <v>94</v>
      </c>
      <c r="E38" s="394">
        <v>12</v>
      </c>
      <c r="F38" s="395">
        <v>28.000000018200002</v>
      </c>
      <c r="G38" s="396">
        <f t="shared" si="5"/>
        <v>336.00000021840003</v>
      </c>
      <c r="H38" s="397"/>
    </row>
    <row r="39" spans="2:8" ht="15.75" hidden="1" customHeight="1">
      <c r="B39" s="391"/>
      <c r="C39" s="398" t="s">
        <v>98</v>
      </c>
      <c r="D39" s="393" t="s">
        <v>94</v>
      </c>
      <c r="E39" s="394">
        <v>12</v>
      </c>
      <c r="F39" s="395">
        <v>20.23</v>
      </c>
      <c r="G39" s="396">
        <f t="shared" si="5"/>
        <v>242.76</v>
      </c>
      <c r="H39" s="397"/>
    </row>
    <row r="40" spans="2:8" ht="15.75" hidden="1" customHeight="1">
      <c r="B40" s="391"/>
      <c r="C40" s="392" t="s">
        <v>151</v>
      </c>
      <c r="D40" s="393" t="s">
        <v>94</v>
      </c>
      <c r="E40" s="394">
        <v>10</v>
      </c>
      <c r="F40" s="395">
        <v>34.986000000000004</v>
      </c>
      <c r="G40" s="396">
        <f t="shared" si="5"/>
        <v>349.86</v>
      </c>
      <c r="H40" s="397"/>
    </row>
    <row r="41" spans="2:8" ht="15.75" hidden="1" customHeight="1">
      <c r="B41" s="391"/>
      <c r="C41" s="392" t="s">
        <v>152</v>
      </c>
      <c r="D41" s="393" t="s">
        <v>23</v>
      </c>
      <c r="E41" s="394">
        <v>0.6</v>
      </c>
      <c r="F41" s="395">
        <v>3518</v>
      </c>
      <c r="G41" s="396">
        <f t="shared" si="5"/>
        <v>2110.7999999999997</v>
      </c>
      <c r="H41" s="397"/>
    </row>
    <row r="42" spans="2:8" ht="15.75" hidden="1" customHeight="1">
      <c r="B42" s="391"/>
      <c r="C42" s="392" t="s">
        <v>153</v>
      </c>
      <c r="D42" s="393" t="s">
        <v>23</v>
      </c>
      <c r="E42" s="394">
        <v>0.65</v>
      </c>
      <c r="F42" s="395">
        <v>3615.0000000000005</v>
      </c>
      <c r="G42" s="396">
        <f t="shared" si="5"/>
        <v>2349.7500000000005</v>
      </c>
      <c r="H42" s="397"/>
    </row>
    <row r="43" spans="2:8" ht="18" hidden="1" customHeight="1">
      <c r="B43" s="391"/>
      <c r="C43" s="392" t="s">
        <v>154</v>
      </c>
      <c r="D43" s="393" t="s">
        <v>35</v>
      </c>
      <c r="E43" s="394">
        <v>1</v>
      </c>
      <c r="F43" s="395">
        <v>24395</v>
      </c>
      <c r="G43" s="396">
        <f t="shared" si="5"/>
        <v>24395</v>
      </c>
      <c r="H43" s="397"/>
    </row>
    <row r="44" spans="2:8" ht="18" hidden="1" customHeight="1">
      <c r="B44" s="391"/>
      <c r="C44" s="392" t="s">
        <v>424</v>
      </c>
      <c r="D44" s="393" t="s">
        <v>35</v>
      </c>
      <c r="E44" s="394">
        <v>1.2</v>
      </c>
      <c r="F44" s="395">
        <v>14000</v>
      </c>
      <c r="G44" s="396">
        <f t="shared" si="5"/>
        <v>16800</v>
      </c>
      <c r="H44" s="397"/>
    </row>
    <row r="45" spans="2:8" ht="15.75" hidden="1" customHeight="1">
      <c r="B45" s="391"/>
      <c r="C45" s="392" t="s">
        <v>71</v>
      </c>
      <c r="D45" s="393" t="s">
        <v>72</v>
      </c>
      <c r="E45" s="394">
        <v>0.6</v>
      </c>
      <c r="F45" s="395">
        <v>45958</v>
      </c>
      <c r="G45" s="396">
        <f t="shared" si="5"/>
        <v>27574.799999999999</v>
      </c>
      <c r="H45" s="397"/>
    </row>
    <row r="46" spans="2:8" ht="15.75" hidden="1" customHeight="1">
      <c r="B46" s="399"/>
      <c r="C46" s="400" t="s">
        <v>87</v>
      </c>
      <c r="D46" s="401" t="s">
        <v>88</v>
      </c>
      <c r="E46" s="402">
        <v>7.0000000000000007E-2</v>
      </c>
      <c r="F46" s="403">
        <v>27574.799999999999</v>
      </c>
      <c r="G46" s="404">
        <f t="shared" si="5"/>
        <v>1930.2360000000001</v>
      </c>
      <c r="H46" s="405"/>
    </row>
    <row r="47" spans="2:8" ht="15.75" hidden="1" customHeight="1">
      <c r="B47" s="375"/>
      <c r="C47" s="375"/>
      <c r="D47" s="375"/>
      <c r="E47" s="375"/>
      <c r="F47" s="406"/>
      <c r="G47" s="406"/>
      <c r="H47" s="375"/>
    </row>
    <row r="48" spans="2:8" ht="15.75" hidden="1" customHeight="1">
      <c r="B48" s="375"/>
      <c r="C48" s="375"/>
      <c r="D48" s="375"/>
      <c r="E48" s="375"/>
      <c r="F48" s="406"/>
      <c r="G48" s="406"/>
      <c r="H48" s="375"/>
    </row>
    <row r="49" spans="2:8" ht="57" hidden="1" customHeight="1">
      <c r="B49" s="407"/>
      <c r="C49" s="408" t="s">
        <v>419</v>
      </c>
      <c r="D49" s="409" t="s">
        <v>94</v>
      </c>
      <c r="E49" s="410"/>
      <c r="F49" s="411"/>
      <c r="G49" s="411"/>
      <c r="H49" s="412">
        <f>SUM(G50:G56)</f>
        <v>77164.725000000006</v>
      </c>
    </row>
    <row r="50" spans="2:8" ht="15.75" hidden="1" customHeight="1">
      <c r="B50" s="413"/>
      <c r="C50" s="414" t="s">
        <v>116</v>
      </c>
      <c r="D50" s="414" t="s">
        <v>94</v>
      </c>
      <c r="E50" s="414">
        <v>2</v>
      </c>
      <c r="F50" s="415">
        <v>1390</v>
      </c>
      <c r="G50" s="416">
        <f>+E50*F50</f>
        <v>2780</v>
      </c>
      <c r="H50" s="417"/>
    </row>
    <row r="51" spans="2:8" ht="15.75" hidden="1" customHeight="1">
      <c r="B51" s="413"/>
      <c r="C51" s="414" t="s">
        <v>117</v>
      </c>
      <c r="D51" s="414" t="s">
        <v>94</v>
      </c>
      <c r="E51" s="414">
        <v>1</v>
      </c>
      <c r="F51" s="415">
        <v>6300</v>
      </c>
      <c r="G51" s="416">
        <f t="shared" ref="G51:G56" si="6">+E51*F51</f>
        <v>6300</v>
      </c>
      <c r="H51" s="417"/>
    </row>
    <row r="52" spans="2:8" ht="15.75" hidden="1" customHeight="1">
      <c r="B52" s="413"/>
      <c r="C52" s="414" t="s">
        <v>183</v>
      </c>
      <c r="D52" s="414" t="s">
        <v>46</v>
      </c>
      <c r="E52" s="414">
        <v>0.5</v>
      </c>
      <c r="F52" s="415">
        <v>2410</v>
      </c>
      <c r="G52" s="416">
        <f t="shared" si="6"/>
        <v>1205</v>
      </c>
      <c r="H52" s="417"/>
    </row>
    <row r="53" spans="2:8" ht="15.75" hidden="1" customHeight="1">
      <c r="B53" s="413"/>
      <c r="C53" s="414" t="s">
        <v>422</v>
      </c>
      <c r="D53" s="414" t="s">
        <v>46</v>
      </c>
      <c r="E53" s="414">
        <v>0.5</v>
      </c>
      <c r="F53" s="415">
        <v>1513</v>
      </c>
      <c r="G53" s="416">
        <f t="shared" si="6"/>
        <v>756.5</v>
      </c>
      <c r="H53" s="417"/>
    </row>
    <row r="54" spans="2:8" ht="15.75" hidden="1" customHeight="1">
      <c r="B54" s="413"/>
      <c r="C54" s="418" t="s">
        <v>423</v>
      </c>
      <c r="D54" s="414" t="s">
        <v>94</v>
      </c>
      <c r="E54" s="414">
        <v>1</v>
      </c>
      <c r="F54" s="415">
        <v>39900</v>
      </c>
      <c r="G54" s="416">
        <f t="shared" si="6"/>
        <v>39900</v>
      </c>
      <c r="H54" s="417"/>
    </row>
    <row r="55" spans="2:8" ht="15.75" hidden="1" customHeight="1">
      <c r="B55" s="413"/>
      <c r="C55" s="414" t="s">
        <v>78</v>
      </c>
      <c r="D55" s="414" t="s">
        <v>72</v>
      </c>
      <c r="E55" s="414">
        <v>0.5</v>
      </c>
      <c r="F55" s="415">
        <v>49949</v>
      </c>
      <c r="G55" s="416">
        <f t="shared" si="6"/>
        <v>24974.5</v>
      </c>
      <c r="H55" s="417"/>
    </row>
    <row r="56" spans="2:8" ht="15.75" hidden="1" customHeight="1">
      <c r="B56" s="419"/>
      <c r="C56" s="420" t="s">
        <v>87</v>
      </c>
      <c r="D56" s="420" t="s">
        <v>88</v>
      </c>
      <c r="E56" s="420">
        <v>0.05</v>
      </c>
      <c r="F56" s="421">
        <v>24974.5</v>
      </c>
      <c r="G56" s="422">
        <f t="shared" si="6"/>
        <v>1248.7250000000001</v>
      </c>
      <c r="H56" s="423"/>
    </row>
    <row r="57" spans="2:8" ht="15.75" hidden="1" customHeight="1">
      <c r="B57" s="375"/>
      <c r="C57" s="375"/>
      <c r="D57" s="375"/>
      <c r="E57" s="375"/>
      <c r="F57" s="406"/>
      <c r="G57" s="406"/>
      <c r="H57" s="375"/>
    </row>
    <row r="58" spans="2:8" ht="15.75" hidden="1" customHeight="1">
      <c r="B58" s="375"/>
      <c r="C58" s="375"/>
      <c r="D58" s="375"/>
      <c r="E58" s="375"/>
      <c r="F58" s="406"/>
      <c r="G58" s="406"/>
      <c r="H58" s="375"/>
    </row>
    <row r="59" spans="2:8" ht="48" hidden="1" customHeight="1">
      <c r="B59" s="407"/>
      <c r="C59" s="424" t="s">
        <v>425</v>
      </c>
      <c r="D59" s="409" t="s">
        <v>35</v>
      </c>
      <c r="E59" s="410"/>
      <c r="F59" s="411"/>
      <c r="G59" s="411"/>
      <c r="H59" s="412">
        <f>SUM(G60:G61)</f>
        <v>76979.650000000009</v>
      </c>
    </row>
    <row r="60" spans="2:8" ht="15.75" hidden="1" customHeight="1">
      <c r="B60" s="413"/>
      <c r="C60" s="414" t="s">
        <v>71</v>
      </c>
      <c r="D60" s="414" t="s">
        <v>72</v>
      </c>
      <c r="E60" s="414">
        <v>1.6</v>
      </c>
      <c r="F60" s="415">
        <v>45958</v>
      </c>
      <c r="G60" s="416">
        <f t="shared" ref="G60:G61" si="7">+E60*F60</f>
        <v>73532.800000000003</v>
      </c>
      <c r="H60" s="417"/>
    </row>
    <row r="61" spans="2:8" ht="15.75" hidden="1" customHeight="1">
      <c r="B61" s="419"/>
      <c r="C61" s="420" t="s">
        <v>87</v>
      </c>
      <c r="D61" s="420" t="s">
        <v>144</v>
      </c>
      <c r="E61" s="420">
        <v>0.05</v>
      </c>
      <c r="F61" s="421">
        <v>68937</v>
      </c>
      <c r="G61" s="422">
        <f t="shared" si="7"/>
        <v>3446.8500000000004</v>
      </c>
      <c r="H61" s="423"/>
    </row>
    <row r="62" spans="2:8" ht="15.75" customHeight="1">
      <c r="B62" s="375"/>
      <c r="C62" s="375"/>
      <c r="D62" s="375"/>
      <c r="E62" s="375"/>
      <c r="F62" s="406"/>
      <c r="G62" s="406"/>
      <c r="H62" s="375"/>
    </row>
    <row r="63" spans="2:8" ht="15.75" customHeight="1">
      <c r="B63" s="375"/>
      <c r="C63" s="375"/>
      <c r="D63" s="375"/>
      <c r="E63" s="375"/>
      <c r="F63" s="406"/>
      <c r="G63" s="406"/>
      <c r="H63" s="375"/>
    </row>
    <row r="64" spans="2:8" ht="45.75" customHeight="1">
      <c r="B64" s="386"/>
      <c r="C64" s="425" t="s">
        <v>449</v>
      </c>
      <c r="D64" s="426" t="s">
        <v>94</v>
      </c>
      <c r="E64" s="427"/>
      <c r="F64" s="428"/>
      <c r="G64" s="429"/>
      <c r="H64" s="390">
        <f>SUM(G65:G69)</f>
        <v>88996.65</v>
      </c>
    </row>
    <row r="65" spans="2:9" ht="45.75" customHeight="1">
      <c r="B65" s="391"/>
      <c r="C65" s="470" t="s">
        <v>446</v>
      </c>
      <c r="D65" s="471" t="s">
        <v>447</v>
      </c>
      <c r="E65" s="434">
        <v>1</v>
      </c>
      <c r="F65" s="395">
        <v>12500</v>
      </c>
      <c r="G65" s="396">
        <f t="shared" ref="G65:G69" si="8">+E65*F65</f>
        <v>12500</v>
      </c>
      <c r="H65" s="472"/>
    </row>
    <row r="66" spans="2:9" ht="15.75" customHeight="1">
      <c r="B66" s="391"/>
      <c r="C66" s="398" t="s">
        <v>117</v>
      </c>
      <c r="D66" s="393" t="s">
        <v>94</v>
      </c>
      <c r="E66" s="394">
        <v>1</v>
      </c>
      <c r="F66" s="395">
        <v>6300</v>
      </c>
      <c r="G66" s="396">
        <f t="shared" si="8"/>
        <v>6300</v>
      </c>
      <c r="H66" s="397"/>
    </row>
    <row r="67" spans="2:9" ht="15.75" customHeight="1">
      <c r="B67" s="391"/>
      <c r="C67" s="398" t="s">
        <v>118</v>
      </c>
      <c r="D67" s="393" t="s">
        <v>46</v>
      </c>
      <c r="E67" s="394">
        <v>9</v>
      </c>
      <c r="F67" s="395">
        <v>2410</v>
      </c>
      <c r="G67" s="396">
        <f t="shared" si="8"/>
        <v>21690</v>
      </c>
      <c r="H67" s="397"/>
    </row>
    <row r="68" spans="2:9" ht="15.75" customHeight="1">
      <c r="B68" s="391"/>
      <c r="C68" s="398" t="s">
        <v>448</v>
      </c>
      <c r="D68" s="393" t="s">
        <v>94</v>
      </c>
      <c r="E68" s="394">
        <v>1.1000000000000001</v>
      </c>
      <c r="F68" s="395">
        <v>5500</v>
      </c>
      <c r="G68" s="396">
        <f t="shared" si="8"/>
        <v>6050.0000000000009</v>
      </c>
      <c r="H68" s="397"/>
    </row>
    <row r="69" spans="2:9" ht="15.75" customHeight="1">
      <c r="B69" s="399"/>
      <c r="C69" s="430" t="s">
        <v>78</v>
      </c>
      <c r="D69" s="401" t="s">
        <v>72</v>
      </c>
      <c r="E69" s="402">
        <v>0.85</v>
      </c>
      <c r="F69" s="403">
        <v>49949</v>
      </c>
      <c r="G69" s="404">
        <f t="shared" si="8"/>
        <v>42456.65</v>
      </c>
      <c r="H69" s="431"/>
    </row>
    <row r="70" spans="2:9" ht="15.75" customHeight="1">
      <c r="B70" s="375"/>
      <c r="C70" s="375"/>
      <c r="D70" s="375"/>
      <c r="E70" s="375"/>
      <c r="F70" s="406"/>
      <c r="G70" s="406"/>
      <c r="H70" s="375"/>
    </row>
    <row r="71" spans="2:9" ht="15.75" customHeight="1">
      <c r="B71" s="375"/>
      <c r="C71" s="375"/>
      <c r="D71" s="375"/>
      <c r="E71" s="375"/>
      <c r="F71" s="406"/>
      <c r="G71" s="406"/>
      <c r="H71" s="375"/>
    </row>
    <row r="72" spans="2:9" ht="66" customHeight="1">
      <c r="B72" s="386"/>
      <c r="C72" s="425" t="s">
        <v>452</v>
      </c>
      <c r="D72" s="426" t="s">
        <v>94</v>
      </c>
      <c r="E72" s="427"/>
      <c r="F72" s="428"/>
      <c r="G72" s="429"/>
      <c r="H72" s="390">
        <f>SUM(G73:G77)</f>
        <v>149571.19999999998</v>
      </c>
    </row>
    <row r="73" spans="2:9" ht="15.75" customHeight="1">
      <c r="B73" s="391"/>
      <c r="C73" s="398" t="s">
        <v>450</v>
      </c>
      <c r="D73" s="393" t="s">
        <v>46</v>
      </c>
      <c r="E73" s="394">
        <v>6</v>
      </c>
      <c r="F73" s="395">
        <v>4800</v>
      </c>
      <c r="G73" s="396">
        <f t="shared" ref="G73:G75" si="9">+E73*F73</f>
        <v>28800</v>
      </c>
      <c r="H73" s="397"/>
    </row>
    <row r="74" spans="2:9" ht="15.75" customHeight="1">
      <c r="B74" s="391"/>
      <c r="C74" s="398" t="s">
        <v>451</v>
      </c>
      <c r="D74" s="393" t="s">
        <v>94</v>
      </c>
      <c r="E74" s="394">
        <v>1</v>
      </c>
      <c r="F74" s="395">
        <v>27000</v>
      </c>
      <c r="G74" s="396">
        <f t="shared" si="9"/>
        <v>27000</v>
      </c>
      <c r="H74" s="397"/>
    </row>
    <row r="75" spans="2:9" ht="15.75" customHeight="1">
      <c r="B75" s="391"/>
      <c r="C75" s="398" t="s">
        <v>124</v>
      </c>
      <c r="D75" s="393" t="s">
        <v>94</v>
      </c>
      <c r="E75" s="394">
        <v>1</v>
      </c>
      <c r="F75" s="395">
        <v>25000</v>
      </c>
      <c r="G75" s="396">
        <f t="shared" si="9"/>
        <v>25000</v>
      </c>
      <c r="H75" s="397"/>
    </row>
    <row r="76" spans="2:9" ht="15.75" customHeight="1">
      <c r="B76" s="391"/>
      <c r="C76" s="392" t="s">
        <v>78</v>
      </c>
      <c r="D76" s="393" t="s">
        <v>72</v>
      </c>
      <c r="E76" s="394">
        <v>1.2</v>
      </c>
      <c r="F76" s="395">
        <v>49949</v>
      </c>
      <c r="G76" s="396">
        <f>+E76*F76-31.01</f>
        <v>59907.789999999994</v>
      </c>
      <c r="H76" s="397"/>
    </row>
    <row r="77" spans="2:9" ht="15.75" customHeight="1">
      <c r="B77" s="399"/>
      <c r="C77" s="400" t="s">
        <v>87</v>
      </c>
      <c r="D77" s="401" t="s">
        <v>88</v>
      </c>
      <c r="E77" s="402">
        <v>0.15</v>
      </c>
      <c r="F77" s="403">
        <v>59938.8</v>
      </c>
      <c r="G77" s="404">
        <f>+E77*F77-127.41</f>
        <v>8863.41</v>
      </c>
      <c r="H77" s="405"/>
    </row>
    <row r="78" spans="2:9" ht="15.75" customHeight="1">
      <c r="B78" s="375"/>
      <c r="C78" s="375"/>
      <c r="D78" s="375"/>
      <c r="E78" s="375"/>
      <c r="F78" s="406"/>
      <c r="G78" s="406"/>
      <c r="H78" s="375"/>
    </row>
    <row r="79" spans="2:9" ht="15.75" customHeight="1">
      <c r="B79" s="375"/>
      <c r="C79" s="375"/>
      <c r="D79" s="375"/>
      <c r="E79" s="375"/>
      <c r="F79" s="406"/>
      <c r="G79" s="406"/>
      <c r="H79" s="375"/>
    </row>
    <row r="80" spans="2:9" ht="78" customHeight="1">
      <c r="B80" s="386"/>
      <c r="C80" s="425" t="s">
        <v>455</v>
      </c>
      <c r="D80" s="426" t="s">
        <v>35</v>
      </c>
      <c r="E80" s="427"/>
      <c r="F80" s="428"/>
      <c r="G80" s="429"/>
      <c r="H80" s="390">
        <f>SUM(G81:G86)-0.06</f>
        <v>22033.816999999995</v>
      </c>
      <c r="I80" s="326"/>
    </row>
    <row r="81" spans="2:11" ht="15.75" customHeight="1">
      <c r="B81" s="391"/>
      <c r="C81" s="392" t="s">
        <v>445</v>
      </c>
      <c r="D81" s="393" t="s">
        <v>108</v>
      </c>
      <c r="E81" s="394">
        <v>0.12</v>
      </c>
      <c r="F81" s="395">
        <v>50300</v>
      </c>
      <c r="G81" s="396">
        <f t="shared" ref="G81:G84" si="10">+E81*F81</f>
        <v>6036</v>
      </c>
      <c r="H81" s="397"/>
      <c r="K81" s="469"/>
    </row>
    <row r="82" spans="2:11" ht="15.75" customHeight="1">
      <c r="B82" s="391"/>
      <c r="C82" s="392" t="s">
        <v>167</v>
      </c>
      <c r="D82" s="393" t="s">
        <v>94</v>
      </c>
      <c r="E82" s="394">
        <v>0.02</v>
      </c>
      <c r="F82" s="395">
        <v>7500</v>
      </c>
      <c r="G82" s="396">
        <f t="shared" si="10"/>
        <v>150</v>
      </c>
      <c r="H82" s="397"/>
    </row>
    <row r="83" spans="2:11" ht="15.75" customHeight="1">
      <c r="B83" s="391"/>
      <c r="C83" s="392" t="s">
        <v>96</v>
      </c>
      <c r="D83" s="393" t="s">
        <v>94</v>
      </c>
      <c r="E83" s="394">
        <v>0.2</v>
      </c>
      <c r="F83" s="395">
        <v>1200</v>
      </c>
      <c r="G83" s="396">
        <f t="shared" si="10"/>
        <v>240</v>
      </c>
      <c r="H83" s="397"/>
    </row>
    <row r="84" spans="2:11" ht="15.75" customHeight="1">
      <c r="B84" s="391"/>
      <c r="C84" s="392" t="s">
        <v>168</v>
      </c>
      <c r="D84" s="393" t="s">
        <v>94</v>
      </c>
      <c r="E84" s="394">
        <v>0.1</v>
      </c>
      <c r="F84" s="395">
        <v>9900</v>
      </c>
      <c r="G84" s="396">
        <f t="shared" si="10"/>
        <v>990</v>
      </c>
      <c r="H84" s="397"/>
    </row>
    <row r="85" spans="2:11" ht="15.75" customHeight="1">
      <c r="B85" s="391"/>
      <c r="C85" s="392" t="s">
        <v>76</v>
      </c>
      <c r="D85" s="393" t="s">
        <v>72</v>
      </c>
      <c r="E85" s="394">
        <v>0.3</v>
      </c>
      <c r="F85" s="395">
        <v>45958</v>
      </c>
      <c r="G85" s="396">
        <f>+E85*F85+3.05</f>
        <v>13790.449999999999</v>
      </c>
      <c r="H85" s="397"/>
    </row>
    <row r="86" spans="2:11" ht="15.75" customHeight="1">
      <c r="B86" s="399"/>
      <c r="C86" s="430" t="s">
        <v>87</v>
      </c>
      <c r="D86" s="401" t="s">
        <v>88</v>
      </c>
      <c r="E86" s="402">
        <v>0.06</v>
      </c>
      <c r="F86" s="403">
        <f>+G85</f>
        <v>13790.449999999999</v>
      </c>
      <c r="G86" s="404">
        <f>+E86*F86</f>
        <v>827.42699999999991</v>
      </c>
      <c r="H86" s="431"/>
    </row>
    <row r="87" spans="2:11" ht="15.75" customHeight="1" thickBot="1">
      <c r="B87" s="375"/>
      <c r="C87" s="375"/>
      <c r="D87" s="375"/>
      <c r="E87" s="375"/>
      <c r="F87" s="406"/>
      <c r="G87" s="406"/>
      <c r="H87" s="375"/>
    </row>
    <row r="88" spans="2:11" ht="75" customHeight="1">
      <c r="B88" s="439"/>
      <c r="C88" s="440" t="s">
        <v>435</v>
      </c>
      <c r="D88" s="441" t="s">
        <v>35</v>
      </c>
      <c r="E88" s="442"/>
      <c r="F88" s="443"/>
      <c r="G88" s="443"/>
      <c r="H88" s="444">
        <f>SUM(G89:G103)</f>
        <v>159590.74345161524</v>
      </c>
    </row>
    <row r="89" spans="2:11" ht="15.75" customHeight="1">
      <c r="B89" s="445"/>
      <c r="C89" s="196" t="s">
        <v>93</v>
      </c>
      <c r="D89" s="196" t="s">
        <v>94</v>
      </c>
      <c r="E89" s="196">
        <v>0.42499999999999999</v>
      </c>
      <c r="F89" s="229">
        <v>9200</v>
      </c>
      <c r="G89" s="446">
        <f t="shared" ref="G89:G102" si="11">+E89*F89</f>
        <v>3910</v>
      </c>
      <c r="H89" s="447"/>
    </row>
    <row r="90" spans="2:11" ht="15.75" customHeight="1">
      <c r="B90" s="445"/>
      <c r="C90" s="196" t="s">
        <v>95</v>
      </c>
      <c r="D90" s="196" t="s">
        <v>94</v>
      </c>
      <c r="E90" s="196">
        <v>0.79</v>
      </c>
      <c r="F90" s="229">
        <v>8900</v>
      </c>
      <c r="G90" s="446">
        <f t="shared" si="11"/>
        <v>7031</v>
      </c>
      <c r="H90" s="447"/>
    </row>
    <row r="91" spans="2:11" ht="15.75" customHeight="1">
      <c r="B91" s="445"/>
      <c r="C91" s="196" t="s">
        <v>96</v>
      </c>
      <c r="D91" s="196" t="s">
        <v>94</v>
      </c>
      <c r="E91" s="196">
        <v>0.2</v>
      </c>
      <c r="F91" s="229">
        <v>1200</v>
      </c>
      <c r="G91" s="446">
        <f t="shared" si="11"/>
        <v>240</v>
      </c>
      <c r="H91" s="447"/>
    </row>
    <row r="92" spans="2:11" ht="15.75" customHeight="1">
      <c r="B92" s="445"/>
      <c r="C92" s="196" t="s">
        <v>97</v>
      </c>
      <c r="D92" s="196" t="s">
        <v>94</v>
      </c>
      <c r="E92" s="196">
        <v>24</v>
      </c>
      <c r="F92" s="229">
        <v>28.000000018200002</v>
      </c>
      <c r="G92" s="446">
        <f t="shared" si="11"/>
        <v>672.00000043680006</v>
      </c>
      <c r="H92" s="447"/>
    </row>
    <row r="93" spans="2:11" ht="15.75" customHeight="1">
      <c r="B93" s="445"/>
      <c r="C93" s="196" t="s">
        <v>98</v>
      </c>
      <c r="D93" s="196" t="s">
        <v>94</v>
      </c>
      <c r="E93" s="196">
        <v>16</v>
      </c>
      <c r="F93" s="229">
        <v>20.23</v>
      </c>
      <c r="G93" s="446">
        <f t="shared" si="11"/>
        <v>323.68</v>
      </c>
      <c r="H93" s="447"/>
    </row>
    <row r="94" spans="2:11" ht="15.75" customHeight="1">
      <c r="B94" s="445"/>
      <c r="C94" s="196" t="s">
        <v>99</v>
      </c>
      <c r="D94" s="196" t="s">
        <v>94</v>
      </c>
      <c r="E94" s="196">
        <v>3</v>
      </c>
      <c r="F94" s="229">
        <v>137.44500000000002</v>
      </c>
      <c r="G94" s="446">
        <f t="shared" si="11"/>
        <v>412.33500000000004</v>
      </c>
      <c r="H94" s="447"/>
    </row>
    <row r="95" spans="2:11" ht="15.75" customHeight="1">
      <c r="B95" s="445"/>
      <c r="C95" s="196" t="s">
        <v>100</v>
      </c>
      <c r="D95" s="196" t="s">
        <v>101</v>
      </c>
      <c r="E95" s="196">
        <v>1.6E-2</v>
      </c>
      <c r="F95" s="229">
        <v>12949.999999999998</v>
      </c>
      <c r="G95" s="446">
        <f t="shared" si="11"/>
        <v>207.2</v>
      </c>
      <c r="H95" s="447"/>
    </row>
    <row r="96" spans="2:11" ht="15.75" customHeight="1">
      <c r="B96" s="445"/>
      <c r="C96" s="196" t="s">
        <v>102</v>
      </c>
      <c r="D96" s="196" t="s">
        <v>103</v>
      </c>
      <c r="E96" s="196">
        <v>0.05</v>
      </c>
      <c r="F96" s="229">
        <v>41900</v>
      </c>
      <c r="G96" s="446">
        <f t="shared" si="11"/>
        <v>2095</v>
      </c>
      <c r="H96" s="447"/>
    </row>
    <row r="97" spans="2:13" ht="15.75" customHeight="1">
      <c r="B97" s="445"/>
      <c r="C97" s="196" t="s">
        <v>433</v>
      </c>
      <c r="D97" s="196" t="s">
        <v>94</v>
      </c>
      <c r="E97" s="196">
        <v>0.69</v>
      </c>
      <c r="F97" s="229">
        <v>65000</v>
      </c>
      <c r="G97" s="446">
        <f t="shared" si="11"/>
        <v>44850</v>
      </c>
      <c r="H97" s="447"/>
    </row>
    <row r="98" spans="2:13" ht="15.75" customHeight="1">
      <c r="B98" s="445"/>
      <c r="C98" s="196" t="s">
        <v>105</v>
      </c>
      <c r="D98" s="196" t="s">
        <v>106</v>
      </c>
      <c r="E98" s="196">
        <v>0.16835016835016833</v>
      </c>
      <c r="F98" s="229">
        <v>79900</v>
      </c>
      <c r="G98" s="446">
        <f t="shared" si="11"/>
        <v>13451.17845117845</v>
      </c>
      <c r="H98" s="447"/>
    </row>
    <row r="99" spans="2:13" ht="15.75" customHeight="1">
      <c r="B99" s="445"/>
      <c r="C99" s="432" t="s">
        <v>424</v>
      </c>
      <c r="D99" s="433" t="s">
        <v>35</v>
      </c>
      <c r="E99" s="434">
        <v>1.2</v>
      </c>
      <c r="F99" s="435">
        <v>17900</v>
      </c>
      <c r="G99" s="416">
        <f t="shared" si="11"/>
        <v>21480</v>
      </c>
      <c r="H99" s="447"/>
    </row>
    <row r="100" spans="2:13" ht="15.75" customHeight="1">
      <c r="B100" s="445"/>
      <c r="C100" s="196" t="s">
        <v>107</v>
      </c>
      <c r="D100" s="196" t="s">
        <v>108</v>
      </c>
      <c r="E100" s="196">
        <v>0.08</v>
      </c>
      <c r="F100" s="229">
        <v>50300</v>
      </c>
      <c r="G100" s="446">
        <f t="shared" si="11"/>
        <v>4024</v>
      </c>
      <c r="H100" s="447"/>
    </row>
    <row r="101" spans="2:13" ht="15.75" customHeight="1">
      <c r="B101" s="445"/>
      <c r="C101" s="196" t="s">
        <v>71</v>
      </c>
      <c r="D101" s="196" t="s">
        <v>72</v>
      </c>
      <c r="E101" s="196">
        <v>1.1000000000000001</v>
      </c>
      <c r="F101" s="229">
        <v>45958</v>
      </c>
      <c r="G101" s="446">
        <f>+E101*F101</f>
        <v>50553.8</v>
      </c>
      <c r="H101" s="447"/>
      <c r="I101" s="196"/>
      <c r="J101" s="196"/>
      <c r="K101" s="196"/>
      <c r="L101" s="229"/>
      <c r="M101" s="446"/>
    </row>
    <row r="102" spans="2:13" ht="15.75" customHeight="1" thickBot="1">
      <c r="B102" s="448"/>
      <c r="C102" s="449" t="s">
        <v>87</v>
      </c>
      <c r="D102" s="449" t="s">
        <v>88</v>
      </c>
      <c r="E102" s="449">
        <v>0.15</v>
      </c>
      <c r="F102" s="450">
        <v>68937</v>
      </c>
      <c r="G102" s="451">
        <f t="shared" si="11"/>
        <v>10340.549999999999</v>
      </c>
      <c r="H102" s="452"/>
    </row>
    <row r="103" spans="2:13" ht="15.75" customHeight="1">
      <c r="F103" s="11"/>
      <c r="G103" s="11"/>
    </row>
    <row r="104" spans="2:13" ht="15.75" customHeight="1" thickBot="1">
      <c r="F104" s="11"/>
      <c r="G104" s="11"/>
    </row>
    <row r="105" spans="2:13" ht="108.75" customHeight="1">
      <c r="B105" s="453"/>
      <c r="C105" s="440" t="s">
        <v>443</v>
      </c>
      <c r="D105" s="441" t="s">
        <v>94</v>
      </c>
      <c r="E105" s="442"/>
      <c r="F105" s="443"/>
      <c r="G105" s="443"/>
      <c r="H105" s="444">
        <f>SUM(G106:G109)*2</f>
        <v>1435818</v>
      </c>
    </row>
    <row r="106" spans="2:13" ht="15.75" customHeight="1">
      <c r="B106" s="445"/>
      <c r="C106" s="196" t="s">
        <v>436</v>
      </c>
      <c r="D106" s="196" t="s">
        <v>94</v>
      </c>
      <c r="E106" s="196">
        <v>1</v>
      </c>
      <c r="F106" s="229">
        <f>285000*2.2</f>
        <v>627000</v>
      </c>
      <c r="G106" s="446">
        <f t="shared" ref="G106:G109" si="12">+E106*F106</f>
        <v>627000</v>
      </c>
      <c r="H106" s="447"/>
    </row>
    <row r="107" spans="2:13" ht="15.75" customHeight="1">
      <c r="B107" s="445"/>
      <c r="C107" s="467" t="s">
        <v>165</v>
      </c>
      <c r="D107" s="467" t="s">
        <v>94</v>
      </c>
      <c r="E107" s="468">
        <v>0.4</v>
      </c>
      <c r="F107" s="446">
        <v>10120.950000000001</v>
      </c>
      <c r="G107" s="446">
        <f t="shared" si="12"/>
        <v>4048.3800000000006</v>
      </c>
      <c r="H107" s="447"/>
    </row>
    <row r="108" spans="2:13" ht="15.75" customHeight="1">
      <c r="B108" s="445"/>
      <c r="C108" s="196" t="s">
        <v>71</v>
      </c>
      <c r="D108" s="196" t="s">
        <v>72</v>
      </c>
      <c r="E108" s="196">
        <v>1.8</v>
      </c>
      <c r="F108" s="229">
        <v>45958</v>
      </c>
      <c r="G108" s="446">
        <f t="shared" si="12"/>
        <v>82724.400000000009</v>
      </c>
      <c r="H108" s="447"/>
    </row>
    <row r="109" spans="2:13" ht="15.75" customHeight="1" thickBot="1">
      <c r="B109" s="448"/>
      <c r="C109" s="449" t="s">
        <v>87</v>
      </c>
      <c r="D109" s="449" t="s">
        <v>144</v>
      </c>
      <c r="E109" s="449">
        <v>0.05</v>
      </c>
      <c r="F109" s="450">
        <v>82724.399999999994</v>
      </c>
      <c r="G109" s="451">
        <f t="shared" si="12"/>
        <v>4136.22</v>
      </c>
      <c r="H109" s="452"/>
    </row>
    <row r="110" spans="2:13" ht="15.75" customHeight="1">
      <c r="B110" s="196"/>
      <c r="C110" s="196"/>
      <c r="D110" s="196"/>
      <c r="E110" s="196"/>
      <c r="F110" s="229"/>
      <c r="G110" s="446"/>
      <c r="H110" s="196"/>
    </row>
    <row r="111" spans="2:13" ht="15.75" customHeight="1" thickBot="1">
      <c r="B111" s="196"/>
      <c r="C111" s="196"/>
      <c r="D111" s="196"/>
      <c r="E111" s="196"/>
      <c r="F111" s="229"/>
      <c r="G111" s="446"/>
      <c r="H111" s="196"/>
    </row>
    <row r="112" spans="2:13" ht="91.5" customHeight="1">
      <c r="B112" s="453"/>
      <c r="C112" s="440" t="s">
        <v>444</v>
      </c>
      <c r="D112" s="441" t="s">
        <v>94</v>
      </c>
      <c r="E112" s="442"/>
      <c r="F112" s="443"/>
      <c r="G112" s="443"/>
      <c r="H112" s="444">
        <f>SUM(G113:G116)*2</f>
        <v>492304.28</v>
      </c>
    </row>
    <row r="113" spans="2:9" ht="15.75" customHeight="1">
      <c r="B113" s="445"/>
      <c r="C113" s="196" t="s">
        <v>436</v>
      </c>
      <c r="D113" s="196" t="s">
        <v>94</v>
      </c>
      <c r="E113" s="196">
        <v>1</v>
      </c>
      <c r="F113" s="229">
        <v>220000</v>
      </c>
      <c r="G113" s="446">
        <f t="shared" ref="G113:G115" si="13">+E113*F113</f>
        <v>220000</v>
      </c>
      <c r="H113" s="447"/>
    </row>
    <row r="114" spans="2:9" ht="15.75" customHeight="1">
      <c r="B114" s="445"/>
      <c r="C114" s="467" t="s">
        <v>165</v>
      </c>
      <c r="D114" s="467" t="s">
        <v>94</v>
      </c>
      <c r="E114" s="468">
        <v>0.2</v>
      </c>
      <c r="F114" s="446">
        <v>10120.950000000001</v>
      </c>
      <c r="G114" s="446">
        <f t="shared" si="13"/>
        <v>2024.1900000000003</v>
      </c>
      <c r="H114" s="447"/>
    </row>
    <row r="115" spans="2:9" ht="15.75" customHeight="1">
      <c r="B115" s="445"/>
      <c r="C115" s="196" t="s">
        <v>71</v>
      </c>
      <c r="D115" s="196" t="s">
        <v>72</v>
      </c>
      <c r="E115" s="196">
        <v>0.5</v>
      </c>
      <c r="F115" s="229">
        <v>45958</v>
      </c>
      <c r="G115" s="446">
        <f t="shared" si="13"/>
        <v>22979</v>
      </c>
      <c r="H115" s="447"/>
    </row>
    <row r="116" spans="2:9" ht="15.75" customHeight="1" thickBot="1">
      <c r="B116" s="448"/>
      <c r="C116" s="449" t="s">
        <v>87</v>
      </c>
      <c r="D116" s="449" t="s">
        <v>144</v>
      </c>
      <c r="E116" s="449">
        <v>0.05</v>
      </c>
      <c r="F116" s="450">
        <f>+G115</f>
        <v>22979</v>
      </c>
      <c r="G116" s="451">
        <f>+E116*F116</f>
        <v>1148.95</v>
      </c>
      <c r="H116" s="452"/>
    </row>
    <row r="117" spans="2:9" ht="15.75" customHeight="1">
      <c r="B117" s="196"/>
      <c r="C117" s="196"/>
      <c r="D117" s="196"/>
      <c r="E117" s="196"/>
      <c r="F117" s="229"/>
      <c r="G117" s="446"/>
      <c r="H117" s="196"/>
    </row>
    <row r="118" spans="2:9" ht="15.75" hidden="1" customHeight="1">
      <c r="B118" s="196"/>
      <c r="C118" s="196"/>
      <c r="D118" s="196"/>
      <c r="E118" s="196"/>
      <c r="F118" s="229"/>
      <c r="G118" s="446"/>
      <c r="H118" s="196"/>
    </row>
    <row r="119" spans="2:9" ht="15.75" hidden="1" customHeight="1">
      <c r="B119" s="196"/>
      <c r="C119" s="196"/>
      <c r="D119" s="196"/>
      <c r="E119" s="196"/>
      <c r="F119" s="229"/>
      <c r="G119" s="446"/>
      <c r="H119" s="196"/>
    </row>
    <row r="120" spans="2:9" ht="15.75" customHeight="1" thickBot="1">
      <c r="F120" s="11"/>
      <c r="G120" s="11"/>
    </row>
    <row r="121" spans="2:9" ht="58.5" customHeight="1">
      <c r="B121" s="453"/>
      <c r="C121" s="440" t="s">
        <v>441</v>
      </c>
      <c r="D121" s="441" t="s">
        <v>94</v>
      </c>
      <c r="E121" s="442"/>
      <c r="F121" s="443"/>
      <c r="G121" s="443"/>
      <c r="H121" s="444">
        <f>SUM(G122:G124)</f>
        <v>792264.82</v>
      </c>
    </row>
    <row r="122" spans="2:9" ht="45" customHeight="1">
      <c r="B122" s="445"/>
      <c r="C122" s="457" t="s">
        <v>442</v>
      </c>
      <c r="D122" s="196" t="s">
        <v>94</v>
      </c>
      <c r="E122" s="196">
        <v>1</v>
      </c>
      <c r="F122" s="229">
        <v>710000</v>
      </c>
      <c r="G122" s="446">
        <f>+E122*F122</f>
        <v>710000</v>
      </c>
      <c r="H122" s="447"/>
    </row>
    <row r="123" spans="2:9" ht="28.5" customHeight="1">
      <c r="B123" s="445"/>
      <c r="C123" s="196" t="s">
        <v>71</v>
      </c>
      <c r="D123" s="196" t="s">
        <v>72</v>
      </c>
      <c r="E123" s="196">
        <v>1.7</v>
      </c>
      <c r="F123" s="229">
        <v>45958</v>
      </c>
      <c r="G123" s="446">
        <f>+E123*F123</f>
        <v>78128.599999999991</v>
      </c>
      <c r="H123" s="447"/>
    </row>
    <row r="124" spans="2:9" ht="28.5" customHeight="1" thickBot="1">
      <c r="B124" s="448"/>
      <c r="C124" s="449" t="s">
        <v>87</v>
      </c>
      <c r="D124" s="449" t="s">
        <v>144</v>
      </c>
      <c r="E124" s="449">
        <v>0.1</v>
      </c>
      <c r="F124" s="450">
        <v>41362.199999999997</v>
      </c>
      <c r="G124" s="451">
        <f t="shared" ref="G124" si="14">+E124*F124</f>
        <v>4136.22</v>
      </c>
      <c r="H124" s="452"/>
    </row>
    <row r="125" spans="2:9" ht="15.75" customHeight="1">
      <c r="F125" s="11"/>
      <c r="G125" s="11"/>
    </row>
    <row r="126" spans="2:9" ht="15.75" customHeight="1" thickBot="1">
      <c r="F126" s="11"/>
      <c r="G126" s="11"/>
    </row>
    <row r="127" spans="2:9" ht="75.75" customHeight="1">
      <c r="B127" s="453"/>
      <c r="C127" s="440" t="s">
        <v>454</v>
      </c>
      <c r="D127" s="441" t="s">
        <v>23</v>
      </c>
      <c r="E127" s="442"/>
      <c r="F127" s="443"/>
      <c r="G127" s="443"/>
      <c r="H127" s="444">
        <f>SUM(G128:G130)</f>
        <v>350276.9</v>
      </c>
      <c r="I127" s="469"/>
    </row>
    <row r="128" spans="2:9" ht="15.75" customHeight="1">
      <c r="B128" s="445"/>
      <c r="C128" s="457" t="s">
        <v>201</v>
      </c>
      <c r="D128" s="196" t="s">
        <v>94</v>
      </c>
      <c r="E128" s="196">
        <v>1</v>
      </c>
      <c r="F128" s="229">
        <v>325000</v>
      </c>
      <c r="G128" s="446">
        <f>+E128*F128</f>
        <v>325000</v>
      </c>
      <c r="H128" s="447"/>
      <c r="I128" s="473"/>
    </row>
    <row r="129" spans="2:8" ht="15.75" customHeight="1">
      <c r="B129" s="445"/>
      <c r="C129" s="196" t="s">
        <v>71</v>
      </c>
      <c r="D129" s="196" t="s">
        <v>72</v>
      </c>
      <c r="E129" s="196">
        <v>0.5</v>
      </c>
      <c r="F129" s="229">
        <v>45958</v>
      </c>
      <c r="G129" s="446">
        <f>+E129*F129</f>
        <v>22979</v>
      </c>
      <c r="H129" s="447"/>
    </row>
    <row r="130" spans="2:8" ht="15.75" customHeight="1" thickBot="1">
      <c r="B130" s="448"/>
      <c r="C130" s="449" t="s">
        <v>87</v>
      </c>
      <c r="D130" s="449" t="s">
        <v>144</v>
      </c>
      <c r="E130" s="449">
        <v>0.1</v>
      </c>
      <c r="F130" s="450">
        <f>+G129</f>
        <v>22979</v>
      </c>
      <c r="G130" s="451">
        <f t="shared" ref="G130" si="15">+E130*F130</f>
        <v>2297.9</v>
      </c>
      <c r="H130" s="452"/>
    </row>
    <row r="131" spans="2:8" ht="15.75" customHeight="1">
      <c r="F131" s="11"/>
      <c r="G131" s="11"/>
    </row>
    <row r="132" spans="2:8" ht="15.75" customHeight="1">
      <c r="F132" s="11"/>
      <c r="G132" s="11"/>
    </row>
    <row r="133" spans="2:8" ht="15.75" customHeight="1">
      <c r="F133" s="11"/>
      <c r="G133" s="11"/>
    </row>
    <row r="134" spans="2:8" ht="15.75" customHeight="1">
      <c r="F134" s="11"/>
      <c r="G134" s="11"/>
    </row>
    <row r="135" spans="2:8" ht="15.75" customHeight="1">
      <c r="F135" s="11"/>
      <c r="G135" s="11"/>
    </row>
    <row r="136" spans="2:8" ht="15.75" customHeight="1">
      <c r="F136" s="11"/>
      <c r="G136" s="11"/>
    </row>
    <row r="137" spans="2:8" ht="15.75" customHeight="1">
      <c r="F137" s="11"/>
      <c r="G137" s="11"/>
    </row>
    <row r="138" spans="2:8" ht="15.75" customHeight="1">
      <c r="F138" s="11"/>
      <c r="G138" s="11"/>
    </row>
    <row r="139" spans="2:8" ht="15.75" customHeight="1">
      <c r="F139" s="11"/>
      <c r="G139" s="11"/>
    </row>
    <row r="140" spans="2:8" ht="15.75" customHeight="1">
      <c r="F140" s="11"/>
      <c r="G140" s="11"/>
    </row>
    <row r="141" spans="2:8" ht="15.75" customHeight="1">
      <c r="F141" s="11"/>
      <c r="G141" s="11"/>
    </row>
    <row r="142" spans="2:8" ht="15.75" customHeight="1">
      <c r="F142" s="11"/>
      <c r="G142" s="11"/>
    </row>
    <row r="143" spans="2:8" ht="15.75" customHeight="1">
      <c r="F143" s="11"/>
      <c r="G143" s="11"/>
    </row>
    <row r="144" spans="2:8" ht="15.75" customHeight="1">
      <c r="F144" s="11"/>
      <c r="G144" s="11"/>
    </row>
    <row r="145" spans="6:7" ht="15.75" customHeight="1">
      <c r="F145" s="11"/>
      <c r="G145" s="11"/>
    </row>
    <row r="146" spans="6:7" ht="15.75" customHeight="1">
      <c r="F146" s="11"/>
      <c r="G146" s="11"/>
    </row>
    <row r="147" spans="6:7" ht="15.75" customHeight="1">
      <c r="F147" s="11"/>
      <c r="G147" s="11"/>
    </row>
    <row r="148" spans="6:7" ht="15.75" customHeight="1">
      <c r="F148" s="11"/>
      <c r="G148" s="11"/>
    </row>
    <row r="149" spans="6:7" ht="15.75" customHeight="1">
      <c r="F149" s="11"/>
      <c r="G149" s="11"/>
    </row>
    <row r="150" spans="6:7" ht="15.75" customHeight="1">
      <c r="F150" s="11"/>
      <c r="G150" s="11"/>
    </row>
    <row r="151" spans="6:7" ht="15.75" customHeight="1">
      <c r="F151" s="11"/>
      <c r="G151" s="11"/>
    </row>
    <row r="152" spans="6:7" ht="15.75" customHeight="1">
      <c r="F152" s="11"/>
      <c r="G152" s="11"/>
    </row>
    <row r="153" spans="6:7" ht="15.75" customHeight="1">
      <c r="F153" s="11"/>
      <c r="G153" s="11"/>
    </row>
    <row r="154" spans="6:7" ht="15.75" customHeight="1">
      <c r="F154" s="11"/>
      <c r="G154" s="11"/>
    </row>
    <row r="155" spans="6:7" ht="15.75" customHeight="1">
      <c r="F155" s="11"/>
      <c r="G155" s="11"/>
    </row>
    <row r="156" spans="6:7" ht="15.75" customHeight="1">
      <c r="F156" s="11"/>
      <c r="G156" s="11"/>
    </row>
    <row r="157" spans="6:7" ht="15.75" customHeight="1">
      <c r="F157" s="11"/>
      <c r="G157" s="11"/>
    </row>
    <row r="158" spans="6:7" ht="15.75" customHeight="1">
      <c r="F158" s="11"/>
      <c r="G158" s="11"/>
    </row>
    <row r="159" spans="6:7" ht="15.75" customHeight="1">
      <c r="F159" s="11"/>
      <c r="G159" s="11"/>
    </row>
    <row r="160" spans="6:7" ht="15.75" customHeight="1">
      <c r="F160" s="11"/>
      <c r="G160" s="11"/>
    </row>
    <row r="161" spans="6:7" ht="15.75" customHeight="1">
      <c r="F161" s="11"/>
      <c r="G161" s="11"/>
    </row>
    <row r="162" spans="6:7" ht="15.75" customHeight="1">
      <c r="F162" s="11"/>
      <c r="G162" s="11"/>
    </row>
    <row r="163" spans="6:7" ht="15.75" customHeight="1">
      <c r="F163" s="11"/>
      <c r="G163" s="11"/>
    </row>
    <row r="164" spans="6:7" ht="15.75" customHeight="1">
      <c r="F164" s="11"/>
      <c r="G164" s="11"/>
    </row>
    <row r="165" spans="6:7" ht="15.75" customHeight="1">
      <c r="F165" s="11"/>
      <c r="G165" s="11"/>
    </row>
    <row r="166" spans="6:7" ht="15.75" customHeight="1">
      <c r="F166" s="11"/>
      <c r="G166" s="11"/>
    </row>
    <row r="167" spans="6:7" ht="15.75" customHeight="1">
      <c r="F167" s="11"/>
      <c r="G167" s="11"/>
    </row>
    <row r="168" spans="6:7" ht="15.75" customHeight="1">
      <c r="F168" s="11"/>
      <c r="G168" s="11"/>
    </row>
    <row r="169" spans="6:7" ht="15.75" customHeight="1">
      <c r="F169" s="11"/>
      <c r="G169" s="11"/>
    </row>
    <row r="170" spans="6:7" ht="15.75" customHeight="1">
      <c r="F170" s="11"/>
      <c r="G170" s="11"/>
    </row>
    <row r="171" spans="6:7" ht="15.75" customHeight="1">
      <c r="F171" s="11"/>
      <c r="G171" s="11"/>
    </row>
    <row r="172" spans="6:7" ht="15.75" customHeight="1">
      <c r="F172" s="11"/>
      <c r="G172" s="11"/>
    </row>
    <row r="173" spans="6:7" ht="15.75" customHeight="1">
      <c r="F173" s="11"/>
      <c r="G173" s="11"/>
    </row>
    <row r="174" spans="6:7" ht="15.75" customHeight="1">
      <c r="F174" s="11"/>
      <c r="G174" s="11"/>
    </row>
    <row r="175" spans="6:7" ht="15.75" customHeight="1">
      <c r="F175" s="11"/>
      <c r="G175" s="11"/>
    </row>
    <row r="176" spans="6:7" ht="15.75" customHeight="1">
      <c r="F176" s="11"/>
      <c r="G176" s="11"/>
    </row>
    <row r="177" spans="6:7" ht="15.75" customHeight="1">
      <c r="F177" s="11"/>
      <c r="G177" s="11"/>
    </row>
    <row r="178" spans="6:7" ht="15.75" customHeight="1">
      <c r="F178" s="11"/>
      <c r="G178" s="11"/>
    </row>
    <row r="179" spans="6:7" ht="15.75" customHeight="1">
      <c r="F179" s="11"/>
      <c r="G179" s="11"/>
    </row>
    <row r="180" spans="6:7" ht="15.75" customHeight="1">
      <c r="F180" s="11"/>
      <c r="G180" s="11"/>
    </row>
    <row r="181" spans="6:7" ht="15.75" customHeight="1">
      <c r="F181" s="11"/>
      <c r="G181" s="11"/>
    </row>
    <row r="182" spans="6:7" ht="15.75" customHeight="1">
      <c r="F182" s="11"/>
      <c r="G182" s="11"/>
    </row>
    <row r="183" spans="6:7" ht="15.75" customHeight="1">
      <c r="F183" s="11"/>
      <c r="G183" s="11"/>
    </row>
    <row r="184" spans="6:7" ht="15.75" customHeight="1">
      <c r="F184" s="11"/>
      <c r="G184" s="11"/>
    </row>
    <row r="185" spans="6:7" ht="15.75" customHeight="1">
      <c r="F185" s="11"/>
      <c r="G185" s="11"/>
    </row>
    <row r="186" spans="6:7" ht="15.75" customHeight="1">
      <c r="F186" s="11"/>
      <c r="G186" s="11"/>
    </row>
    <row r="187" spans="6:7" ht="15.75" customHeight="1">
      <c r="F187" s="11"/>
      <c r="G187" s="11"/>
    </row>
    <row r="188" spans="6:7" ht="15.75" customHeight="1">
      <c r="F188" s="11"/>
      <c r="G188" s="11"/>
    </row>
    <row r="189" spans="6:7" ht="15.75" customHeight="1">
      <c r="F189" s="11"/>
      <c r="G189" s="11"/>
    </row>
    <row r="190" spans="6:7" ht="15.75" customHeight="1">
      <c r="F190" s="11"/>
      <c r="G190" s="11"/>
    </row>
    <row r="191" spans="6:7" ht="15.75" customHeight="1">
      <c r="F191" s="11"/>
      <c r="G191" s="11"/>
    </row>
    <row r="192" spans="6:7" ht="15.75" customHeight="1">
      <c r="F192" s="11"/>
      <c r="G192" s="11"/>
    </row>
    <row r="193" spans="6:7" ht="15.75" customHeight="1">
      <c r="F193" s="11"/>
      <c r="G193" s="11"/>
    </row>
    <row r="194" spans="6:7" ht="15.75" customHeight="1">
      <c r="F194" s="11"/>
      <c r="G194" s="11"/>
    </row>
    <row r="195" spans="6:7" ht="15.75" customHeight="1">
      <c r="F195" s="11"/>
      <c r="G195" s="11"/>
    </row>
    <row r="196" spans="6:7" ht="15.75" customHeight="1">
      <c r="F196" s="11"/>
      <c r="G196" s="11"/>
    </row>
    <row r="197" spans="6:7" ht="15.75" customHeight="1">
      <c r="F197" s="11"/>
      <c r="G197" s="11"/>
    </row>
    <row r="198" spans="6:7" ht="15.75" customHeight="1">
      <c r="F198" s="11"/>
      <c r="G198" s="11"/>
    </row>
    <row r="199" spans="6:7" ht="15.75" customHeight="1">
      <c r="F199" s="11"/>
      <c r="G199" s="11"/>
    </row>
    <row r="200" spans="6:7" ht="15.75" customHeight="1">
      <c r="F200" s="11"/>
      <c r="G200" s="11"/>
    </row>
    <row r="201" spans="6:7" ht="15.75" customHeight="1">
      <c r="F201" s="11"/>
      <c r="G201" s="11"/>
    </row>
    <row r="202" spans="6:7" ht="15.75" customHeight="1">
      <c r="F202" s="11"/>
      <c r="G202" s="11"/>
    </row>
    <row r="203" spans="6:7" ht="15.75" customHeight="1">
      <c r="F203" s="11"/>
      <c r="G203" s="11"/>
    </row>
    <row r="204" spans="6:7" ht="15.75" customHeight="1">
      <c r="F204" s="11"/>
      <c r="G204" s="11"/>
    </row>
    <row r="205" spans="6:7" ht="15.75" customHeight="1">
      <c r="F205" s="11"/>
      <c r="G205" s="11"/>
    </row>
    <row r="206" spans="6:7" ht="15.75" customHeight="1">
      <c r="F206" s="11"/>
      <c r="G206" s="11"/>
    </row>
    <row r="207" spans="6:7" ht="15.75" customHeight="1">
      <c r="F207" s="11"/>
      <c r="G207" s="11"/>
    </row>
    <row r="208" spans="6:7" ht="15.75" customHeight="1">
      <c r="F208" s="11"/>
      <c r="G208" s="11"/>
    </row>
    <row r="209" spans="6:7" ht="15.75" customHeight="1">
      <c r="F209" s="11"/>
      <c r="G209" s="11"/>
    </row>
    <row r="210" spans="6:7" ht="15.75" customHeight="1">
      <c r="F210" s="11"/>
      <c r="G210" s="11"/>
    </row>
    <row r="211" spans="6:7" ht="15.75" customHeight="1">
      <c r="F211" s="11"/>
      <c r="G211" s="11"/>
    </row>
    <row r="212" spans="6:7" ht="15.75" customHeight="1">
      <c r="F212" s="11"/>
      <c r="G212" s="11"/>
    </row>
    <row r="213" spans="6:7" ht="15.75" customHeight="1">
      <c r="F213" s="11"/>
      <c r="G213" s="11"/>
    </row>
    <row r="214" spans="6:7" ht="15.75" customHeight="1">
      <c r="F214" s="11"/>
      <c r="G214" s="11"/>
    </row>
    <row r="215" spans="6:7" ht="15.75" customHeight="1">
      <c r="F215" s="11"/>
      <c r="G215" s="11"/>
    </row>
    <row r="216" spans="6:7" ht="15.75" customHeight="1">
      <c r="F216" s="11"/>
      <c r="G216" s="11"/>
    </row>
    <row r="217" spans="6:7" ht="15.75" customHeight="1">
      <c r="F217" s="11"/>
      <c r="G217" s="11"/>
    </row>
    <row r="218" spans="6:7" ht="15.75" customHeight="1">
      <c r="F218" s="11"/>
      <c r="G218" s="11"/>
    </row>
    <row r="219" spans="6:7" ht="15.75" customHeight="1">
      <c r="F219" s="11"/>
      <c r="G219" s="11"/>
    </row>
    <row r="220" spans="6:7" ht="15.75" customHeight="1">
      <c r="F220" s="11"/>
      <c r="G220" s="11"/>
    </row>
    <row r="221" spans="6:7" ht="15.75" customHeight="1">
      <c r="F221" s="11"/>
      <c r="G221" s="11"/>
    </row>
    <row r="222" spans="6:7" ht="15.75" customHeight="1">
      <c r="F222" s="11"/>
      <c r="G222" s="11"/>
    </row>
    <row r="223" spans="6:7" ht="15.75" customHeight="1">
      <c r="F223" s="11"/>
      <c r="G223" s="11"/>
    </row>
    <row r="224" spans="6:7" ht="15.75" customHeight="1">
      <c r="F224" s="11"/>
      <c r="G224" s="11"/>
    </row>
    <row r="225" spans="6:7" ht="15.75" customHeight="1">
      <c r="F225" s="11"/>
      <c r="G225" s="11"/>
    </row>
    <row r="226" spans="6:7" ht="15.75" customHeight="1">
      <c r="F226" s="11"/>
      <c r="G226" s="11"/>
    </row>
    <row r="227" spans="6:7" ht="15.75" customHeight="1">
      <c r="F227" s="11"/>
      <c r="G227" s="11"/>
    </row>
    <row r="228" spans="6:7" ht="15.75" customHeight="1">
      <c r="F228" s="11"/>
      <c r="G228" s="11"/>
    </row>
    <row r="229" spans="6:7" ht="15.75" customHeight="1">
      <c r="F229" s="11"/>
      <c r="G229" s="11"/>
    </row>
    <row r="230" spans="6:7" ht="15.75" customHeight="1">
      <c r="F230" s="11"/>
      <c r="G230" s="11"/>
    </row>
    <row r="231" spans="6:7" ht="15.75" customHeight="1">
      <c r="F231" s="11"/>
      <c r="G231" s="11"/>
    </row>
    <row r="232" spans="6:7" ht="15.75" customHeight="1">
      <c r="F232" s="11"/>
      <c r="G232" s="11"/>
    </row>
    <row r="233" spans="6:7" ht="15.75" customHeight="1">
      <c r="F233" s="11"/>
      <c r="G233" s="11"/>
    </row>
    <row r="234" spans="6:7" ht="15.75" customHeight="1">
      <c r="F234" s="11"/>
      <c r="G234" s="11"/>
    </row>
    <row r="235" spans="6:7" ht="15.75" customHeight="1">
      <c r="F235" s="11"/>
      <c r="G235" s="11"/>
    </row>
    <row r="236" spans="6:7" ht="15.75" customHeight="1">
      <c r="F236" s="11"/>
      <c r="G236" s="11"/>
    </row>
    <row r="237" spans="6:7" ht="15.75" customHeight="1">
      <c r="F237" s="11"/>
      <c r="G237" s="11"/>
    </row>
    <row r="238" spans="6:7" ht="15.75" customHeight="1">
      <c r="F238" s="11"/>
      <c r="G238" s="11"/>
    </row>
    <row r="239" spans="6:7" ht="15.75" customHeight="1">
      <c r="F239" s="11"/>
      <c r="G239" s="11"/>
    </row>
    <row r="240" spans="6:7" ht="15.75" customHeight="1">
      <c r="F240" s="11"/>
      <c r="G240" s="11"/>
    </row>
    <row r="241" spans="6:7" ht="15.75" customHeight="1">
      <c r="F241" s="11"/>
      <c r="G241" s="11"/>
    </row>
    <row r="242" spans="6:7" ht="15.75" customHeight="1">
      <c r="F242" s="11"/>
      <c r="G242" s="11"/>
    </row>
    <row r="243" spans="6:7" ht="15.75" customHeight="1">
      <c r="F243" s="11"/>
      <c r="G243" s="11"/>
    </row>
    <row r="244" spans="6:7" ht="15.75" customHeight="1">
      <c r="F244" s="11"/>
      <c r="G244" s="11"/>
    </row>
    <row r="245" spans="6:7" ht="15.75" customHeight="1">
      <c r="F245" s="11"/>
      <c r="G245" s="11"/>
    </row>
    <row r="246" spans="6:7" ht="15.75" customHeight="1">
      <c r="F246" s="11"/>
      <c r="G246" s="11"/>
    </row>
    <row r="247" spans="6:7" ht="15.75" customHeight="1">
      <c r="F247" s="11"/>
      <c r="G247" s="11"/>
    </row>
    <row r="248" spans="6:7" ht="15.75" customHeight="1">
      <c r="F248" s="11"/>
      <c r="G248" s="11"/>
    </row>
    <row r="249" spans="6:7" ht="15.75" customHeight="1">
      <c r="F249" s="11"/>
      <c r="G249" s="11"/>
    </row>
    <row r="250" spans="6:7" ht="15.75" customHeight="1">
      <c r="F250" s="11"/>
      <c r="G250" s="11"/>
    </row>
    <row r="251" spans="6:7" ht="15.75" customHeight="1">
      <c r="F251" s="11"/>
      <c r="G251" s="11"/>
    </row>
    <row r="252" spans="6:7" ht="15.75" customHeight="1">
      <c r="F252" s="11"/>
      <c r="G252" s="11"/>
    </row>
    <row r="253" spans="6:7" ht="15.75" customHeight="1">
      <c r="F253" s="11"/>
      <c r="G253" s="11"/>
    </row>
    <row r="254" spans="6:7" ht="15.75" customHeight="1">
      <c r="F254" s="11"/>
      <c r="G254" s="11"/>
    </row>
    <row r="255" spans="6:7" ht="15.75" customHeight="1">
      <c r="F255" s="11"/>
      <c r="G255" s="11"/>
    </row>
    <row r="256" spans="6:7" ht="15.75" customHeight="1">
      <c r="F256" s="11"/>
      <c r="G256" s="11"/>
    </row>
    <row r="257" spans="6:7" ht="15.75" customHeight="1">
      <c r="F257" s="11"/>
      <c r="G257" s="11"/>
    </row>
    <row r="258" spans="6:7" ht="15.75" customHeight="1">
      <c r="F258" s="11"/>
      <c r="G258" s="11"/>
    </row>
    <row r="259" spans="6:7" ht="15.75" customHeight="1">
      <c r="F259" s="11"/>
      <c r="G259" s="11"/>
    </row>
    <row r="260" spans="6:7" ht="15.75" customHeight="1">
      <c r="F260" s="11"/>
      <c r="G260" s="11"/>
    </row>
    <row r="261" spans="6:7" ht="15.75" customHeight="1">
      <c r="F261" s="11"/>
      <c r="G261" s="11"/>
    </row>
    <row r="262" spans="6:7" ht="15.75" customHeight="1">
      <c r="F262" s="11"/>
      <c r="G262" s="11"/>
    </row>
    <row r="263" spans="6:7" ht="15.75" customHeight="1">
      <c r="F263" s="11"/>
      <c r="G263" s="11"/>
    </row>
    <row r="264" spans="6:7" ht="15.75" customHeight="1">
      <c r="F264" s="11"/>
      <c r="G264" s="11"/>
    </row>
    <row r="265" spans="6:7" ht="15.75" customHeight="1">
      <c r="F265" s="11"/>
      <c r="G265" s="11"/>
    </row>
    <row r="266" spans="6:7" ht="15.75" customHeight="1">
      <c r="F266" s="11"/>
      <c r="G266" s="11"/>
    </row>
    <row r="267" spans="6:7" ht="15.75" customHeight="1">
      <c r="F267" s="11"/>
      <c r="G267" s="11"/>
    </row>
    <row r="268" spans="6:7" ht="15.75" customHeight="1">
      <c r="F268" s="11"/>
      <c r="G268" s="11"/>
    </row>
    <row r="269" spans="6:7" ht="15.75" customHeight="1">
      <c r="F269" s="11"/>
      <c r="G269" s="11"/>
    </row>
    <row r="270" spans="6:7" ht="15.75" customHeight="1">
      <c r="F270" s="11"/>
      <c r="G270" s="11"/>
    </row>
    <row r="271" spans="6:7" ht="15.75" customHeight="1">
      <c r="F271" s="11"/>
      <c r="G271" s="11"/>
    </row>
    <row r="272" spans="6:7" ht="15.75" customHeight="1">
      <c r="F272" s="11"/>
      <c r="G272" s="11"/>
    </row>
    <row r="273" spans="6:7" ht="15.75" customHeight="1">
      <c r="F273" s="11"/>
      <c r="G273" s="11"/>
    </row>
    <row r="274" spans="6:7" ht="15.75" customHeight="1">
      <c r="F274" s="11"/>
      <c r="G274" s="11"/>
    </row>
    <row r="275" spans="6:7" ht="15.75" customHeight="1">
      <c r="F275" s="11"/>
      <c r="G275" s="11"/>
    </row>
    <row r="276" spans="6:7" ht="15.75" customHeight="1">
      <c r="F276" s="11"/>
      <c r="G276" s="11"/>
    </row>
    <row r="277" spans="6:7" ht="15.75" customHeight="1">
      <c r="F277" s="11"/>
      <c r="G277" s="11"/>
    </row>
    <row r="278" spans="6:7" ht="15.75" customHeight="1">
      <c r="F278" s="11"/>
      <c r="G278" s="11"/>
    </row>
    <row r="279" spans="6:7" ht="15.75" customHeight="1">
      <c r="F279" s="11"/>
      <c r="G279" s="11"/>
    </row>
    <row r="280" spans="6:7" ht="15.75" customHeight="1">
      <c r="F280" s="11"/>
      <c r="G280" s="11"/>
    </row>
    <row r="281" spans="6:7" ht="15.75" customHeight="1">
      <c r="F281" s="11"/>
      <c r="G281" s="11"/>
    </row>
    <row r="282" spans="6:7" ht="15.75" customHeight="1">
      <c r="F282" s="11"/>
      <c r="G282" s="11"/>
    </row>
    <row r="283" spans="6:7" ht="15.75" customHeight="1">
      <c r="F283" s="11"/>
      <c r="G283" s="11"/>
    </row>
    <row r="284" spans="6:7" ht="15.75" customHeight="1">
      <c r="F284" s="11"/>
      <c r="G284" s="11"/>
    </row>
    <row r="285" spans="6:7" ht="15.75" customHeight="1">
      <c r="F285" s="11"/>
      <c r="G285" s="11"/>
    </row>
    <row r="286" spans="6:7" ht="15.75" customHeight="1">
      <c r="F286" s="11"/>
      <c r="G286" s="11"/>
    </row>
    <row r="287" spans="6:7" ht="15.75" customHeight="1">
      <c r="F287" s="11"/>
      <c r="G287" s="11"/>
    </row>
    <row r="288" spans="6:7" ht="15.75" customHeight="1">
      <c r="F288" s="11"/>
      <c r="G288" s="11"/>
    </row>
    <row r="289" spans="6:7" ht="15.75" customHeight="1">
      <c r="F289" s="11"/>
      <c r="G289" s="11"/>
    </row>
    <row r="290" spans="6:7" ht="15.75" customHeight="1">
      <c r="F290" s="11"/>
      <c r="G290" s="11"/>
    </row>
    <row r="291" spans="6:7" ht="15.75" customHeight="1">
      <c r="F291" s="11"/>
      <c r="G291" s="11"/>
    </row>
    <row r="292" spans="6:7" ht="15.75" customHeight="1">
      <c r="F292" s="11"/>
      <c r="G292" s="11"/>
    </row>
    <row r="293" spans="6:7" ht="15.75" customHeight="1">
      <c r="F293" s="11"/>
      <c r="G293" s="11"/>
    </row>
    <row r="294" spans="6:7" ht="15.75" customHeight="1">
      <c r="F294" s="11"/>
      <c r="G294" s="11"/>
    </row>
    <row r="295" spans="6:7" ht="15.75" customHeight="1">
      <c r="F295" s="11"/>
      <c r="G295" s="11"/>
    </row>
    <row r="296" spans="6:7" ht="15.75" customHeight="1">
      <c r="F296" s="11"/>
      <c r="G296" s="11"/>
    </row>
    <row r="297" spans="6:7" ht="15.75" customHeight="1">
      <c r="F297" s="11"/>
      <c r="G297" s="11"/>
    </row>
    <row r="298" spans="6:7" ht="15.75" customHeight="1">
      <c r="F298" s="11"/>
      <c r="G298" s="11"/>
    </row>
    <row r="299" spans="6:7" ht="15.75" customHeight="1">
      <c r="F299" s="11"/>
      <c r="G299" s="11"/>
    </row>
    <row r="300" spans="6:7" ht="15.75" customHeight="1">
      <c r="F300" s="11"/>
      <c r="G300" s="11"/>
    </row>
    <row r="301" spans="6:7" ht="15.75" customHeight="1">
      <c r="F301" s="11"/>
      <c r="G301" s="11"/>
    </row>
    <row r="302" spans="6:7" ht="15.75" customHeight="1">
      <c r="F302" s="11"/>
      <c r="G302" s="11"/>
    </row>
    <row r="303" spans="6:7" ht="15.75" customHeight="1">
      <c r="F303" s="11"/>
      <c r="G303" s="11"/>
    </row>
    <row r="304" spans="6:7" ht="15.75" customHeight="1">
      <c r="F304" s="11"/>
      <c r="G304" s="11"/>
    </row>
    <row r="305" spans="6:7" ht="15.75" customHeight="1">
      <c r="F305" s="11"/>
      <c r="G305" s="11"/>
    </row>
    <row r="306" spans="6:7" ht="15.75" customHeight="1">
      <c r="F306" s="11"/>
      <c r="G306" s="11"/>
    </row>
    <row r="307" spans="6:7" ht="15.75" customHeight="1">
      <c r="F307" s="11"/>
      <c r="G307" s="11"/>
    </row>
    <row r="308" spans="6:7" ht="15.75" customHeight="1">
      <c r="F308" s="11"/>
      <c r="G308" s="11"/>
    </row>
    <row r="309" spans="6:7" ht="15.75" customHeight="1">
      <c r="F309" s="11"/>
      <c r="G309" s="11"/>
    </row>
    <row r="310" spans="6:7" ht="15.75" customHeight="1">
      <c r="F310" s="11"/>
      <c r="G310" s="11"/>
    </row>
    <row r="311" spans="6:7" ht="15.75" customHeight="1">
      <c r="F311" s="11"/>
      <c r="G311" s="11"/>
    </row>
    <row r="312" spans="6:7" ht="15.75" customHeight="1">
      <c r="F312" s="11"/>
      <c r="G312" s="11"/>
    </row>
    <row r="313" spans="6:7" ht="15.75" customHeight="1">
      <c r="F313" s="11"/>
      <c r="G313" s="11"/>
    </row>
    <row r="314" spans="6:7" ht="15.75" customHeight="1">
      <c r="F314" s="11"/>
      <c r="G314" s="11"/>
    </row>
    <row r="315" spans="6:7" ht="15.75" customHeight="1">
      <c r="F315" s="11"/>
      <c r="G315" s="11"/>
    </row>
    <row r="316" spans="6:7" ht="15.75" customHeight="1">
      <c r="F316" s="11"/>
      <c r="G316" s="11"/>
    </row>
    <row r="317" spans="6:7" ht="15.75" customHeight="1">
      <c r="F317" s="11"/>
      <c r="G317" s="11"/>
    </row>
    <row r="318" spans="6:7" ht="15.75" customHeight="1">
      <c r="F318" s="11"/>
      <c r="G318" s="11"/>
    </row>
    <row r="319" spans="6:7" ht="15.75" customHeight="1">
      <c r="F319" s="11"/>
      <c r="G319" s="11"/>
    </row>
    <row r="320" spans="6:7" ht="15.75" customHeight="1">
      <c r="F320" s="11"/>
      <c r="G320" s="11"/>
    </row>
    <row r="321" spans="6:7" ht="15.75" customHeight="1">
      <c r="F321" s="11"/>
      <c r="G321" s="11"/>
    </row>
    <row r="322" spans="6:7" ht="15.75" customHeight="1">
      <c r="F322" s="11"/>
      <c r="G322" s="11"/>
    </row>
    <row r="323" spans="6:7" ht="15.75" customHeight="1">
      <c r="F323" s="11"/>
      <c r="G323" s="11"/>
    </row>
    <row r="324" spans="6:7" ht="15.75" customHeight="1">
      <c r="F324" s="11"/>
      <c r="G324" s="11"/>
    </row>
    <row r="325" spans="6:7" ht="15.75" customHeight="1">
      <c r="F325" s="11"/>
      <c r="G325" s="11"/>
    </row>
    <row r="326" spans="6:7" ht="15.75" customHeight="1">
      <c r="F326" s="11"/>
      <c r="G326" s="11"/>
    </row>
    <row r="327" spans="6:7" ht="15.75" customHeight="1">
      <c r="F327" s="11"/>
      <c r="G327" s="11"/>
    </row>
    <row r="328" spans="6:7" ht="15.75" customHeight="1">
      <c r="F328" s="11"/>
      <c r="G328" s="11"/>
    </row>
    <row r="329" spans="6:7" ht="15.75" customHeight="1">
      <c r="F329" s="11"/>
      <c r="G329" s="11"/>
    </row>
    <row r="330" spans="6:7" ht="15.75" customHeight="1">
      <c r="F330" s="11"/>
      <c r="G330" s="11"/>
    </row>
    <row r="331" spans="6:7" ht="15.75" customHeight="1">
      <c r="F331" s="11"/>
      <c r="G331" s="11"/>
    </row>
    <row r="332" spans="6:7" ht="15.75" customHeight="1">
      <c r="F332" s="11"/>
      <c r="G332" s="11"/>
    </row>
    <row r="333" spans="6:7" ht="15.75" customHeight="1">
      <c r="F333" s="11"/>
      <c r="G333" s="11"/>
    </row>
    <row r="334" spans="6:7" ht="15.75" customHeight="1">
      <c r="F334" s="11"/>
      <c r="G334" s="11"/>
    </row>
    <row r="335" spans="6:7" ht="15.75" customHeight="1">
      <c r="F335" s="11"/>
      <c r="G335" s="11"/>
    </row>
    <row r="336" spans="6:7" ht="15.75" customHeight="1">
      <c r="F336" s="11"/>
      <c r="G336" s="11"/>
    </row>
    <row r="337" spans="6:7" ht="15.75" customHeight="1">
      <c r="F337" s="11"/>
      <c r="G337" s="11"/>
    </row>
    <row r="338" spans="6:7" ht="15.75" customHeight="1">
      <c r="F338" s="11"/>
      <c r="G338" s="11"/>
    </row>
    <row r="339" spans="6:7" ht="15.75" customHeight="1">
      <c r="F339" s="11"/>
      <c r="G339" s="11"/>
    </row>
    <row r="340" spans="6:7" ht="15.75" customHeight="1">
      <c r="F340" s="11"/>
      <c r="G340" s="11"/>
    </row>
    <row r="341" spans="6:7" ht="15.75" customHeight="1">
      <c r="F341" s="11"/>
      <c r="G341" s="11"/>
    </row>
    <row r="342" spans="6:7" ht="15.75" customHeight="1">
      <c r="F342" s="11"/>
      <c r="G342" s="11"/>
    </row>
    <row r="343" spans="6:7" ht="15.75" customHeight="1">
      <c r="F343" s="11"/>
      <c r="G343" s="11"/>
    </row>
    <row r="344" spans="6:7" ht="15.75" customHeight="1">
      <c r="F344" s="11"/>
      <c r="G344" s="11"/>
    </row>
    <row r="345" spans="6:7" ht="15.75" customHeight="1">
      <c r="F345" s="11"/>
      <c r="G345" s="11"/>
    </row>
    <row r="346" spans="6:7" ht="15.75" customHeight="1">
      <c r="F346" s="11"/>
      <c r="G346" s="11"/>
    </row>
    <row r="347" spans="6:7" ht="15.75" customHeight="1">
      <c r="F347" s="11"/>
      <c r="G347" s="11"/>
    </row>
    <row r="348" spans="6:7" ht="15.75" customHeight="1">
      <c r="F348" s="11"/>
      <c r="G348" s="11"/>
    </row>
    <row r="349" spans="6:7" ht="15.75" customHeight="1">
      <c r="F349" s="11"/>
      <c r="G349" s="11"/>
    </row>
    <row r="350" spans="6:7" ht="15.75" customHeight="1">
      <c r="F350" s="11"/>
      <c r="G350" s="11"/>
    </row>
    <row r="351" spans="6:7" ht="15.75" customHeight="1">
      <c r="F351" s="11"/>
      <c r="G351" s="11"/>
    </row>
    <row r="352" spans="6:7" ht="15.75" customHeight="1">
      <c r="F352" s="11"/>
      <c r="G352" s="11"/>
    </row>
    <row r="353" spans="6:7" ht="15.75" customHeight="1">
      <c r="F353" s="11"/>
      <c r="G353" s="11"/>
    </row>
    <row r="354" spans="6:7" ht="15.75" customHeight="1">
      <c r="F354" s="11"/>
      <c r="G354" s="11"/>
    </row>
    <row r="355" spans="6:7" ht="15.75" customHeight="1">
      <c r="F355" s="11"/>
      <c r="G355" s="11"/>
    </row>
    <row r="356" spans="6:7" ht="15.75" customHeight="1">
      <c r="F356" s="11"/>
      <c r="G356" s="11"/>
    </row>
    <row r="357" spans="6:7" ht="15.75" customHeight="1">
      <c r="F357" s="11"/>
      <c r="G357" s="11"/>
    </row>
    <row r="358" spans="6:7" ht="15.75" customHeight="1">
      <c r="F358" s="11"/>
      <c r="G358" s="11"/>
    </row>
    <row r="359" spans="6:7" ht="15.75" customHeight="1">
      <c r="F359" s="11"/>
      <c r="G359" s="11"/>
    </row>
    <row r="360" spans="6:7" ht="15.75" customHeight="1">
      <c r="F360" s="11"/>
      <c r="G360" s="11"/>
    </row>
    <row r="361" spans="6:7" ht="15.75" customHeight="1">
      <c r="F361" s="11"/>
      <c r="G361" s="11"/>
    </row>
    <row r="362" spans="6:7" ht="15.75" customHeight="1">
      <c r="F362" s="11"/>
      <c r="G362" s="11"/>
    </row>
    <row r="363" spans="6:7" ht="15.75" customHeight="1">
      <c r="F363" s="11"/>
      <c r="G363" s="11"/>
    </row>
    <row r="364" spans="6:7" ht="15.75" customHeight="1">
      <c r="F364" s="11"/>
      <c r="G364" s="11"/>
    </row>
    <row r="365" spans="6:7" ht="15.75" customHeight="1">
      <c r="F365" s="11"/>
      <c r="G365" s="11"/>
    </row>
    <row r="366" spans="6:7" ht="15.75" customHeight="1">
      <c r="F366" s="11"/>
      <c r="G366" s="11"/>
    </row>
    <row r="367" spans="6:7" ht="15.75" customHeight="1">
      <c r="F367" s="11"/>
      <c r="G367" s="11"/>
    </row>
    <row r="368" spans="6:7" ht="15.75" customHeight="1">
      <c r="F368" s="11"/>
      <c r="G368" s="11"/>
    </row>
    <row r="369" spans="6:7" ht="15.75" customHeight="1">
      <c r="F369" s="11"/>
      <c r="G369" s="11"/>
    </row>
    <row r="370" spans="6:7" ht="15.75" customHeight="1">
      <c r="F370" s="11"/>
      <c r="G370" s="11"/>
    </row>
    <row r="371" spans="6:7" ht="15.75" customHeight="1">
      <c r="F371" s="11"/>
      <c r="G371" s="11"/>
    </row>
    <row r="372" spans="6:7" ht="15.75" customHeight="1">
      <c r="F372" s="11"/>
      <c r="G372" s="11"/>
    </row>
    <row r="373" spans="6:7" ht="15.75" customHeight="1">
      <c r="F373" s="11"/>
      <c r="G373" s="11"/>
    </row>
    <row r="374" spans="6:7" ht="15.75" customHeight="1">
      <c r="F374" s="11"/>
      <c r="G374" s="11"/>
    </row>
    <row r="375" spans="6:7" ht="15.75" customHeight="1">
      <c r="F375" s="11"/>
      <c r="G375" s="11"/>
    </row>
    <row r="376" spans="6:7" ht="15.75" customHeight="1">
      <c r="F376" s="11"/>
      <c r="G376" s="11"/>
    </row>
    <row r="377" spans="6:7" ht="15.75" customHeight="1">
      <c r="F377" s="11"/>
      <c r="G377" s="11"/>
    </row>
    <row r="378" spans="6:7" ht="15.75" customHeight="1">
      <c r="F378" s="11"/>
      <c r="G378" s="11"/>
    </row>
    <row r="379" spans="6:7" ht="15.75" customHeight="1">
      <c r="F379" s="11"/>
      <c r="G379" s="11"/>
    </row>
    <row r="380" spans="6:7" ht="15.75" customHeight="1">
      <c r="F380" s="11"/>
      <c r="G380" s="11"/>
    </row>
    <row r="381" spans="6:7" ht="15.75" customHeight="1">
      <c r="F381" s="11"/>
      <c r="G381" s="11"/>
    </row>
    <row r="382" spans="6:7" ht="15.75" customHeight="1">
      <c r="F382" s="11"/>
      <c r="G382" s="11"/>
    </row>
    <row r="383" spans="6:7" ht="15.75" customHeight="1">
      <c r="F383" s="11"/>
      <c r="G383" s="11"/>
    </row>
    <row r="384" spans="6:7" ht="15.75" customHeight="1">
      <c r="F384" s="11"/>
      <c r="G384" s="11"/>
    </row>
    <row r="385" spans="6:7" ht="15.75" customHeight="1">
      <c r="F385" s="11"/>
      <c r="G385" s="11"/>
    </row>
    <row r="386" spans="6:7" ht="15.75" customHeight="1">
      <c r="F386" s="11"/>
      <c r="G386" s="11"/>
    </row>
    <row r="387" spans="6:7" ht="15.75" customHeight="1">
      <c r="F387" s="11"/>
      <c r="G387" s="11"/>
    </row>
    <row r="388" spans="6:7" ht="15.75" customHeight="1">
      <c r="F388" s="11"/>
      <c r="G388" s="11"/>
    </row>
    <row r="389" spans="6:7" ht="15.75" customHeight="1">
      <c r="F389" s="11"/>
      <c r="G389" s="11"/>
    </row>
    <row r="390" spans="6:7" ht="15.75" customHeight="1">
      <c r="F390" s="11"/>
      <c r="G390" s="11"/>
    </row>
    <row r="391" spans="6:7" ht="15.75" customHeight="1">
      <c r="F391" s="11"/>
      <c r="G391" s="11"/>
    </row>
    <row r="392" spans="6:7" ht="15.75" customHeight="1">
      <c r="F392" s="11"/>
      <c r="G392" s="11"/>
    </row>
    <row r="393" spans="6:7" ht="15.75" customHeight="1">
      <c r="F393" s="11"/>
      <c r="G393" s="11"/>
    </row>
    <row r="394" spans="6:7" ht="15.75" customHeight="1">
      <c r="F394" s="11"/>
      <c r="G394" s="11"/>
    </row>
    <row r="395" spans="6:7" ht="15.75" customHeight="1">
      <c r="F395" s="11"/>
      <c r="G395" s="11"/>
    </row>
    <row r="396" spans="6:7" ht="15.75" customHeight="1">
      <c r="F396" s="11"/>
      <c r="G396" s="11"/>
    </row>
    <row r="397" spans="6:7" ht="15.75" customHeight="1">
      <c r="F397" s="11"/>
      <c r="G397" s="11"/>
    </row>
    <row r="398" spans="6:7" ht="15.75" customHeight="1">
      <c r="F398" s="11"/>
      <c r="G398" s="11"/>
    </row>
    <row r="399" spans="6:7" ht="15.75" customHeight="1">
      <c r="F399" s="11"/>
      <c r="G399" s="11"/>
    </row>
    <row r="400" spans="6:7" ht="15.75" customHeight="1">
      <c r="F400" s="11"/>
      <c r="G400" s="11"/>
    </row>
    <row r="401" spans="6:7" ht="15.75" customHeight="1">
      <c r="F401" s="11"/>
      <c r="G401" s="11"/>
    </row>
    <row r="402" spans="6:7" ht="15.75" customHeight="1">
      <c r="F402" s="11"/>
      <c r="G402" s="11"/>
    </row>
    <row r="403" spans="6:7" ht="15.75" customHeight="1">
      <c r="F403" s="11"/>
      <c r="G403" s="11"/>
    </row>
    <row r="404" spans="6:7" ht="15.75" customHeight="1">
      <c r="F404" s="11"/>
      <c r="G404" s="11"/>
    </row>
    <row r="405" spans="6:7" ht="15.75" customHeight="1">
      <c r="F405" s="11"/>
      <c r="G405" s="11"/>
    </row>
    <row r="406" spans="6:7" ht="15.75" customHeight="1">
      <c r="F406" s="11"/>
      <c r="G406" s="11"/>
    </row>
    <row r="407" spans="6:7" ht="15.75" customHeight="1">
      <c r="F407" s="11"/>
      <c r="G407" s="11"/>
    </row>
    <row r="408" spans="6:7" ht="15.75" customHeight="1">
      <c r="F408" s="11"/>
      <c r="G408" s="11"/>
    </row>
    <row r="409" spans="6:7" ht="15.75" customHeight="1">
      <c r="F409" s="11"/>
      <c r="G409" s="11"/>
    </row>
    <row r="410" spans="6:7" ht="15.75" customHeight="1">
      <c r="F410" s="11"/>
      <c r="G410" s="11"/>
    </row>
    <row r="411" spans="6:7" ht="15.75" customHeight="1">
      <c r="F411" s="11"/>
      <c r="G411" s="11"/>
    </row>
    <row r="412" spans="6:7" ht="15.75" customHeight="1">
      <c r="F412" s="11"/>
      <c r="G412" s="11"/>
    </row>
    <row r="413" spans="6:7" ht="15.75" customHeight="1">
      <c r="F413" s="11"/>
      <c r="G413" s="11"/>
    </row>
    <row r="414" spans="6:7" ht="15.75" customHeight="1">
      <c r="F414" s="11"/>
      <c r="G414" s="11"/>
    </row>
    <row r="415" spans="6:7" ht="15.75" customHeight="1">
      <c r="F415" s="11"/>
      <c r="G415" s="11"/>
    </row>
    <row r="416" spans="6:7" ht="15.75" customHeight="1">
      <c r="F416" s="11"/>
      <c r="G416" s="11"/>
    </row>
    <row r="417" spans="6:7" ht="15.75" customHeight="1">
      <c r="F417" s="11"/>
      <c r="G417" s="11"/>
    </row>
    <row r="418" spans="6:7" ht="15.75" customHeight="1">
      <c r="F418" s="11"/>
      <c r="G418" s="11"/>
    </row>
    <row r="419" spans="6:7" ht="15.75" customHeight="1">
      <c r="F419" s="11"/>
      <c r="G419" s="11"/>
    </row>
    <row r="420" spans="6:7" ht="15.75" customHeight="1">
      <c r="F420" s="11"/>
      <c r="G420" s="11"/>
    </row>
    <row r="421" spans="6:7" ht="15.75" customHeight="1">
      <c r="F421" s="11"/>
      <c r="G421" s="11"/>
    </row>
    <row r="422" spans="6:7" ht="15.75" customHeight="1">
      <c r="F422" s="11"/>
      <c r="G422" s="11"/>
    </row>
    <row r="423" spans="6:7" ht="15.75" customHeight="1">
      <c r="F423" s="11"/>
      <c r="G423" s="11"/>
    </row>
    <row r="424" spans="6:7" ht="15.75" customHeight="1">
      <c r="F424" s="11"/>
      <c r="G424" s="11"/>
    </row>
    <row r="425" spans="6:7" ht="15.75" customHeight="1">
      <c r="F425" s="11"/>
      <c r="G425" s="11"/>
    </row>
    <row r="426" spans="6:7" ht="15.75" customHeight="1">
      <c r="F426" s="11"/>
      <c r="G426" s="11"/>
    </row>
    <row r="427" spans="6:7" ht="15.75" customHeight="1">
      <c r="F427" s="11"/>
      <c r="G427" s="11"/>
    </row>
    <row r="428" spans="6:7" ht="15.75" customHeight="1">
      <c r="F428" s="11"/>
      <c r="G428" s="11"/>
    </row>
    <row r="429" spans="6:7" ht="15.75" customHeight="1">
      <c r="F429" s="11"/>
      <c r="G429" s="11"/>
    </row>
    <row r="430" spans="6:7" ht="15.75" customHeight="1">
      <c r="F430" s="11"/>
      <c r="G430" s="11"/>
    </row>
    <row r="431" spans="6:7" ht="15.75" customHeight="1">
      <c r="F431" s="11"/>
      <c r="G431" s="11"/>
    </row>
    <row r="432" spans="6:7" ht="15.75" customHeight="1">
      <c r="F432" s="11"/>
      <c r="G432" s="11"/>
    </row>
    <row r="433" spans="6:7" ht="15.75" customHeight="1">
      <c r="F433" s="11"/>
      <c r="G433" s="11"/>
    </row>
    <row r="434" spans="6:7" ht="15.75" customHeight="1">
      <c r="F434" s="11"/>
      <c r="G434" s="11"/>
    </row>
    <row r="435" spans="6:7" ht="15.75" customHeight="1">
      <c r="F435" s="11"/>
      <c r="G435" s="11"/>
    </row>
    <row r="436" spans="6:7" ht="15.75" customHeight="1">
      <c r="F436" s="11"/>
      <c r="G436" s="11"/>
    </row>
    <row r="437" spans="6:7" ht="15.75" customHeight="1">
      <c r="F437" s="11"/>
      <c r="G437" s="11"/>
    </row>
    <row r="438" spans="6:7" ht="15.75" customHeight="1">
      <c r="F438" s="11"/>
      <c r="G438" s="11"/>
    </row>
    <row r="439" spans="6:7" ht="15.75" customHeight="1">
      <c r="F439" s="11"/>
      <c r="G439" s="11"/>
    </row>
    <row r="440" spans="6:7" ht="15.75" customHeight="1">
      <c r="F440" s="11"/>
      <c r="G440" s="11"/>
    </row>
    <row r="441" spans="6:7" ht="15.75" customHeight="1">
      <c r="F441" s="11"/>
      <c r="G441" s="11"/>
    </row>
    <row r="442" spans="6:7" ht="15.75" customHeight="1">
      <c r="F442" s="11"/>
      <c r="G442" s="11"/>
    </row>
    <row r="443" spans="6:7" ht="15.75" customHeight="1">
      <c r="F443" s="11"/>
      <c r="G443" s="11"/>
    </row>
    <row r="444" spans="6:7" ht="15.75" customHeight="1">
      <c r="F444" s="11"/>
      <c r="G444" s="11"/>
    </row>
    <row r="445" spans="6:7" ht="15.75" customHeight="1">
      <c r="F445" s="11"/>
      <c r="G445" s="11"/>
    </row>
    <row r="446" spans="6:7" ht="15.75" customHeight="1">
      <c r="F446" s="11"/>
      <c r="G446" s="11"/>
    </row>
    <row r="447" spans="6:7" ht="15.75" customHeight="1">
      <c r="F447" s="11"/>
      <c r="G447" s="11"/>
    </row>
    <row r="448" spans="6:7" ht="15.75" customHeight="1">
      <c r="F448" s="11"/>
      <c r="G448" s="11"/>
    </row>
    <row r="449" spans="6:7" ht="15.75" customHeight="1">
      <c r="F449" s="11"/>
      <c r="G449" s="11"/>
    </row>
    <row r="450" spans="6:7" ht="15.75" customHeight="1">
      <c r="F450" s="11"/>
      <c r="G450" s="11"/>
    </row>
    <row r="451" spans="6:7" ht="15.75" customHeight="1">
      <c r="F451" s="11"/>
      <c r="G451" s="11"/>
    </row>
    <row r="452" spans="6:7" ht="15.75" customHeight="1">
      <c r="F452" s="11"/>
      <c r="G452" s="11"/>
    </row>
    <row r="453" spans="6:7" ht="15.75" customHeight="1">
      <c r="F453" s="11"/>
      <c r="G453" s="11"/>
    </row>
    <row r="454" spans="6:7" ht="15.75" customHeight="1">
      <c r="F454" s="11"/>
      <c r="G454" s="11"/>
    </row>
    <row r="455" spans="6:7" ht="15.75" customHeight="1">
      <c r="F455" s="11"/>
      <c r="G455" s="11"/>
    </row>
    <row r="456" spans="6:7" ht="15.75" customHeight="1">
      <c r="F456" s="11"/>
      <c r="G456" s="11"/>
    </row>
    <row r="457" spans="6:7" ht="15.75" customHeight="1">
      <c r="F457" s="11"/>
      <c r="G457" s="11"/>
    </row>
    <row r="458" spans="6:7" ht="15.75" customHeight="1">
      <c r="F458" s="11"/>
      <c r="G458" s="11"/>
    </row>
    <row r="459" spans="6:7" ht="15.75" customHeight="1">
      <c r="F459" s="11"/>
      <c r="G459" s="11"/>
    </row>
    <row r="460" spans="6:7" ht="15.75" customHeight="1">
      <c r="F460" s="11"/>
      <c r="G460" s="11"/>
    </row>
    <row r="461" spans="6:7" ht="15.75" customHeight="1">
      <c r="F461" s="11"/>
      <c r="G461" s="11"/>
    </row>
    <row r="462" spans="6:7" ht="15.75" customHeight="1">
      <c r="F462" s="11"/>
      <c r="G462" s="11"/>
    </row>
    <row r="463" spans="6:7" ht="15.75" customHeight="1">
      <c r="F463" s="11"/>
      <c r="G463" s="11"/>
    </row>
    <row r="464" spans="6:7" ht="15.75" customHeight="1">
      <c r="F464" s="11"/>
      <c r="G464" s="11"/>
    </row>
    <row r="465" spans="6:7" ht="15.75" customHeight="1">
      <c r="F465" s="11"/>
      <c r="G465" s="11"/>
    </row>
    <row r="466" spans="6:7" ht="15.75" customHeight="1">
      <c r="F466" s="11"/>
      <c r="G466" s="11"/>
    </row>
    <row r="467" spans="6:7" ht="15.75" customHeight="1">
      <c r="F467" s="11"/>
      <c r="G467" s="11"/>
    </row>
    <row r="468" spans="6:7" ht="15.75" customHeight="1">
      <c r="F468" s="11"/>
      <c r="G468" s="11"/>
    </row>
    <row r="469" spans="6:7" ht="15.75" customHeight="1">
      <c r="F469" s="11"/>
      <c r="G469" s="11"/>
    </row>
    <row r="470" spans="6:7" ht="15.75" customHeight="1">
      <c r="F470" s="11"/>
      <c r="G470" s="11"/>
    </row>
    <row r="471" spans="6:7" ht="15.75" customHeight="1">
      <c r="F471" s="11"/>
      <c r="G471" s="11"/>
    </row>
    <row r="472" spans="6:7" ht="15.75" customHeight="1">
      <c r="F472" s="11"/>
      <c r="G472" s="11"/>
    </row>
    <row r="473" spans="6:7" ht="15.75" customHeight="1">
      <c r="F473" s="11"/>
      <c r="G473" s="11"/>
    </row>
    <row r="474" spans="6:7" ht="15.75" customHeight="1">
      <c r="F474" s="11"/>
      <c r="G474" s="11"/>
    </row>
    <row r="475" spans="6:7" ht="15.75" customHeight="1">
      <c r="F475" s="11"/>
      <c r="G475" s="11"/>
    </row>
    <row r="476" spans="6:7" ht="15.75" customHeight="1">
      <c r="F476" s="11"/>
      <c r="G476" s="11"/>
    </row>
    <row r="477" spans="6:7" ht="15.75" customHeight="1">
      <c r="F477" s="11"/>
      <c r="G477" s="11"/>
    </row>
    <row r="478" spans="6:7" ht="15.75" customHeight="1">
      <c r="F478" s="11"/>
      <c r="G478" s="11"/>
    </row>
    <row r="479" spans="6:7" ht="15.75" customHeight="1">
      <c r="F479" s="11"/>
      <c r="G479" s="11"/>
    </row>
    <row r="480" spans="6:7" ht="15.75" customHeight="1">
      <c r="F480" s="11"/>
      <c r="G480" s="11"/>
    </row>
    <row r="481" spans="6:7" ht="15.75" customHeight="1">
      <c r="F481" s="11"/>
      <c r="G481" s="11"/>
    </row>
    <row r="482" spans="6:7" ht="15.75" customHeight="1">
      <c r="F482" s="11"/>
      <c r="G482" s="11"/>
    </row>
    <row r="483" spans="6:7" ht="15.75" customHeight="1">
      <c r="F483" s="11"/>
      <c r="G483" s="11"/>
    </row>
    <row r="484" spans="6:7" ht="15.75" customHeight="1">
      <c r="F484" s="11"/>
      <c r="G484" s="11"/>
    </row>
    <row r="485" spans="6:7" ht="15.75" customHeight="1">
      <c r="F485" s="11"/>
      <c r="G485" s="11"/>
    </row>
    <row r="486" spans="6:7" ht="15.75" customHeight="1">
      <c r="F486" s="11"/>
      <c r="G486" s="11"/>
    </row>
    <row r="487" spans="6:7" ht="15.75" customHeight="1">
      <c r="F487" s="11"/>
      <c r="G487" s="11"/>
    </row>
    <row r="488" spans="6:7" ht="15.75" customHeight="1">
      <c r="F488" s="11"/>
      <c r="G488" s="11"/>
    </row>
    <row r="489" spans="6:7" ht="15.75" customHeight="1">
      <c r="F489" s="11"/>
      <c r="G489" s="11"/>
    </row>
    <row r="490" spans="6:7" ht="15.75" customHeight="1">
      <c r="F490" s="11"/>
      <c r="G490" s="11"/>
    </row>
    <row r="491" spans="6:7" ht="15.75" customHeight="1">
      <c r="F491" s="11"/>
      <c r="G491" s="11"/>
    </row>
    <row r="492" spans="6:7" ht="15.75" customHeight="1">
      <c r="F492" s="11"/>
      <c r="G492" s="11"/>
    </row>
    <row r="493" spans="6:7" ht="15.75" customHeight="1">
      <c r="F493" s="11"/>
      <c r="G493" s="11"/>
    </row>
    <row r="494" spans="6:7" ht="15.75" customHeight="1">
      <c r="F494" s="11"/>
      <c r="G494" s="11"/>
    </row>
    <row r="495" spans="6:7" ht="15.75" customHeight="1">
      <c r="F495" s="11"/>
      <c r="G495" s="11"/>
    </row>
    <row r="496" spans="6:7" ht="15.75" customHeight="1">
      <c r="F496" s="11"/>
      <c r="G496" s="11"/>
    </row>
    <row r="497" spans="6:7" ht="15.75" customHeight="1">
      <c r="F497" s="11"/>
      <c r="G497" s="11"/>
    </row>
    <row r="498" spans="6:7" ht="15.75" customHeight="1">
      <c r="F498" s="11"/>
      <c r="G498" s="11"/>
    </row>
    <row r="499" spans="6:7" ht="15.75" customHeight="1">
      <c r="F499" s="11"/>
      <c r="G499" s="11"/>
    </row>
    <row r="500" spans="6:7" ht="15.75" customHeight="1">
      <c r="F500" s="11"/>
      <c r="G500" s="11"/>
    </row>
    <row r="501" spans="6:7" ht="15.75" customHeight="1">
      <c r="F501" s="11"/>
      <c r="G501" s="11"/>
    </row>
    <row r="502" spans="6:7" ht="15.75" customHeight="1">
      <c r="F502" s="11"/>
      <c r="G502" s="11"/>
    </row>
    <row r="503" spans="6:7" ht="15.75" customHeight="1">
      <c r="F503" s="11"/>
      <c r="G503" s="11"/>
    </row>
    <row r="504" spans="6:7" ht="15.75" customHeight="1">
      <c r="F504" s="11"/>
      <c r="G504" s="11"/>
    </row>
    <row r="505" spans="6:7" ht="15.75" customHeight="1">
      <c r="F505" s="11"/>
      <c r="G505" s="11"/>
    </row>
    <row r="506" spans="6:7" ht="15.75" customHeight="1">
      <c r="F506" s="11"/>
      <c r="G506" s="11"/>
    </row>
    <row r="507" spans="6:7" ht="15.75" customHeight="1">
      <c r="F507" s="11"/>
      <c r="G507" s="11"/>
    </row>
    <row r="508" spans="6:7" ht="15.75" customHeight="1">
      <c r="F508" s="11"/>
      <c r="G508" s="11"/>
    </row>
    <row r="509" spans="6:7" ht="15.75" customHeight="1">
      <c r="F509" s="11"/>
      <c r="G509" s="11"/>
    </row>
    <row r="510" spans="6:7" ht="15.75" customHeight="1">
      <c r="F510" s="11"/>
      <c r="G510" s="11"/>
    </row>
    <row r="511" spans="6:7" ht="15.75" customHeight="1">
      <c r="F511" s="11"/>
      <c r="G511" s="11"/>
    </row>
    <row r="512" spans="6:7" ht="15.75" customHeight="1">
      <c r="F512" s="11"/>
      <c r="G512" s="11"/>
    </row>
    <row r="513" spans="6:7" ht="15.75" customHeight="1">
      <c r="F513" s="11"/>
      <c r="G513" s="11"/>
    </row>
    <row r="514" spans="6:7" ht="15.75" customHeight="1">
      <c r="F514" s="11"/>
      <c r="G514" s="11"/>
    </row>
    <row r="515" spans="6:7" ht="15.75" customHeight="1">
      <c r="F515" s="11"/>
      <c r="G515" s="11"/>
    </row>
    <row r="516" spans="6:7" ht="15.75" customHeight="1">
      <c r="F516" s="11"/>
      <c r="G516" s="11"/>
    </row>
    <row r="517" spans="6:7" ht="15.75" customHeight="1">
      <c r="F517" s="11"/>
      <c r="G517" s="11"/>
    </row>
    <row r="518" spans="6:7" ht="15.75" customHeight="1">
      <c r="F518" s="11"/>
      <c r="G518" s="11"/>
    </row>
    <row r="519" spans="6:7" ht="15.75" customHeight="1">
      <c r="F519" s="11"/>
      <c r="G519" s="11"/>
    </row>
    <row r="520" spans="6:7" ht="15.75" customHeight="1">
      <c r="F520" s="11"/>
      <c r="G520" s="11"/>
    </row>
    <row r="521" spans="6:7" ht="15.75" customHeight="1">
      <c r="F521" s="11"/>
      <c r="G521" s="11"/>
    </row>
    <row r="522" spans="6:7" ht="15.75" customHeight="1">
      <c r="F522" s="11"/>
      <c r="G522" s="11"/>
    </row>
    <row r="523" spans="6:7" ht="15.75" customHeight="1">
      <c r="F523" s="11"/>
      <c r="G523" s="11"/>
    </row>
    <row r="524" spans="6:7" ht="15.75" customHeight="1">
      <c r="F524" s="11"/>
      <c r="G524" s="11"/>
    </row>
    <row r="525" spans="6:7" ht="15.75" customHeight="1">
      <c r="F525" s="11"/>
      <c r="G525" s="11"/>
    </row>
    <row r="526" spans="6:7" ht="15.75" customHeight="1">
      <c r="F526" s="11"/>
      <c r="G526" s="11"/>
    </row>
    <row r="527" spans="6:7" ht="15.75" customHeight="1">
      <c r="F527" s="11"/>
      <c r="G527" s="11"/>
    </row>
    <row r="528" spans="6:7" ht="15.75" customHeight="1">
      <c r="F528" s="11"/>
      <c r="G528" s="11"/>
    </row>
    <row r="529" spans="6:7" ht="15.75" customHeight="1">
      <c r="F529" s="11"/>
      <c r="G529" s="11"/>
    </row>
    <row r="530" spans="6:7" ht="15.75" customHeight="1">
      <c r="F530" s="11"/>
      <c r="G530" s="11"/>
    </row>
    <row r="531" spans="6:7" ht="15.75" customHeight="1">
      <c r="F531" s="11"/>
      <c r="G531" s="11"/>
    </row>
    <row r="532" spans="6:7" ht="15.75" customHeight="1">
      <c r="F532" s="11"/>
      <c r="G532" s="11"/>
    </row>
    <row r="533" spans="6:7" ht="15.75" customHeight="1">
      <c r="F533" s="11"/>
      <c r="G533" s="11"/>
    </row>
    <row r="534" spans="6:7" ht="15.75" customHeight="1">
      <c r="F534" s="11"/>
      <c r="G534" s="11"/>
    </row>
    <row r="535" spans="6:7" ht="15.75" customHeight="1">
      <c r="F535" s="11"/>
      <c r="G535" s="11"/>
    </row>
    <row r="536" spans="6:7" ht="15.75" customHeight="1">
      <c r="F536" s="11"/>
      <c r="G536" s="11"/>
    </row>
    <row r="537" spans="6:7" ht="15.75" customHeight="1">
      <c r="F537" s="11"/>
      <c r="G537" s="11"/>
    </row>
    <row r="538" spans="6:7" ht="15.75" customHeight="1">
      <c r="F538" s="11"/>
      <c r="G538" s="11"/>
    </row>
    <row r="539" spans="6:7" ht="15.75" customHeight="1">
      <c r="F539" s="11"/>
      <c r="G539" s="11"/>
    </row>
    <row r="540" spans="6:7" ht="15.75" customHeight="1">
      <c r="F540" s="11"/>
      <c r="G540" s="11"/>
    </row>
    <row r="541" spans="6:7" ht="15.75" customHeight="1">
      <c r="F541" s="11"/>
      <c r="G541" s="11"/>
    </row>
    <row r="542" spans="6:7" ht="15.75" customHeight="1">
      <c r="F542" s="11"/>
      <c r="G542" s="11"/>
    </row>
    <row r="543" spans="6:7" ht="15.75" customHeight="1">
      <c r="F543" s="11"/>
      <c r="G543" s="11"/>
    </row>
    <row r="544" spans="6:7" ht="15.75" customHeight="1">
      <c r="F544" s="11"/>
      <c r="G544" s="11"/>
    </row>
    <row r="545" spans="6:7" ht="15.75" customHeight="1">
      <c r="F545" s="11"/>
      <c r="G545" s="11"/>
    </row>
    <row r="546" spans="6:7" ht="15.75" customHeight="1">
      <c r="F546" s="11"/>
      <c r="G546" s="11"/>
    </row>
    <row r="547" spans="6:7" ht="15.75" customHeight="1">
      <c r="F547" s="11"/>
      <c r="G547" s="11"/>
    </row>
    <row r="548" spans="6:7" ht="15.75" customHeight="1">
      <c r="F548" s="11"/>
      <c r="G548" s="11"/>
    </row>
    <row r="549" spans="6:7" ht="15.75" customHeight="1">
      <c r="F549" s="11"/>
      <c r="G549" s="11"/>
    </row>
    <row r="550" spans="6:7" ht="15.75" customHeight="1">
      <c r="F550" s="11"/>
      <c r="G550" s="11"/>
    </row>
    <row r="551" spans="6:7" ht="15.75" customHeight="1">
      <c r="F551" s="11"/>
      <c r="G551" s="11"/>
    </row>
    <row r="552" spans="6:7" ht="15.75" customHeight="1">
      <c r="F552" s="11"/>
      <c r="G552" s="11"/>
    </row>
    <row r="553" spans="6:7" ht="15.75" customHeight="1">
      <c r="F553" s="11"/>
      <c r="G553" s="11"/>
    </row>
    <row r="554" spans="6:7" ht="15.75" customHeight="1">
      <c r="F554" s="11"/>
      <c r="G554" s="11"/>
    </row>
    <row r="555" spans="6:7" ht="15.75" customHeight="1">
      <c r="F555" s="11"/>
      <c r="G555" s="11"/>
    </row>
    <row r="556" spans="6:7" ht="15.75" customHeight="1">
      <c r="F556" s="11"/>
      <c r="G556" s="11"/>
    </row>
    <row r="557" spans="6:7" ht="15.75" customHeight="1">
      <c r="F557" s="11"/>
      <c r="G557" s="11"/>
    </row>
    <row r="558" spans="6:7" ht="15.75" customHeight="1">
      <c r="F558" s="11"/>
      <c r="G558" s="11"/>
    </row>
    <row r="559" spans="6:7" ht="15.75" customHeight="1">
      <c r="F559" s="11"/>
      <c r="G559" s="11"/>
    </row>
    <row r="560" spans="6:7" ht="15.75" customHeight="1">
      <c r="F560" s="11"/>
      <c r="G560" s="11"/>
    </row>
    <row r="561" spans="6:7" ht="15.75" customHeight="1">
      <c r="F561" s="11"/>
      <c r="G561" s="11"/>
    </row>
    <row r="562" spans="6:7" ht="15.75" customHeight="1">
      <c r="F562" s="11"/>
      <c r="G562" s="11"/>
    </row>
    <row r="563" spans="6:7" ht="15.75" customHeight="1">
      <c r="F563" s="11"/>
      <c r="G563" s="11"/>
    </row>
    <row r="564" spans="6:7" ht="15.75" customHeight="1">
      <c r="F564" s="11"/>
      <c r="G564" s="11"/>
    </row>
    <row r="565" spans="6:7" ht="15.75" customHeight="1">
      <c r="F565" s="11"/>
      <c r="G565" s="11"/>
    </row>
    <row r="566" spans="6:7" ht="15.75" customHeight="1">
      <c r="F566" s="11"/>
      <c r="G566" s="11"/>
    </row>
    <row r="567" spans="6:7" ht="15.75" customHeight="1">
      <c r="F567" s="11"/>
      <c r="G567" s="11"/>
    </row>
    <row r="568" spans="6:7" ht="15.75" customHeight="1">
      <c r="F568" s="11"/>
      <c r="G568" s="11"/>
    </row>
    <row r="569" spans="6:7" ht="15.75" customHeight="1">
      <c r="F569" s="11"/>
      <c r="G569" s="11"/>
    </row>
    <row r="570" spans="6:7" ht="15.75" customHeight="1">
      <c r="F570" s="11"/>
      <c r="G570" s="11"/>
    </row>
    <row r="571" spans="6:7" ht="15.75" customHeight="1">
      <c r="F571" s="11"/>
      <c r="G571" s="11"/>
    </row>
    <row r="572" spans="6:7" ht="15.75" customHeight="1">
      <c r="F572" s="11"/>
      <c r="G572" s="11"/>
    </row>
    <row r="573" spans="6:7" ht="15.75" customHeight="1">
      <c r="F573" s="11"/>
      <c r="G573" s="11"/>
    </row>
    <row r="574" spans="6:7" ht="15.75" customHeight="1">
      <c r="F574" s="11"/>
      <c r="G574" s="11"/>
    </row>
    <row r="575" spans="6:7" ht="15.75" customHeight="1">
      <c r="F575" s="11"/>
      <c r="G575" s="11"/>
    </row>
    <row r="576" spans="6:7" ht="15.75" customHeight="1">
      <c r="F576" s="11"/>
      <c r="G576" s="11"/>
    </row>
    <row r="577" spans="6:7" ht="15.75" customHeight="1">
      <c r="F577" s="11"/>
      <c r="G577" s="11"/>
    </row>
    <row r="578" spans="6:7" ht="15.75" customHeight="1">
      <c r="F578" s="11"/>
      <c r="G578" s="11"/>
    </row>
    <row r="579" spans="6:7" ht="15.75" customHeight="1">
      <c r="F579" s="11"/>
      <c r="G579" s="11"/>
    </row>
    <row r="580" spans="6:7" ht="15.75" customHeight="1">
      <c r="F580" s="11"/>
      <c r="G580" s="11"/>
    </row>
    <row r="581" spans="6:7" ht="15.75" customHeight="1">
      <c r="F581" s="11"/>
      <c r="G581" s="11"/>
    </row>
    <row r="582" spans="6:7" ht="15.75" customHeight="1">
      <c r="F582" s="11"/>
      <c r="G582" s="11"/>
    </row>
    <row r="583" spans="6:7" ht="15.75" customHeight="1">
      <c r="F583" s="11"/>
      <c r="G583" s="11"/>
    </row>
    <row r="584" spans="6:7" ht="15.75" customHeight="1">
      <c r="F584" s="11"/>
      <c r="G584" s="11"/>
    </row>
    <row r="585" spans="6:7" ht="15.75" customHeight="1">
      <c r="F585" s="11"/>
      <c r="G585" s="11"/>
    </row>
    <row r="586" spans="6:7" ht="15.75" customHeight="1">
      <c r="F586" s="11"/>
      <c r="G586" s="11"/>
    </row>
    <row r="587" spans="6:7" ht="15.75" customHeight="1">
      <c r="F587" s="11"/>
      <c r="G587" s="11"/>
    </row>
    <row r="588" spans="6:7" ht="15.75" customHeight="1">
      <c r="F588" s="11"/>
      <c r="G588" s="11"/>
    </row>
    <row r="589" spans="6:7" ht="15.75" customHeight="1">
      <c r="F589" s="11"/>
      <c r="G589" s="11"/>
    </row>
    <row r="590" spans="6:7" ht="15.75" customHeight="1">
      <c r="F590" s="11"/>
      <c r="G590" s="11"/>
    </row>
    <row r="591" spans="6:7" ht="15.75" customHeight="1">
      <c r="F591" s="11"/>
      <c r="G591" s="11"/>
    </row>
    <row r="592" spans="6:7" ht="15.75" customHeight="1">
      <c r="F592" s="11"/>
      <c r="G592" s="11"/>
    </row>
    <row r="593" spans="6:7" ht="15.75" customHeight="1">
      <c r="F593" s="11"/>
      <c r="G593" s="11"/>
    </row>
    <row r="594" spans="6:7" ht="15.75" customHeight="1">
      <c r="F594" s="11"/>
      <c r="G594" s="11"/>
    </row>
    <row r="595" spans="6:7" ht="15.75" customHeight="1">
      <c r="F595" s="11"/>
      <c r="G595" s="11"/>
    </row>
    <row r="596" spans="6:7" ht="15.75" customHeight="1">
      <c r="F596" s="11"/>
      <c r="G596" s="11"/>
    </row>
    <row r="597" spans="6:7" ht="15.75" customHeight="1">
      <c r="F597" s="11"/>
      <c r="G597" s="11"/>
    </row>
    <row r="598" spans="6:7" ht="15.75" customHeight="1">
      <c r="F598" s="11"/>
      <c r="G598" s="11"/>
    </row>
    <row r="599" spans="6:7" ht="15.75" customHeight="1">
      <c r="F599" s="11"/>
      <c r="G599" s="11"/>
    </row>
    <row r="600" spans="6:7" ht="15.75" customHeight="1">
      <c r="F600" s="11"/>
      <c r="G600" s="11"/>
    </row>
    <row r="601" spans="6:7" ht="15.75" customHeight="1">
      <c r="F601" s="11"/>
      <c r="G601" s="11"/>
    </row>
    <row r="602" spans="6:7" ht="15.75" customHeight="1">
      <c r="F602" s="11"/>
      <c r="G602" s="11"/>
    </row>
    <row r="603" spans="6:7" ht="15.75" customHeight="1">
      <c r="F603" s="11"/>
      <c r="G603" s="11"/>
    </row>
    <row r="604" spans="6:7" ht="15.75" customHeight="1">
      <c r="F604" s="11"/>
      <c r="G604" s="11"/>
    </row>
    <row r="605" spans="6:7" ht="15.75" customHeight="1">
      <c r="F605" s="11"/>
      <c r="G605" s="11"/>
    </row>
    <row r="606" spans="6:7" ht="15.75" customHeight="1">
      <c r="F606" s="11"/>
      <c r="G606" s="11"/>
    </row>
    <row r="607" spans="6:7" ht="15.75" customHeight="1">
      <c r="F607" s="11"/>
      <c r="G607" s="11"/>
    </row>
    <row r="608" spans="6:7" ht="15.75" customHeight="1">
      <c r="F608" s="11"/>
      <c r="G608" s="11"/>
    </row>
    <row r="609" spans="6:7" ht="15.75" customHeight="1">
      <c r="F609" s="11"/>
      <c r="G609" s="11"/>
    </row>
    <row r="610" spans="6:7" ht="15.75" customHeight="1">
      <c r="F610" s="11"/>
      <c r="G610" s="11"/>
    </row>
    <row r="611" spans="6:7" ht="15.75" customHeight="1">
      <c r="F611" s="11"/>
      <c r="G611" s="11"/>
    </row>
    <row r="612" spans="6:7" ht="15.75" customHeight="1">
      <c r="F612" s="11"/>
      <c r="G612" s="11"/>
    </row>
    <row r="613" spans="6:7" ht="15.75" customHeight="1">
      <c r="F613" s="11"/>
      <c r="G613" s="11"/>
    </row>
    <row r="614" spans="6:7" ht="15.75" customHeight="1">
      <c r="F614" s="11"/>
      <c r="G614" s="11"/>
    </row>
    <row r="615" spans="6:7" ht="15.75" customHeight="1">
      <c r="F615" s="11"/>
      <c r="G615" s="11"/>
    </row>
    <row r="616" spans="6:7" ht="15.75" customHeight="1">
      <c r="F616" s="11"/>
      <c r="G616" s="11"/>
    </row>
    <row r="617" spans="6:7" ht="15.75" customHeight="1">
      <c r="F617" s="11"/>
      <c r="G617" s="11"/>
    </row>
    <row r="618" spans="6:7" ht="15.75" customHeight="1">
      <c r="F618" s="11"/>
      <c r="G618" s="11"/>
    </row>
    <row r="619" spans="6:7" ht="15.75" customHeight="1">
      <c r="F619" s="11"/>
      <c r="G619" s="11"/>
    </row>
    <row r="620" spans="6:7" ht="15.75" customHeight="1">
      <c r="F620" s="11"/>
      <c r="G620" s="11"/>
    </row>
    <row r="621" spans="6:7" ht="15.75" customHeight="1">
      <c r="F621" s="11"/>
      <c r="G621" s="11"/>
    </row>
    <row r="622" spans="6:7" ht="15.75" customHeight="1">
      <c r="F622" s="11"/>
      <c r="G622" s="11"/>
    </row>
    <row r="623" spans="6:7" ht="15.75" customHeight="1">
      <c r="F623" s="11"/>
      <c r="G623" s="11"/>
    </row>
    <row r="624" spans="6:7" ht="15.75" customHeight="1">
      <c r="F624" s="11"/>
      <c r="G624" s="11"/>
    </row>
    <row r="625" spans="6:7" ht="15.75" customHeight="1">
      <c r="F625" s="11"/>
      <c r="G625" s="11"/>
    </row>
    <row r="626" spans="6:7" ht="15.75" customHeight="1">
      <c r="F626" s="11"/>
      <c r="G626" s="11"/>
    </row>
    <row r="627" spans="6:7" ht="15.75" customHeight="1">
      <c r="F627" s="11"/>
      <c r="G627" s="11"/>
    </row>
    <row r="628" spans="6:7" ht="15.75" customHeight="1">
      <c r="F628" s="11"/>
      <c r="G628" s="11"/>
    </row>
    <row r="629" spans="6:7" ht="15.75" customHeight="1">
      <c r="F629" s="11"/>
      <c r="G629" s="11"/>
    </row>
    <row r="630" spans="6:7" ht="15.75" customHeight="1">
      <c r="F630" s="11"/>
      <c r="G630" s="11"/>
    </row>
    <row r="631" spans="6:7" ht="15.75" customHeight="1">
      <c r="F631" s="11"/>
      <c r="G631" s="11"/>
    </row>
    <row r="632" spans="6:7" ht="15.75" customHeight="1">
      <c r="F632" s="11"/>
      <c r="G632" s="11"/>
    </row>
    <row r="633" spans="6:7" ht="15.75" customHeight="1">
      <c r="F633" s="11"/>
      <c r="G633" s="11"/>
    </row>
    <row r="634" spans="6:7" ht="15.75" customHeight="1">
      <c r="F634" s="11"/>
      <c r="G634" s="11"/>
    </row>
    <row r="635" spans="6:7" ht="15.75" customHeight="1">
      <c r="F635" s="11"/>
      <c r="G635" s="11"/>
    </row>
    <row r="636" spans="6:7" ht="15.75" customHeight="1">
      <c r="F636" s="11"/>
      <c r="G636" s="11"/>
    </row>
    <row r="637" spans="6:7" ht="15.75" customHeight="1">
      <c r="F637" s="11"/>
      <c r="G637" s="11"/>
    </row>
    <row r="638" spans="6:7" ht="15.75" customHeight="1">
      <c r="F638" s="11"/>
      <c r="G638" s="11"/>
    </row>
    <row r="639" spans="6:7" ht="15.75" customHeight="1">
      <c r="F639" s="11"/>
      <c r="G639" s="11"/>
    </row>
    <row r="640" spans="6:7" ht="15.75" customHeight="1">
      <c r="F640" s="11"/>
      <c r="G640" s="11"/>
    </row>
    <row r="641" spans="6:7" ht="15.75" customHeight="1">
      <c r="F641" s="11"/>
      <c r="G641" s="11"/>
    </row>
    <row r="642" spans="6:7" ht="15.75" customHeight="1">
      <c r="F642" s="11"/>
      <c r="G642" s="11"/>
    </row>
    <row r="643" spans="6:7" ht="15.75" customHeight="1">
      <c r="F643" s="11"/>
      <c r="G643" s="11"/>
    </row>
    <row r="644" spans="6:7" ht="15.75" customHeight="1">
      <c r="F644" s="11"/>
      <c r="G644" s="11"/>
    </row>
    <row r="645" spans="6:7" ht="15.75" customHeight="1">
      <c r="F645" s="11"/>
      <c r="G645" s="11"/>
    </row>
    <row r="646" spans="6:7" ht="15.75" customHeight="1">
      <c r="F646" s="11"/>
      <c r="G646" s="11"/>
    </row>
    <row r="647" spans="6:7" ht="15.75" customHeight="1">
      <c r="F647" s="11"/>
      <c r="G647" s="11"/>
    </row>
    <row r="648" spans="6:7" ht="15.75" customHeight="1">
      <c r="F648" s="11"/>
      <c r="G648" s="11"/>
    </row>
    <row r="649" spans="6:7" ht="15.75" customHeight="1">
      <c r="F649" s="11"/>
      <c r="G649" s="11"/>
    </row>
    <row r="650" spans="6:7" ht="15.75" customHeight="1">
      <c r="F650" s="11"/>
      <c r="G650" s="11"/>
    </row>
    <row r="651" spans="6:7" ht="15.75" customHeight="1">
      <c r="F651" s="11"/>
      <c r="G651" s="11"/>
    </row>
    <row r="652" spans="6:7" ht="15.75" customHeight="1">
      <c r="F652" s="11"/>
      <c r="G652" s="11"/>
    </row>
    <row r="653" spans="6:7" ht="15.75" customHeight="1">
      <c r="F653" s="11"/>
      <c r="G653" s="11"/>
    </row>
    <row r="654" spans="6:7" ht="15.75" customHeight="1">
      <c r="F654" s="11"/>
      <c r="G654" s="11"/>
    </row>
    <row r="655" spans="6:7" ht="15.75" customHeight="1">
      <c r="F655" s="11"/>
      <c r="G655" s="11"/>
    </row>
    <row r="656" spans="6:7" ht="15.75" customHeight="1">
      <c r="F656" s="11"/>
      <c r="G656" s="11"/>
    </row>
    <row r="657" spans="6:7" ht="15.75" customHeight="1">
      <c r="F657" s="11"/>
      <c r="G657" s="11"/>
    </row>
    <row r="658" spans="6:7" ht="15.75" customHeight="1">
      <c r="F658" s="11"/>
      <c r="G658" s="11"/>
    </row>
    <row r="659" spans="6:7" ht="15.75" customHeight="1">
      <c r="F659" s="11"/>
      <c r="G659" s="11"/>
    </row>
    <row r="660" spans="6:7" ht="15.75" customHeight="1">
      <c r="F660" s="11"/>
      <c r="G660" s="11"/>
    </row>
    <row r="661" spans="6:7" ht="15.75" customHeight="1">
      <c r="F661" s="11"/>
      <c r="G661" s="11"/>
    </row>
    <row r="662" spans="6:7" ht="15.75" customHeight="1">
      <c r="F662" s="11"/>
      <c r="G662" s="11"/>
    </row>
    <row r="663" spans="6:7" ht="15.75" customHeight="1">
      <c r="F663" s="11"/>
      <c r="G663" s="11"/>
    </row>
    <row r="664" spans="6:7" ht="15.75" customHeight="1">
      <c r="F664" s="11"/>
      <c r="G664" s="11"/>
    </row>
    <row r="665" spans="6:7" ht="15.75" customHeight="1">
      <c r="F665" s="11"/>
      <c r="G665" s="11"/>
    </row>
    <row r="666" spans="6:7" ht="15.75" customHeight="1">
      <c r="F666" s="11"/>
      <c r="G666" s="11"/>
    </row>
    <row r="667" spans="6:7" ht="15.75" customHeight="1">
      <c r="F667" s="11"/>
      <c r="G667" s="11"/>
    </row>
    <row r="668" spans="6:7" ht="15.75" customHeight="1">
      <c r="F668" s="11"/>
      <c r="G668" s="11"/>
    </row>
    <row r="669" spans="6:7" ht="15.75" customHeight="1">
      <c r="F669" s="11"/>
      <c r="G669" s="11"/>
    </row>
    <row r="670" spans="6:7" ht="15.75" customHeight="1">
      <c r="F670" s="11"/>
      <c r="G670" s="11"/>
    </row>
    <row r="671" spans="6:7" ht="15.75" customHeight="1">
      <c r="F671" s="11"/>
      <c r="G671" s="11"/>
    </row>
    <row r="672" spans="6:7" ht="15.75" customHeight="1">
      <c r="F672" s="11"/>
      <c r="G672" s="11"/>
    </row>
    <row r="673" spans="6:7" ht="15.75" customHeight="1">
      <c r="F673" s="11"/>
      <c r="G673" s="11"/>
    </row>
    <row r="674" spans="6:7" ht="15.75" customHeight="1">
      <c r="F674" s="11"/>
      <c r="G674" s="11"/>
    </row>
    <row r="675" spans="6:7" ht="15.75" customHeight="1">
      <c r="F675" s="11"/>
      <c r="G675" s="11"/>
    </row>
    <row r="676" spans="6:7" ht="15.75" customHeight="1">
      <c r="F676" s="11"/>
      <c r="G676" s="11"/>
    </row>
    <row r="677" spans="6:7" ht="15.75" customHeight="1">
      <c r="F677" s="11"/>
      <c r="G677" s="11"/>
    </row>
    <row r="678" spans="6:7" ht="15.75" customHeight="1">
      <c r="F678" s="11"/>
      <c r="G678" s="11"/>
    </row>
    <row r="679" spans="6:7" ht="15.75" customHeight="1">
      <c r="F679" s="11"/>
      <c r="G679" s="11"/>
    </row>
    <row r="680" spans="6:7" ht="15.75" customHeight="1">
      <c r="F680" s="11"/>
      <c r="G680" s="11"/>
    </row>
    <row r="681" spans="6:7" ht="15.75" customHeight="1">
      <c r="F681" s="11"/>
      <c r="G681" s="11"/>
    </row>
    <row r="682" spans="6:7" ht="15.75" customHeight="1">
      <c r="F682" s="11"/>
      <c r="G682" s="11"/>
    </row>
    <row r="683" spans="6:7" ht="15.75" customHeight="1">
      <c r="F683" s="11"/>
      <c r="G683" s="11"/>
    </row>
    <row r="684" spans="6:7" ht="15.75" customHeight="1">
      <c r="F684" s="11"/>
      <c r="G684" s="11"/>
    </row>
    <row r="685" spans="6:7" ht="15.75" customHeight="1">
      <c r="F685" s="11"/>
      <c r="G685" s="11"/>
    </row>
    <row r="686" spans="6:7" ht="15.75" customHeight="1">
      <c r="F686" s="11"/>
      <c r="G686" s="11"/>
    </row>
    <row r="687" spans="6:7" ht="15.75" customHeight="1">
      <c r="F687" s="11"/>
      <c r="G687" s="11"/>
    </row>
    <row r="688" spans="6:7" ht="15.75" customHeight="1">
      <c r="F688" s="11"/>
      <c r="G688" s="11"/>
    </row>
    <row r="689" spans="6:7" ht="15.75" customHeight="1">
      <c r="F689" s="11"/>
      <c r="G689" s="11"/>
    </row>
    <row r="690" spans="6:7" ht="15.75" customHeight="1">
      <c r="F690" s="11"/>
      <c r="G690" s="11"/>
    </row>
    <row r="691" spans="6:7" ht="15.75" customHeight="1">
      <c r="F691" s="11"/>
      <c r="G691" s="11"/>
    </row>
    <row r="692" spans="6:7" ht="15.75" customHeight="1">
      <c r="F692" s="11"/>
      <c r="G692" s="11"/>
    </row>
    <row r="693" spans="6:7" ht="15.75" customHeight="1">
      <c r="F693" s="11"/>
      <c r="G693" s="11"/>
    </row>
    <row r="694" spans="6:7" ht="15.75" customHeight="1">
      <c r="F694" s="11"/>
      <c r="G694" s="11"/>
    </row>
    <row r="695" spans="6:7" ht="15.75" customHeight="1">
      <c r="F695" s="11"/>
      <c r="G695" s="11"/>
    </row>
    <row r="696" spans="6:7" ht="15.75" customHeight="1">
      <c r="F696" s="11"/>
      <c r="G696" s="11"/>
    </row>
    <row r="697" spans="6:7" ht="15.75" customHeight="1">
      <c r="F697" s="11"/>
      <c r="G697" s="11"/>
    </row>
    <row r="698" spans="6:7" ht="15.75" customHeight="1">
      <c r="F698" s="11"/>
      <c r="G698" s="11"/>
    </row>
    <row r="699" spans="6:7" ht="15.75" customHeight="1">
      <c r="F699" s="11"/>
      <c r="G699" s="11"/>
    </row>
    <row r="700" spans="6:7" ht="15.75" customHeight="1">
      <c r="F700" s="11"/>
      <c r="G700" s="11"/>
    </row>
    <row r="701" spans="6:7" ht="15.75" customHeight="1">
      <c r="F701" s="11"/>
      <c r="G701" s="11"/>
    </row>
    <row r="702" spans="6:7" ht="15.75" customHeight="1">
      <c r="F702" s="11"/>
      <c r="G702" s="11"/>
    </row>
    <row r="703" spans="6:7" ht="15.75" customHeight="1">
      <c r="F703" s="11"/>
      <c r="G703" s="11"/>
    </row>
    <row r="704" spans="6:7" ht="15.75" customHeight="1">
      <c r="F704" s="11"/>
      <c r="G704" s="11"/>
    </row>
    <row r="705" spans="6:7" ht="15.75" customHeight="1">
      <c r="F705" s="11"/>
      <c r="G705" s="11"/>
    </row>
    <row r="706" spans="6:7" ht="15.75" customHeight="1">
      <c r="F706" s="11"/>
      <c r="G706" s="11"/>
    </row>
    <row r="707" spans="6:7" ht="15.75" customHeight="1">
      <c r="F707" s="11"/>
      <c r="G707" s="11"/>
    </row>
    <row r="708" spans="6:7" ht="15.75" customHeight="1">
      <c r="F708" s="11"/>
      <c r="G708" s="11"/>
    </row>
    <row r="709" spans="6:7" ht="15.75" customHeight="1">
      <c r="F709" s="11"/>
      <c r="G709" s="11"/>
    </row>
    <row r="710" spans="6:7" ht="15.75" customHeight="1">
      <c r="F710" s="11"/>
      <c r="G710" s="11"/>
    </row>
    <row r="711" spans="6:7" ht="15.75" customHeight="1">
      <c r="F711" s="11"/>
      <c r="G711" s="11"/>
    </row>
    <row r="712" spans="6:7" ht="15.75" customHeight="1">
      <c r="F712" s="11"/>
      <c r="G712" s="11"/>
    </row>
    <row r="713" spans="6:7" ht="15.75" customHeight="1">
      <c r="F713" s="11"/>
      <c r="G713" s="11"/>
    </row>
    <row r="714" spans="6:7" ht="15.75" customHeight="1">
      <c r="F714" s="11"/>
      <c r="G714" s="11"/>
    </row>
    <row r="715" spans="6:7" ht="15.75" customHeight="1">
      <c r="F715" s="11"/>
      <c r="G715" s="11"/>
    </row>
    <row r="716" spans="6:7" ht="15.75" customHeight="1">
      <c r="F716" s="11"/>
      <c r="G716" s="11"/>
    </row>
    <row r="717" spans="6:7" ht="15.75" customHeight="1">
      <c r="F717" s="11"/>
      <c r="G717" s="11"/>
    </row>
    <row r="718" spans="6:7" ht="15.75" customHeight="1">
      <c r="F718" s="11"/>
      <c r="G718" s="11"/>
    </row>
    <row r="719" spans="6:7" ht="15.75" customHeight="1">
      <c r="F719" s="11"/>
      <c r="G719" s="11"/>
    </row>
    <row r="720" spans="6:7" ht="15.75" customHeight="1">
      <c r="F720" s="11"/>
      <c r="G720" s="11"/>
    </row>
    <row r="721" spans="6:7" ht="15.75" customHeight="1">
      <c r="F721" s="11"/>
      <c r="G721" s="11"/>
    </row>
    <row r="722" spans="6:7" ht="15.75" customHeight="1">
      <c r="F722" s="11"/>
      <c r="G722" s="11"/>
    </row>
    <row r="723" spans="6:7" ht="15.75" customHeight="1">
      <c r="F723" s="11"/>
      <c r="G723" s="11"/>
    </row>
    <row r="724" spans="6:7" ht="15.75" customHeight="1">
      <c r="F724" s="11"/>
      <c r="G724" s="11"/>
    </row>
    <row r="725" spans="6:7" ht="15.75" customHeight="1">
      <c r="F725" s="11"/>
      <c r="G725" s="11"/>
    </row>
    <row r="726" spans="6:7" ht="15.75" customHeight="1">
      <c r="F726" s="11"/>
      <c r="G726" s="11"/>
    </row>
    <row r="727" spans="6:7" ht="15.75" customHeight="1">
      <c r="F727" s="11"/>
      <c r="G727" s="11"/>
    </row>
    <row r="728" spans="6:7" ht="15.75" customHeight="1">
      <c r="F728" s="11"/>
      <c r="G728" s="11"/>
    </row>
    <row r="729" spans="6:7" ht="15.75" customHeight="1">
      <c r="F729" s="11"/>
      <c r="G729" s="11"/>
    </row>
    <row r="730" spans="6:7" ht="15.75" customHeight="1">
      <c r="F730" s="11"/>
      <c r="G730" s="11"/>
    </row>
    <row r="731" spans="6:7" ht="15.75" customHeight="1">
      <c r="F731" s="11"/>
      <c r="G731" s="11"/>
    </row>
    <row r="732" spans="6:7" ht="15.75" customHeight="1">
      <c r="F732" s="11"/>
      <c r="G732" s="11"/>
    </row>
    <row r="733" spans="6:7" ht="15.75" customHeight="1">
      <c r="F733" s="11"/>
      <c r="G733" s="11"/>
    </row>
    <row r="734" spans="6:7" ht="15.75" customHeight="1">
      <c r="F734" s="11"/>
      <c r="G734" s="11"/>
    </row>
    <row r="735" spans="6:7" ht="15.75" customHeight="1">
      <c r="F735" s="11"/>
      <c r="G735" s="11"/>
    </row>
    <row r="736" spans="6:7" ht="15.75" customHeight="1">
      <c r="F736" s="11"/>
      <c r="G736" s="11"/>
    </row>
    <row r="737" spans="6:7" ht="15.75" customHeight="1">
      <c r="F737" s="11"/>
      <c r="G737" s="11"/>
    </row>
    <row r="738" spans="6:7" ht="15.75" customHeight="1">
      <c r="F738" s="11"/>
      <c r="G738" s="11"/>
    </row>
    <row r="739" spans="6:7" ht="15.75" customHeight="1">
      <c r="F739" s="11"/>
      <c r="G739" s="11"/>
    </row>
    <row r="740" spans="6:7" ht="15.75" customHeight="1">
      <c r="F740" s="11"/>
      <c r="G740" s="11"/>
    </row>
    <row r="741" spans="6:7" ht="15.75" customHeight="1">
      <c r="F741" s="11"/>
      <c r="G741" s="11"/>
    </row>
    <row r="742" spans="6:7" ht="15.75" customHeight="1">
      <c r="F742" s="11"/>
      <c r="G742" s="11"/>
    </row>
    <row r="743" spans="6:7" ht="15.75" customHeight="1">
      <c r="F743" s="11"/>
      <c r="G743" s="11"/>
    </row>
    <row r="744" spans="6:7" ht="15.75" customHeight="1">
      <c r="F744" s="11"/>
      <c r="G744" s="11"/>
    </row>
    <row r="745" spans="6:7" ht="15.75" customHeight="1">
      <c r="F745" s="11"/>
      <c r="G745" s="11"/>
    </row>
    <row r="746" spans="6:7" ht="15.75" customHeight="1">
      <c r="F746" s="11"/>
      <c r="G746" s="11"/>
    </row>
    <row r="747" spans="6:7" ht="15.75" customHeight="1">
      <c r="F747" s="11"/>
      <c r="G747" s="11"/>
    </row>
    <row r="748" spans="6:7" ht="15.75" customHeight="1">
      <c r="F748" s="11"/>
      <c r="G748" s="11"/>
    </row>
    <row r="749" spans="6:7" ht="15.75" customHeight="1">
      <c r="F749" s="11"/>
      <c r="G749" s="11"/>
    </row>
    <row r="750" spans="6:7" ht="15.75" customHeight="1">
      <c r="F750" s="11"/>
      <c r="G750" s="11"/>
    </row>
    <row r="751" spans="6:7" ht="15.75" customHeight="1">
      <c r="F751" s="11"/>
      <c r="G751" s="11"/>
    </row>
    <row r="752" spans="6:7" ht="15.75" customHeight="1">
      <c r="F752" s="11"/>
      <c r="G752" s="11"/>
    </row>
    <row r="753" spans="6:7" ht="15.75" customHeight="1">
      <c r="F753" s="11"/>
      <c r="G753" s="11"/>
    </row>
    <row r="754" spans="6:7" ht="15.75" customHeight="1">
      <c r="F754" s="11"/>
      <c r="G754" s="11"/>
    </row>
    <row r="755" spans="6:7" ht="15.75" customHeight="1">
      <c r="F755" s="11"/>
      <c r="G755" s="11"/>
    </row>
    <row r="756" spans="6:7" ht="15.75" customHeight="1">
      <c r="F756" s="11"/>
      <c r="G756" s="11"/>
    </row>
    <row r="757" spans="6:7" ht="15.75" customHeight="1">
      <c r="F757" s="11"/>
      <c r="G757" s="11"/>
    </row>
    <row r="758" spans="6:7" ht="15.75" customHeight="1">
      <c r="F758" s="11"/>
      <c r="G758" s="11"/>
    </row>
    <row r="759" spans="6:7" ht="15.75" customHeight="1">
      <c r="F759" s="11"/>
      <c r="G759" s="11"/>
    </row>
    <row r="760" spans="6:7" ht="15.75" customHeight="1">
      <c r="F760" s="11"/>
      <c r="G760" s="11"/>
    </row>
    <row r="761" spans="6:7" ht="15.75" customHeight="1">
      <c r="F761" s="11"/>
      <c r="G761" s="11"/>
    </row>
    <row r="762" spans="6:7" ht="15.75" customHeight="1">
      <c r="F762" s="11"/>
      <c r="G762" s="11"/>
    </row>
    <row r="763" spans="6:7" ht="15.75" customHeight="1">
      <c r="F763" s="11"/>
      <c r="G763" s="11"/>
    </row>
    <row r="764" spans="6:7" ht="15.75" customHeight="1">
      <c r="F764" s="11"/>
      <c r="G764" s="11"/>
    </row>
    <row r="765" spans="6:7" ht="15.75" customHeight="1">
      <c r="F765" s="11"/>
      <c r="G765" s="11"/>
    </row>
    <row r="766" spans="6:7" ht="15.75" customHeight="1">
      <c r="F766" s="11"/>
      <c r="G766" s="11"/>
    </row>
    <row r="767" spans="6:7" ht="15.75" customHeight="1">
      <c r="F767" s="11"/>
      <c r="G767" s="11"/>
    </row>
    <row r="768" spans="6:7" ht="15.75" customHeight="1">
      <c r="F768" s="11"/>
      <c r="G768" s="11"/>
    </row>
    <row r="769" spans="6:7" ht="15.75" customHeight="1">
      <c r="F769" s="11"/>
      <c r="G769" s="11"/>
    </row>
    <row r="770" spans="6:7" ht="15.75" customHeight="1">
      <c r="F770" s="11"/>
      <c r="G770" s="11"/>
    </row>
    <row r="771" spans="6:7" ht="15.75" customHeight="1">
      <c r="F771" s="11"/>
      <c r="G771" s="11"/>
    </row>
    <row r="772" spans="6:7" ht="15.75" customHeight="1">
      <c r="F772" s="11"/>
      <c r="G772" s="11"/>
    </row>
    <row r="773" spans="6:7" ht="15.75" customHeight="1">
      <c r="F773" s="11"/>
      <c r="G773" s="11"/>
    </row>
    <row r="774" spans="6:7" ht="15.75" customHeight="1">
      <c r="F774" s="11"/>
      <c r="G774" s="11"/>
    </row>
    <row r="775" spans="6:7" ht="15.75" customHeight="1">
      <c r="F775" s="11"/>
      <c r="G775" s="11"/>
    </row>
    <row r="776" spans="6:7" ht="15.75" customHeight="1">
      <c r="F776" s="11"/>
      <c r="G776" s="11"/>
    </row>
    <row r="777" spans="6:7" ht="15.75" customHeight="1">
      <c r="F777" s="11"/>
      <c r="G777" s="11"/>
    </row>
    <row r="778" spans="6:7" ht="15.75" customHeight="1">
      <c r="F778" s="11"/>
      <c r="G778" s="11"/>
    </row>
    <row r="779" spans="6:7" ht="15.75" customHeight="1">
      <c r="F779" s="11"/>
      <c r="G779" s="11"/>
    </row>
    <row r="780" spans="6:7" ht="15.75" customHeight="1">
      <c r="F780" s="11"/>
      <c r="G780" s="11"/>
    </row>
    <row r="781" spans="6:7" ht="15.75" customHeight="1">
      <c r="F781" s="11"/>
      <c r="G781" s="11"/>
    </row>
    <row r="782" spans="6:7" ht="15.75" customHeight="1">
      <c r="F782" s="11"/>
      <c r="G782" s="11"/>
    </row>
    <row r="783" spans="6:7" ht="15.75" customHeight="1">
      <c r="F783" s="11"/>
      <c r="G783" s="11"/>
    </row>
    <row r="784" spans="6:7" ht="15.75" customHeight="1">
      <c r="F784" s="11"/>
      <c r="G784" s="11"/>
    </row>
    <row r="785" spans="6:7" ht="15.75" customHeight="1">
      <c r="F785" s="11"/>
      <c r="G785" s="11"/>
    </row>
    <row r="786" spans="6:7" ht="15.75" customHeight="1">
      <c r="F786" s="11"/>
      <c r="G786" s="11"/>
    </row>
    <row r="787" spans="6:7" ht="15.75" customHeight="1">
      <c r="F787" s="11"/>
      <c r="G787" s="11"/>
    </row>
    <row r="788" spans="6:7" ht="15.75" customHeight="1">
      <c r="F788" s="11"/>
      <c r="G788" s="11"/>
    </row>
    <row r="789" spans="6:7" ht="15.75" customHeight="1">
      <c r="F789" s="11"/>
      <c r="G789" s="11"/>
    </row>
    <row r="790" spans="6:7" ht="15.75" customHeight="1">
      <c r="F790" s="11"/>
      <c r="G790" s="11"/>
    </row>
    <row r="791" spans="6:7" ht="15.75" customHeight="1">
      <c r="F791" s="11"/>
      <c r="G791" s="11"/>
    </row>
    <row r="792" spans="6:7" ht="15.75" customHeight="1">
      <c r="F792" s="11"/>
      <c r="G792" s="11"/>
    </row>
    <row r="793" spans="6:7" ht="15.75" customHeight="1">
      <c r="F793" s="11"/>
      <c r="G793" s="11"/>
    </row>
    <row r="794" spans="6:7" ht="15.75" customHeight="1">
      <c r="F794" s="11"/>
      <c r="G794" s="11"/>
    </row>
    <row r="795" spans="6:7" ht="15.75" customHeight="1">
      <c r="F795" s="11"/>
      <c r="G795" s="11"/>
    </row>
    <row r="796" spans="6:7" ht="15.75" customHeight="1">
      <c r="F796" s="11"/>
      <c r="G796" s="11"/>
    </row>
    <row r="797" spans="6:7" ht="15.75" customHeight="1">
      <c r="F797" s="11"/>
      <c r="G797" s="11"/>
    </row>
    <row r="798" spans="6:7" ht="15.75" customHeight="1">
      <c r="F798" s="11"/>
      <c r="G798" s="11"/>
    </row>
    <row r="799" spans="6:7" ht="15.75" customHeight="1">
      <c r="F799" s="11"/>
      <c r="G799" s="11"/>
    </row>
    <row r="800" spans="6:7" ht="15.75" customHeight="1">
      <c r="F800" s="11"/>
      <c r="G800" s="11"/>
    </row>
    <row r="801" spans="6:7" ht="15.75" customHeight="1">
      <c r="F801" s="11"/>
      <c r="G801" s="11"/>
    </row>
    <row r="802" spans="6:7" ht="15.75" customHeight="1">
      <c r="F802" s="11"/>
      <c r="G802" s="11"/>
    </row>
    <row r="803" spans="6:7" ht="15.75" customHeight="1">
      <c r="F803" s="11"/>
      <c r="G803" s="11"/>
    </row>
    <row r="804" spans="6:7" ht="15.75" customHeight="1">
      <c r="F804" s="11"/>
      <c r="G804" s="11"/>
    </row>
    <row r="805" spans="6:7" ht="15.75" customHeight="1">
      <c r="F805" s="11"/>
      <c r="G805" s="11"/>
    </row>
    <row r="806" spans="6:7" ht="15.75" customHeight="1">
      <c r="F806" s="11"/>
      <c r="G806" s="11"/>
    </row>
    <row r="807" spans="6:7" ht="15.75" customHeight="1">
      <c r="F807" s="11"/>
      <c r="G807" s="11"/>
    </row>
    <row r="808" spans="6:7" ht="15.75" customHeight="1">
      <c r="F808" s="11"/>
      <c r="G808" s="11"/>
    </row>
    <row r="809" spans="6:7" ht="15.75" customHeight="1">
      <c r="F809" s="11"/>
      <c r="G809" s="11"/>
    </row>
    <row r="810" spans="6:7" ht="15.75" customHeight="1">
      <c r="F810" s="11"/>
      <c r="G810" s="11"/>
    </row>
    <row r="811" spans="6:7" ht="15.75" customHeight="1">
      <c r="F811" s="11"/>
      <c r="G811" s="11"/>
    </row>
    <row r="812" spans="6:7" ht="15.75" customHeight="1">
      <c r="F812" s="11"/>
      <c r="G812" s="11"/>
    </row>
    <row r="813" spans="6:7" ht="15.75" customHeight="1">
      <c r="F813" s="11"/>
      <c r="G813" s="11"/>
    </row>
    <row r="814" spans="6:7" ht="15.75" customHeight="1">
      <c r="F814" s="11"/>
      <c r="G814" s="11"/>
    </row>
    <row r="815" spans="6:7" ht="15.75" customHeight="1">
      <c r="F815" s="11"/>
      <c r="G815" s="11"/>
    </row>
    <row r="816" spans="6:7" ht="15.75" customHeight="1">
      <c r="F816" s="11"/>
      <c r="G816" s="11"/>
    </row>
    <row r="817" spans="6:7" ht="15.75" customHeight="1">
      <c r="F817" s="11"/>
      <c r="G817" s="11"/>
    </row>
    <row r="818" spans="6:7" ht="15.75" customHeight="1">
      <c r="F818" s="11"/>
      <c r="G818" s="11"/>
    </row>
    <row r="819" spans="6:7" ht="15.75" customHeight="1">
      <c r="F819" s="11"/>
      <c r="G819" s="11"/>
    </row>
    <row r="820" spans="6:7" ht="15.75" customHeight="1">
      <c r="F820" s="11"/>
      <c r="G820" s="11"/>
    </row>
    <row r="821" spans="6:7" ht="15.75" customHeight="1">
      <c r="F821" s="11"/>
      <c r="G821" s="11"/>
    </row>
    <row r="822" spans="6:7" ht="15.75" customHeight="1">
      <c r="F822" s="11"/>
      <c r="G822" s="11"/>
    </row>
    <row r="823" spans="6:7" ht="15.75" customHeight="1">
      <c r="F823" s="11"/>
      <c r="G823" s="11"/>
    </row>
    <row r="824" spans="6:7" ht="15.75" customHeight="1">
      <c r="F824" s="11"/>
      <c r="G824" s="11"/>
    </row>
    <row r="825" spans="6:7" ht="15.75" customHeight="1">
      <c r="F825" s="11"/>
      <c r="G825" s="11"/>
    </row>
    <row r="826" spans="6:7" ht="15.75" customHeight="1">
      <c r="F826" s="11"/>
      <c r="G826" s="11"/>
    </row>
    <row r="827" spans="6:7" ht="15.75" customHeight="1">
      <c r="F827" s="11"/>
      <c r="G827" s="11"/>
    </row>
    <row r="828" spans="6:7" ht="15.75" customHeight="1">
      <c r="F828" s="11"/>
      <c r="G828" s="11"/>
    </row>
    <row r="829" spans="6:7" ht="15.75" customHeight="1">
      <c r="F829" s="11"/>
      <c r="G829" s="11"/>
    </row>
    <row r="830" spans="6:7" ht="15.75" customHeight="1">
      <c r="F830" s="11"/>
      <c r="G830" s="11"/>
    </row>
    <row r="831" spans="6:7" ht="15.75" customHeight="1">
      <c r="F831" s="11"/>
      <c r="G831" s="11"/>
    </row>
    <row r="832" spans="6:7" ht="15.75" customHeight="1">
      <c r="F832" s="11"/>
      <c r="G832" s="11"/>
    </row>
    <row r="833" spans="6:7" ht="15.75" customHeight="1">
      <c r="F833" s="11"/>
      <c r="G833" s="11"/>
    </row>
    <row r="834" spans="6:7" ht="15.75" customHeight="1">
      <c r="F834" s="11"/>
      <c r="G834" s="11"/>
    </row>
    <row r="835" spans="6:7" ht="15.75" customHeight="1">
      <c r="F835" s="11"/>
      <c r="G835" s="11"/>
    </row>
    <row r="836" spans="6:7" ht="15.75" customHeight="1">
      <c r="F836" s="11"/>
      <c r="G836" s="11"/>
    </row>
    <row r="837" spans="6:7" ht="15.75" customHeight="1">
      <c r="F837" s="11"/>
      <c r="G837" s="11"/>
    </row>
    <row r="838" spans="6:7" ht="15.75" customHeight="1">
      <c r="F838" s="11"/>
      <c r="G838" s="11"/>
    </row>
    <row r="839" spans="6:7" ht="15.75" customHeight="1">
      <c r="F839" s="11"/>
      <c r="G839" s="11"/>
    </row>
    <row r="840" spans="6:7" ht="15.75" customHeight="1">
      <c r="F840" s="11"/>
      <c r="G840" s="11"/>
    </row>
    <row r="841" spans="6:7" ht="15.75" customHeight="1">
      <c r="F841" s="11"/>
      <c r="G841" s="11"/>
    </row>
    <row r="842" spans="6:7" ht="15.75" customHeight="1">
      <c r="F842" s="11"/>
      <c r="G842" s="11"/>
    </row>
    <row r="843" spans="6:7" ht="15.75" customHeight="1">
      <c r="F843" s="11"/>
      <c r="G843" s="11"/>
    </row>
    <row r="844" spans="6:7" ht="15.75" customHeight="1">
      <c r="F844" s="11"/>
      <c r="G844" s="11"/>
    </row>
    <row r="845" spans="6:7" ht="15.75" customHeight="1">
      <c r="F845" s="11"/>
      <c r="G845" s="11"/>
    </row>
    <row r="846" spans="6:7" ht="15.75" customHeight="1">
      <c r="F846" s="11"/>
      <c r="G846" s="11"/>
    </row>
    <row r="847" spans="6:7" ht="15.75" customHeight="1">
      <c r="F847" s="11"/>
      <c r="G847" s="11"/>
    </row>
    <row r="848" spans="6:7" ht="15.75" customHeight="1">
      <c r="F848" s="11"/>
      <c r="G848" s="11"/>
    </row>
    <row r="849" spans="6:7" ht="15.75" customHeight="1">
      <c r="F849" s="11"/>
      <c r="G849" s="11"/>
    </row>
    <row r="850" spans="6:7" ht="15.75" customHeight="1">
      <c r="F850" s="11"/>
      <c r="G850" s="11"/>
    </row>
    <row r="851" spans="6:7" ht="15.75" customHeight="1">
      <c r="F851" s="11"/>
      <c r="G851" s="11"/>
    </row>
    <row r="852" spans="6:7" ht="15.75" customHeight="1">
      <c r="F852" s="11"/>
      <c r="G852" s="11"/>
    </row>
    <row r="853" spans="6:7" ht="15.75" customHeight="1">
      <c r="F853" s="11"/>
      <c r="G853" s="11"/>
    </row>
    <row r="854" spans="6:7" ht="15.75" customHeight="1">
      <c r="F854" s="11"/>
      <c r="G854" s="11"/>
    </row>
    <row r="855" spans="6:7" ht="15.75" customHeight="1">
      <c r="F855" s="11"/>
      <c r="G855" s="11"/>
    </row>
    <row r="856" spans="6:7" ht="15.75" customHeight="1">
      <c r="F856" s="11"/>
      <c r="G856" s="11"/>
    </row>
    <row r="857" spans="6:7" ht="15.75" customHeight="1">
      <c r="F857" s="11"/>
      <c r="G857" s="11"/>
    </row>
    <row r="858" spans="6:7" ht="15.75" customHeight="1">
      <c r="F858" s="11"/>
      <c r="G858" s="11"/>
    </row>
    <row r="859" spans="6:7" ht="15.75" customHeight="1">
      <c r="F859" s="11"/>
      <c r="G859" s="11"/>
    </row>
    <row r="860" spans="6:7" ht="15.75" customHeight="1">
      <c r="F860" s="11"/>
      <c r="G860" s="11"/>
    </row>
    <row r="861" spans="6:7" ht="15.75" customHeight="1">
      <c r="F861" s="11"/>
      <c r="G861" s="11"/>
    </row>
    <row r="862" spans="6:7" ht="15.75" customHeight="1">
      <c r="F862" s="11"/>
      <c r="G862" s="11"/>
    </row>
    <row r="863" spans="6:7" ht="15.75" customHeight="1">
      <c r="F863" s="11"/>
      <c r="G863" s="11"/>
    </row>
    <row r="864" spans="6:7" ht="15.75" customHeight="1">
      <c r="F864" s="11"/>
      <c r="G864" s="11"/>
    </row>
    <row r="865" spans="6:7" ht="15.75" customHeight="1">
      <c r="F865" s="11"/>
      <c r="G865" s="11"/>
    </row>
    <row r="866" spans="6:7" ht="15.75" customHeight="1">
      <c r="F866" s="11"/>
      <c r="G866" s="11"/>
    </row>
    <row r="867" spans="6:7" ht="15.75" customHeight="1">
      <c r="F867" s="11"/>
      <c r="G867" s="11"/>
    </row>
    <row r="868" spans="6:7" ht="15.75" customHeight="1">
      <c r="F868" s="11"/>
      <c r="G868" s="11"/>
    </row>
    <row r="869" spans="6:7" ht="15.75" customHeight="1">
      <c r="F869" s="11"/>
      <c r="G869" s="11"/>
    </row>
    <row r="870" spans="6:7" ht="15.75" customHeight="1">
      <c r="F870" s="11"/>
      <c r="G870" s="11"/>
    </row>
    <row r="871" spans="6:7" ht="15.75" customHeight="1">
      <c r="F871" s="11"/>
      <c r="G871" s="11"/>
    </row>
    <row r="872" spans="6:7" ht="15.75" customHeight="1">
      <c r="F872" s="11"/>
      <c r="G872" s="11"/>
    </row>
    <row r="873" spans="6:7" ht="15.75" customHeight="1">
      <c r="F873" s="11"/>
      <c r="G873" s="11"/>
    </row>
    <row r="874" spans="6:7" ht="15.75" customHeight="1">
      <c r="F874" s="11"/>
      <c r="G874" s="11"/>
    </row>
    <row r="875" spans="6:7" ht="15.75" customHeight="1">
      <c r="F875" s="11"/>
      <c r="G875" s="11"/>
    </row>
    <row r="876" spans="6:7" ht="15.75" customHeight="1">
      <c r="F876" s="11"/>
      <c r="G876" s="11"/>
    </row>
    <row r="877" spans="6:7" ht="15.75" customHeight="1">
      <c r="F877" s="11"/>
      <c r="G877" s="11"/>
    </row>
    <row r="878" spans="6:7" ht="15.75" customHeight="1">
      <c r="F878" s="11"/>
      <c r="G878" s="11"/>
    </row>
    <row r="879" spans="6:7" ht="15.75" customHeight="1">
      <c r="F879" s="11"/>
      <c r="G879" s="11"/>
    </row>
    <row r="880" spans="6:7" ht="15.75" customHeight="1">
      <c r="F880" s="11"/>
      <c r="G880" s="11"/>
    </row>
    <row r="881" spans="6:7" ht="15.75" customHeight="1">
      <c r="F881" s="11"/>
      <c r="G881" s="11"/>
    </row>
    <row r="882" spans="6:7" ht="15.75" customHeight="1">
      <c r="F882" s="11"/>
      <c r="G882" s="11"/>
    </row>
    <row r="883" spans="6:7" ht="15.75" customHeight="1">
      <c r="F883" s="11"/>
      <c r="G883" s="11"/>
    </row>
    <row r="884" spans="6:7" ht="15.75" customHeight="1">
      <c r="F884" s="11"/>
      <c r="G884" s="11"/>
    </row>
    <row r="885" spans="6:7" ht="15.75" customHeight="1">
      <c r="F885" s="11"/>
      <c r="G885" s="11"/>
    </row>
    <row r="886" spans="6:7" ht="15.75" customHeight="1">
      <c r="F886" s="11"/>
      <c r="G886" s="11"/>
    </row>
    <row r="887" spans="6:7" ht="15.75" customHeight="1">
      <c r="F887" s="11"/>
      <c r="G887" s="11"/>
    </row>
    <row r="888" spans="6:7" ht="15.75" customHeight="1">
      <c r="F888" s="11"/>
      <c r="G888" s="11"/>
    </row>
    <row r="889" spans="6:7" ht="15.75" customHeight="1">
      <c r="F889" s="11"/>
      <c r="G889" s="11"/>
    </row>
    <row r="890" spans="6:7" ht="15.75" customHeight="1">
      <c r="F890" s="11"/>
      <c r="G890" s="11"/>
    </row>
    <row r="891" spans="6:7" ht="15.75" customHeight="1">
      <c r="F891" s="11"/>
      <c r="G891" s="11"/>
    </row>
    <row r="892" spans="6:7" ht="15.75" customHeight="1">
      <c r="F892" s="11"/>
      <c r="G892" s="11"/>
    </row>
    <row r="893" spans="6:7" ht="15.75" customHeight="1">
      <c r="F893" s="11"/>
      <c r="G893" s="11"/>
    </row>
    <row r="894" spans="6:7" ht="15.75" customHeight="1">
      <c r="F894" s="11"/>
      <c r="G894" s="11"/>
    </row>
    <row r="895" spans="6:7" ht="15.75" customHeight="1">
      <c r="F895" s="11"/>
      <c r="G895" s="11"/>
    </row>
    <row r="896" spans="6:7" ht="15.75" customHeight="1">
      <c r="F896" s="11"/>
      <c r="G896" s="11"/>
    </row>
    <row r="897" spans="6:7" ht="15.75" customHeight="1">
      <c r="F897" s="11"/>
      <c r="G897" s="11"/>
    </row>
    <row r="898" spans="6:7" ht="15.75" customHeight="1">
      <c r="F898" s="11"/>
      <c r="G898" s="11"/>
    </row>
    <row r="899" spans="6:7" ht="15.75" customHeight="1">
      <c r="F899" s="11"/>
      <c r="G899" s="11"/>
    </row>
    <row r="900" spans="6:7" ht="15.75" customHeight="1">
      <c r="F900" s="11"/>
      <c r="G900" s="11"/>
    </row>
    <row r="901" spans="6:7" ht="15.75" customHeight="1">
      <c r="F901" s="11"/>
      <c r="G901" s="11"/>
    </row>
    <row r="902" spans="6:7" ht="15.75" customHeight="1">
      <c r="F902" s="11"/>
      <c r="G902" s="11"/>
    </row>
    <row r="903" spans="6:7" ht="15.75" customHeight="1">
      <c r="F903" s="11"/>
      <c r="G903" s="11"/>
    </row>
    <row r="904" spans="6:7" ht="15.75" customHeight="1">
      <c r="F904" s="11"/>
      <c r="G904" s="11"/>
    </row>
    <row r="905" spans="6:7" ht="15.75" customHeight="1">
      <c r="F905" s="11"/>
      <c r="G905" s="11"/>
    </row>
    <row r="906" spans="6:7" ht="15.75" customHeight="1">
      <c r="F906" s="11"/>
      <c r="G906" s="11"/>
    </row>
    <row r="907" spans="6:7" ht="15.75" customHeight="1">
      <c r="F907" s="11"/>
      <c r="G907" s="11"/>
    </row>
    <row r="908" spans="6:7" ht="15.75" customHeight="1">
      <c r="F908" s="11"/>
      <c r="G908" s="11"/>
    </row>
    <row r="909" spans="6:7" ht="15.75" customHeight="1">
      <c r="F909" s="11"/>
      <c r="G909" s="11"/>
    </row>
    <row r="910" spans="6:7" ht="15.75" customHeight="1">
      <c r="F910" s="11"/>
      <c r="G910" s="11"/>
    </row>
    <row r="911" spans="6:7" ht="15.75" customHeight="1">
      <c r="F911" s="11"/>
      <c r="G911" s="11"/>
    </row>
    <row r="912" spans="6:7" ht="15.75" customHeight="1">
      <c r="F912" s="11"/>
      <c r="G912" s="11"/>
    </row>
    <row r="913" spans="6:7" ht="15.75" customHeight="1">
      <c r="F913" s="11"/>
      <c r="G913" s="11"/>
    </row>
    <row r="914" spans="6:7" ht="15.75" customHeight="1">
      <c r="F914" s="11"/>
      <c r="G914" s="11"/>
    </row>
    <row r="915" spans="6:7" ht="15.75" customHeight="1">
      <c r="F915" s="11"/>
      <c r="G915" s="11"/>
    </row>
    <row r="916" spans="6:7" ht="15.75" customHeight="1">
      <c r="F916" s="11"/>
      <c r="G916" s="11"/>
    </row>
    <row r="917" spans="6:7" ht="15" customHeight="1">
      <c r="F917" s="11"/>
      <c r="G917" s="11"/>
    </row>
    <row r="918" spans="6:7" ht="15" customHeight="1">
      <c r="F918" s="11"/>
      <c r="G918" s="11"/>
    </row>
    <row r="919" spans="6:7" ht="15" customHeight="1">
      <c r="F919" s="11"/>
      <c r="G919" s="11"/>
    </row>
  </sheetData>
  <mergeCells count="29">
    <mergeCell ref="C28:E28"/>
    <mergeCell ref="B29:H29"/>
    <mergeCell ref="B33:H33"/>
    <mergeCell ref="C10:E10"/>
    <mergeCell ref="B22:I22"/>
    <mergeCell ref="C23:E23"/>
    <mergeCell ref="C24:E24"/>
    <mergeCell ref="C25:E25"/>
    <mergeCell ref="C26:E26"/>
    <mergeCell ref="C27:E27"/>
    <mergeCell ref="C13:E13"/>
    <mergeCell ref="C14:E14"/>
    <mergeCell ref="C15:E15"/>
    <mergeCell ref="C16:E16"/>
    <mergeCell ref="B17:H17"/>
    <mergeCell ref="H21:J21"/>
    <mergeCell ref="H6:J6"/>
    <mergeCell ref="B7:I7"/>
    <mergeCell ref="C8:E8"/>
    <mergeCell ref="C9:E9"/>
    <mergeCell ref="C11:E11"/>
    <mergeCell ref="C12:E12"/>
    <mergeCell ref="B2:D3"/>
    <mergeCell ref="E2:G2"/>
    <mergeCell ref="E3:G3"/>
    <mergeCell ref="B4:B5"/>
    <mergeCell ref="C4:E5"/>
    <mergeCell ref="F4:F5"/>
    <mergeCell ref="G4:G5"/>
  </mergeCells>
  <pageMargins left="0.7" right="0.7" top="0.75" bottom="0.75" header="0" footer="0"/>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F548F-0DB3-40B2-B569-9E1FA92A6F12}">
  <dimension ref="D3:R49"/>
  <sheetViews>
    <sheetView zoomScale="85" zoomScaleNormal="85" workbookViewId="0">
      <selection activeCell="J10" sqref="J10"/>
    </sheetView>
  </sheetViews>
  <sheetFormatPr baseColWidth="10" defaultColWidth="9.140625" defaultRowHeight="15"/>
  <cols>
    <col min="1" max="3" width="9.140625" style="327"/>
    <col min="4" max="4" width="25.5703125" style="327" customWidth="1"/>
    <col min="5" max="5" width="26.85546875" style="327" customWidth="1"/>
    <col min="6" max="6" width="14" style="327" customWidth="1"/>
    <col min="7" max="7" width="16.140625" style="327" customWidth="1"/>
    <col min="8" max="8" width="15" style="327" customWidth="1"/>
    <col min="9" max="9" width="16.5703125" style="327" customWidth="1"/>
    <col min="10" max="10" width="14.140625" style="327" customWidth="1"/>
    <col min="11" max="11" width="13.85546875" style="327" customWidth="1"/>
    <col min="12" max="12" width="20.42578125" style="327" customWidth="1"/>
    <col min="13" max="13" width="14.28515625" style="327" bestFit="1" customWidth="1"/>
    <col min="14" max="14" width="21.42578125" style="327" customWidth="1"/>
    <col min="15" max="15" width="17.85546875" style="327" bestFit="1" customWidth="1"/>
    <col min="16" max="16" width="10.140625" style="327" bestFit="1" customWidth="1"/>
    <col min="17" max="17" width="11.140625" style="327" customWidth="1"/>
    <col min="18" max="18" width="11.28515625" style="327" bestFit="1" customWidth="1"/>
    <col min="19" max="16384" width="9.140625" style="327"/>
  </cols>
  <sheetData>
    <row r="3" spans="4:18" ht="15.75" thickBot="1"/>
    <row r="4" spans="4:18" ht="51" customHeight="1" thickBot="1">
      <c r="D4" s="767" t="s">
        <v>368</v>
      </c>
      <c r="E4" s="768"/>
      <c r="F4" s="768"/>
      <c r="G4" s="768"/>
      <c r="H4" s="768"/>
      <c r="I4" s="768"/>
      <c r="J4" s="768"/>
      <c r="K4" s="768"/>
      <c r="L4" s="769"/>
      <c r="M4" s="328"/>
      <c r="N4" s="328"/>
    </row>
    <row r="5" spans="4:18" ht="51" customHeight="1" thickBot="1">
      <c r="D5" s="767" t="s">
        <v>369</v>
      </c>
      <c r="E5" s="768"/>
      <c r="F5" s="768"/>
      <c r="G5" s="768"/>
      <c r="H5" s="768"/>
      <c r="I5" s="768"/>
      <c r="J5" s="768"/>
      <c r="K5" s="768"/>
      <c r="L5" s="769"/>
      <c r="M5" s="328"/>
      <c r="N5" s="328"/>
    </row>
    <row r="6" spans="4:18" ht="16.5" thickBot="1">
      <c r="D6" s="758" t="s">
        <v>370</v>
      </c>
      <c r="E6" s="759"/>
      <c r="F6" s="759"/>
      <c r="G6" s="759"/>
      <c r="H6" s="759"/>
      <c r="I6" s="759"/>
      <c r="J6" s="759"/>
      <c r="K6" s="759"/>
      <c r="L6" s="760"/>
      <c r="M6" s="328"/>
      <c r="N6" s="328"/>
    </row>
    <row r="7" spans="4:18" ht="26.25" thickBot="1">
      <c r="D7" s="329" t="s">
        <v>371</v>
      </c>
      <c r="E7" s="330" t="s">
        <v>372</v>
      </c>
      <c r="F7" s="330" t="s">
        <v>67</v>
      </c>
      <c r="G7" s="330" t="s">
        <v>373</v>
      </c>
      <c r="H7" s="330" t="s">
        <v>66</v>
      </c>
      <c r="I7" s="330" t="s">
        <v>67</v>
      </c>
      <c r="J7" s="330" t="s">
        <v>60</v>
      </c>
      <c r="K7" s="331" t="s">
        <v>374</v>
      </c>
      <c r="L7" s="332" t="s">
        <v>68</v>
      </c>
      <c r="M7" s="770" t="s">
        <v>375</v>
      </c>
      <c r="N7" s="771"/>
      <c r="O7" s="333" t="s">
        <v>376</v>
      </c>
      <c r="P7" s="334" t="s">
        <v>377</v>
      </c>
      <c r="Q7" s="334" t="s">
        <v>378</v>
      </c>
      <c r="R7" s="334" t="s">
        <v>59</v>
      </c>
    </row>
    <row r="8" spans="4:18">
      <c r="D8" s="772" t="s">
        <v>379</v>
      </c>
      <c r="E8" s="773"/>
      <c r="F8" s="773"/>
      <c r="G8" s="773"/>
      <c r="H8" s="773"/>
      <c r="I8" s="773"/>
      <c r="J8" s="335"/>
      <c r="K8" s="335"/>
      <c r="L8" s="335"/>
      <c r="M8" s="336" t="s">
        <v>380</v>
      </c>
      <c r="N8" s="336" t="s">
        <v>381</v>
      </c>
      <c r="O8" s="337">
        <v>0.125</v>
      </c>
      <c r="P8" s="337">
        <v>4.3499999999999997E-2</v>
      </c>
      <c r="Q8" s="338">
        <v>0.16</v>
      </c>
      <c r="R8" s="337">
        <f>+Q8+P8+O8</f>
        <v>0.32850000000000001</v>
      </c>
    </row>
    <row r="9" spans="4:18" ht="31.5" hidden="1" customHeight="1">
      <c r="D9" s="460" t="s">
        <v>382</v>
      </c>
      <c r="E9" s="460" t="s">
        <v>383</v>
      </c>
      <c r="F9" s="460">
        <v>1</v>
      </c>
      <c r="G9" s="343">
        <v>0</v>
      </c>
      <c r="H9" s="460" t="s">
        <v>384</v>
      </c>
      <c r="I9" s="344">
        <v>1</v>
      </c>
      <c r="J9" s="345">
        <v>0</v>
      </c>
      <c r="K9" s="766">
        <v>1</v>
      </c>
      <c r="L9" s="454">
        <f>+(J9*I9*G9*F9)*K9</f>
        <v>0</v>
      </c>
      <c r="M9" s="339">
        <f>+L9*40%</f>
        <v>0</v>
      </c>
      <c r="N9" s="340">
        <v>1000000</v>
      </c>
      <c r="O9" s="341">
        <f>+O8*$N$9</f>
        <v>125000</v>
      </c>
      <c r="P9" s="341">
        <f t="shared" ref="P9:Q9" si="0">+P8*$N$9</f>
        <v>43500</v>
      </c>
      <c r="Q9" s="341">
        <f t="shared" si="0"/>
        <v>160000</v>
      </c>
      <c r="R9" s="341">
        <f>+O9+P9+Q9</f>
        <v>328500</v>
      </c>
    </row>
    <row r="10" spans="4:18" ht="44.25" customHeight="1">
      <c r="D10" s="460" t="s">
        <v>385</v>
      </c>
      <c r="E10" s="460" t="s">
        <v>386</v>
      </c>
      <c r="F10" s="460">
        <v>1</v>
      </c>
      <c r="G10" s="343">
        <v>1</v>
      </c>
      <c r="H10" s="460" t="s">
        <v>384</v>
      </c>
      <c r="I10" s="344">
        <v>1</v>
      </c>
      <c r="J10" s="345">
        <v>1916353</v>
      </c>
      <c r="K10" s="766"/>
      <c r="L10" s="454">
        <f>+(J10*I10*G10*F10)*K9</f>
        <v>1916353</v>
      </c>
      <c r="M10" s="339">
        <f>+L10*40%</f>
        <v>766541.20000000007</v>
      </c>
      <c r="N10" s="340">
        <f>+N9</f>
        <v>1000000</v>
      </c>
      <c r="O10" s="341">
        <f>+O8*$N$10</f>
        <v>125000</v>
      </c>
      <c r="P10" s="341">
        <f t="shared" ref="P10:Q10" si="1">+P8*$N$10</f>
        <v>43500</v>
      </c>
      <c r="Q10" s="341">
        <f t="shared" si="1"/>
        <v>160000</v>
      </c>
      <c r="R10" s="341">
        <f>+O10+P10+Q10</f>
        <v>328500</v>
      </c>
    </row>
    <row r="11" spans="4:18" ht="49.5" customHeight="1">
      <c r="D11" s="460" t="s">
        <v>387</v>
      </c>
      <c r="E11" s="460" t="s">
        <v>388</v>
      </c>
      <c r="F11" s="460">
        <v>1</v>
      </c>
      <c r="G11" s="343" t="s">
        <v>389</v>
      </c>
      <c r="H11" s="460" t="s">
        <v>353</v>
      </c>
      <c r="I11" s="344">
        <v>1</v>
      </c>
      <c r="J11" s="455">
        <f>+R10</f>
        <v>328500</v>
      </c>
      <c r="K11" s="456">
        <f>+J11/(L9+L10)</f>
        <v>0.17141935749833145</v>
      </c>
      <c r="L11" s="455">
        <f>+J11</f>
        <v>328500</v>
      </c>
      <c r="M11" s="748" t="s">
        <v>390</v>
      </c>
      <c r="N11" s="749"/>
      <c r="O11" s="749"/>
      <c r="P11" s="749"/>
      <c r="Q11" s="749"/>
      <c r="R11" s="347">
        <f>+R10+R9</f>
        <v>657000</v>
      </c>
    </row>
    <row r="12" spans="4:18" ht="16.5" thickBot="1">
      <c r="D12" s="750"/>
      <c r="E12" s="751"/>
      <c r="F12" s="751"/>
      <c r="G12" s="751"/>
      <c r="H12" s="751"/>
      <c r="I12" s="751"/>
      <c r="J12" s="752"/>
      <c r="K12" s="753">
        <f>+L9+L10+L11</f>
        <v>2244853</v>
      </c>
      <c r="L12" s="754"/>
      <c r="M12" s="749" t="s">
        <v>391</v>
      </c>
      <c r="N12" s="749"/>
      <c r="O12" s="749"/>
      <c r="P12" s="749"/>
      <c r="Q12" s="749"/>
      <c r="R12" s="348">
        <f>+R11/(L9+L10)</f>
        <v>0.34283871499666291</v>
      </c>
    </row>
    <row r="13" spans="4:18" ht="15.75" thickBot="1">
      <c r="D13" s="755"/>
      <c r="E13" s="756"/>
      <c r="F13" s="756"/>
      <c r="G13" s="756"/>
      <c r="H13" s="756"/>
      <c r="I13" s="756"/>
      <c r="J13" s="756"/>
      <c r="K13" s="756"/>
      <c r="L13" s="757"/>
      <c r="M13" s="328"/>
      <c r="N13" s="328"/>
    </row>
    <row r="14" spans="4:18" ht="16.5" thickBot="1">
      <c r="D14" s="758" t="s">
        <v>392</v>
      </c>
      <c r="E14" s="759"/>
      <c r="F14" s="759"/>
      <c r="G14" s="759"/>
      <c r="H14" s="759"/>
      <c r="I14" s="759"/>
      <c r="J14" s="759"/>
      <c r="K14" s="759"/>
      <c r="L14" s="760"/>
    </row>
    <row r="15" spans="4:18" ht="24.75" customHeight="1" thickBot="1">
      <c r="D15" s="733" t="s">
        <v>393</v>
      </c>
      <c r="E15" s="734"/>
      <c r="F15" s="734"/>
      <c r="G15" s="735"/>
      <c r="H15" s="349" t="s">
        <v>394</v>
      </c>
      <c r="I15" s="349" t="s">
        <v>67</v>
      </c>
      <c r="J15" s="349" t="s">
        <v>395</v>
      </c>
      <c r="K15" s="349" t="s">
        <v>396</v>
      </c>
      <c r="L15" s="349" t="s">
        <v>68</v>
      </c>
    </row>
    <row r="16" spans="4:18" ht="41.25" customHeight="1">
      <c r="D16" s="736" t="s">
        <v>397</v>
      </c>
      <c r="E16" s="737"/>
      <c r="F16" s="737"/>
      <c r="G16" s="737"/>
      <c r="H16" s="459" t="s">
        <v>398</v>
      </c>
      <c r="I16" s="351">
        <v>1</v>
      </c>
      <c r="J16" s="459">
        <f>+I9</f>
        <v>1</v>
      </c>
      <c r="K16" s="465">
        <v>100000</v>
      </c>
      <c r="L16" s="353">
        <f t="shared" ref="L16" si="2">+K16*J16*I16</f>
        <v>100000</v>
      </c>
    </row>
    <row r="17" spans="4:13" ht="15.75" customHeight="1" thickBot="1">
      <c r="D17" s="761" t="s">
        <v>399</v>
      </c>
      <c r="E17" s="762"/>
      <c r="F17" s="763"/>
      <c r="G17" s="763"/>
      <c r="H17" s="763"/>
      <c r="I17" s="763"/>
      <c r="J17" s="763"/>
      <c r="K17" s="764">
        <f>+L16</f>
        <v>100000</v>
      </c>
      <c r="L17" s="765"/>
    </row>
    <row r="18" spans="4:13" ht="15.75" customHeight="1" thickBot="1">
      <c r="D18" s="710"/>
      <c r="E18" s="711"/>
      <c r="F18" s="711"/>
      <c r="G18" s="711"/>
      <c r="H18" s="711"/>
      <c r="I18" s="711"/>
      <c r="J18" s="711"/>
      <c r="K18" s="711"/>
      <c r="L18" s="712"/>
    </row>
    <row r="19" spans="4:13" ht="16.5" thickBot="1">
      <c r="D19" s="713" t="s">
        <v>400</v>
      </c>
      <c r="E19" s="714"/>
      <c r="F19" s="714"/>
      <c r="G19" s="714"/>
      <c r="H19" s="714"/>
      <c r="I19" s="714"/>
      <c r="J19" s="714"/>
      <c r="K19" s="714"/>
      <c r="L19" s="715"/>
    </row>
    <row r="20" spans="4:13" ht="29.25" customHeight="1" thickBot="1">
      <c r="D20" s="733" t="s">
        <v>393</v>
      </c>
      <c r="E20" s="734"/>
      <c r="F20" s="734"/>
      <c r="G20" s="735"/>
      <c r="H20" s="354" t="s">
        <v>394</v>
      </c>
      <c r="I20" s="458" t="s">
        <v>67</v>
      </c>
      <c r="J20" s="733" t="s">
        <v>401</v>
      </c>
      <c r="K20" s="735"/>
      <c r="L20" s="458" t="s">
        <v>68</v>
      </c>
    </row>
    <row r="21" spans="4:13" ht="30.75" customHeight="1">
      <c r="D21" s="736" t="s">
        <v>402</v>
      </c>
      <c r="E21" s="737"/>
      <c r="F21" s="737"/>
      <c r="G21" s="737"/>
      <c r="H21" s="459" t="s">
        <v>16</v>
      </c>
      <c r="I21" s="356">
        <v>0.01</v>
      </c>
      <c r="J21" s="738">
        <f>+RESUMEN!F23</f>
        <v>40409234.038516298</v>
      </c>
      <c r="K21" s="739"/>
      <c r="L21" s="353">
        <f>+J21*I21</f>
        <v>404092.34038516297</v>
      </c>
    </row>
    <row r="22" spans="4:13" ht="30.75" customHeight="1">
      <c r="D22" s="744" t="s">
        <v>403</v>
      </c>
      <c r="E22" s="745"/>
      <c r="F22" s="745"/>
      <c r="G22" s="745"/>
      <c r="H22" s="460" t="s">
        <v>16</v>
      </c>
      <c r="I22" s="357">
        <v>0.05</v>
      </c>
      <c r="J22" s="740"/>
      <c r="K22" s="741"/>
      <c r="L22" s="358">
        <f>+J21*I22</f>
        <v>2020461.7019258151</v>
      </c>
    </row>
    <row r="23" spans="4:13" ht="30.75" customHeight="1" thickBot="1">
      <c r="D23" s="746" t="s">
        <v>404</v>
      </c>
      <c r="E23" s="747"/>
      <c r="F23" s="747"/>
      <c r="G23" s="747"/>
      <c r="H23" s="461" t="s">
        <v>16</v>
      </c>
      <c r="I23" s="359">
        <v>1E-4</v>
      </c>
      <c r="J23" s="742"/>
      <c r="K23" s="743"/>
      <c r="L23" s="360">
        <f>+J21*I23</f>
        <v>4040.9234038516302</v>
      </c>
    </row>
    <row r="24" spans="4:13" ht="16.5" thickBot="1">
      <c r="D24" s="705" t="s">
        <v>405</v>
      </c>
      <c r="E24" s="706"/>
      <c r="F24" s="707"/>
      <c r="G24" s="707"/>
      <c r="H24" s="707"/>
      <c r="I24" s="707"/>
      <c r="J24" s="707"/>
      <c r="K24" s="708">
        <f>+L23+L22+L21</f>
        <v>2428594.96571483</v>
      </c>
      <c r="L24" s="709"/>
      <c r="M24" s="361"/>
    </row>
    <row r="25" spans="4:13" ht="15.75" thickBot="1">
      <c r="D25" s="710"/>
      <c r="E25" s="711"/>
      <c r="F25" s="711"/>
      <c r="G25" s="711"/>
      <c r="H25" s="711"/>
      <c r="I25" s="711"/>
      <c r="J25" s="711"/>
      <c r="K25" s="711"/>
      <c r="L25" s="712"/>
    </row>
    <row r="26" spans="4:13" ht="16.5" thickBot="1">
      <c r="D26" s="713" t="s">
        <v>406</v>
      </c>
      <c r="E26" s="714"/>
      <c r="F26" s="714"/>
      <c r="G26" s="714"/>
      <c r="H26" s="714"/>
      <c r="I26" s="714"/>
      <c r="J26" s="714"/>
      <c r="K26" s="714"/>
      <c r="L26" s="715"/>
    </row>
    <row r="27" spans="4:13" ht="15.75" customHeight="1">
      <c r="D27" s="716" t="s">
        <v>393</v>
      </c>
      <c r="E27" s="717"/>
      <c r="F27" s="717"/>
      <c r="G27" s="717"/>
      <c r="H27" s="463" t="s">
        <v>394</v>
      </c>
      <c r="I27" s="463" t="s">
        <v>67</v>
      </c>
      <c r="J27" s="463" t="s">
        <v>395</v>
      </c>
      <c r="K27" s="463" t="s">
        <v>396</v>
      </c>
      <c r="L27" s="363" t="s">
        <v>68</v>
      </c>
    </row>
    <row r="28" spans="4:13">
      <c r="D28" s="701" t="s">
        <v>3</v>
      </c>
      <c r="E28" s="702"/>
      <c r="F28" s="702"/>
      <c r="G28" s="702"/>
      <c r="H28" s="462" t="s">
        <v>16</v>
      </c>
      <c r="I28" s="365">
        <v>0.02</v>
      </c>
      <c r="J28" s="462">
        <v>1</v>
      </c>
      <c r="K28" s="718">
        <f>+J21</f>
        <v>40409234.038516298</v>
      </c>
      <c r="L28" s="366">
        <f>+K28*I28</f>
        <v>808184.68077032594</v>
      </c>
    </row>
    <row r="29" spans="4:13" ht="15.75" thickBot="1">
      <c r="D29" s="720" t="s">
        <v>2</v>
      </c>
      <c r="E29" s="719"/>
      <c r="F29" s="719"/>
      <c r="G29" s="719"/>
      <c r="H29" s="464" t="s">
        <v>16</v>
      </c>
      <c r="I29" s="368">
        <v>0.03</v>
      </c>
      <c r="J29" s="464">
        <v>1</v>
      </c>
      <c r="K29" s="719"/>
      <c r="L29" s="369">
        <f>+K28*I29</f>
        <v>1212277.0211554889</v>
      </c>
    </row>
    <row r="30" spans="4:13" ht="15.75" thickBot="1">
      <c r="D30" s="721" t="s">
        <v>407</v>
      </c>
      <c r="E30" s="722"/>
      <c r="F30" s="722"/>
      <c r="G30" s="722"/>
      <c r="H30" s="722"/>
      <c r="I30" s="722"/>
      <c r="J30" s="723"/>
      <c r="K30" s="724">
        <f>+L29+L28</f>
        <v>2020461.7019258149</v>
      </c>
      <c r="L30" s="725"/>
      <c r="M30" s="361"/>
    </row>
    <row r="31" spans="4:13" ht="15.75" thickBot="1">
      <c r="D31" s="726"/>
      <c r="E31" s="727"/>
      <c r="F31" s="727"/>
      <c r="G31" s="727"/>
      <c r="H31" s="727"/>
      <c r="I31" s="727"/>
      <c r="J31" s="727"/>
      <c r="K31" s="727"/>
      <c r="L31" s="728"/>
    </row>
    <row r="32" spans="4:13" ht="18.75">
      <c r="D32" s="729" t="s">
        <v>408</v>
      </c>
      <c r="E32" s="730"/>
      <c r="F32" s="730"/>
      <c r="G32" s="730"/>
      <c r="H32" s="730"/>
      <c r="I32" s="730"/>
      <c r="J32" s="730"/>
      <c r="K32" s="731">
        <f>+J21</f>
        <v>40409234.038516298</v>
      </c>
      <c r="L32" s="732"/>
    </row>
    <row r="33" spans="4:15">
      <c r="D33" s="701" t="s">
        <v>409</v>
      </c>
      <c r="E33" s="702"/>
      <c r="F33" s="702"/>
      <c r="G33" s="702"/>
      <c r="H33" s="702"/>
      <c r="I33" s="702"/>
      <c r="J33" s="370">
        <v>0.19</v>
      </c>
      <c r="K33" s="703">
        <f>+J33*L29</f>
        <v>230332.63401954289</v>
      </c>
      <c r="L33" s="704"/>
    </row>
    <row r="34" spans="4:15">
      <c r="D34" s="692" t="s">
        <v>410</v>
      </c>
      <c r="E34" s="693"/>
      <c r="F34" s="693"/>
      <c r="G34" s="693"/>
      <c r="H34" s="693"/>
      <c r="I34" s="693"/>
      <c r="J34" s="371">
        <f>+K34/K32</f>
        <v>0.1181276527331597</v>
      </c>
      <c r="K34" s="694">
        <f>+K24+K17+K12</f>
        <v>4773447.96571483</v>
      </c>
      <c r="L34" s="695"/>
    </row>
    <row r="35" spans="4:15" ht="18.75">
      <c r="D35" s="696" t="s">
        <v>411</v>
      </c>
      <c r="E35" s="697"/>
      <c r="F35" s="697"/>
      <c r="G35" s="697"/>
      <c r="H35" s="697"/>
      <c r="I35" s="698"/>
      <c r="J35" s="372">
        <f>+J34+I29+I28</f>
        <v>0.16812765273315969</v>
      </c>
      <c r="K35" s="699">
        <f>+K34+K30+K33</f>
        <v>7024242.3016601875</v>
      </c>
      <c r="L35" s="700"/>
    </row>
    <row r="36" spans="4:15" ht="19.5" thickBot="1">
      <c r="D36" s="677" t="s">
        <v>411</v>
      </c>
      <c r="E36" s="678"/>
      <c r="F36" s="678"/>
      <c r="G36" s="678"/>
      <c r="H36" s="678"/>
      <c r="I36" s="678"/>
      <c r="J36" s="678"/>
      <c r="K36" s="679">
        <f>+K35+K32</f>
        <v>47433476.340176485</v>
      </c>
      <c r="L36" s="680"/>
      <c r="O36" s="361"/>
    </row>
    <row r="37" spans="4:15" ht="19.5" thickBot="1">
      <c r="D37" s="677" t="s">
        <v>412</v>
      </c>
      <c r="E37" s="678"/>
      <c r="F37" s="678"/>
      <c r="G37" s="678"/>
      <c r="H37" s="678"/>
      <c r="I37" s="678"/>
      <c r="J37" s="678"/>
      <c r="K37" s="679">
        <f>+K36*2%</f>
        <v>948669.5268035297</v>
      </c>
      <c r="L37" s="680"/>
      <c r="O37" s="361"/>
    </row>
    <row r="38" spans="4:15" ht="19.5" thickBot="1">
      <c r="D38" s="677" t="s">
        <v>413</v>
      </c>
      <c r="E38" s="678"/>
      <c r="F38" s="678"/>
      <c r="G38" s="678"/>
      <c r="H38" s="678"/>
      <c r="I38" s="678"/>
      <c r="J38" s="678"/>
      <c r="K38" s="679">
        <f>+K37+K36</f>
        <v>48382145.866980016</v>
      </c>
      <c r="L38" s="680"/>
      <c r="O38" s="361"/>
    </row>
    <row r="39" spans="4:15" ht="16.5" thickBot="1">
      <c r="D39" s="681"/>
      <c r="E39" s="682"/>
      <c r="F39" s="682"/>
      <c r="G39" s="682"/>
      <c r="H39" s="682"/>
      <c r="I39" s="682"/>
      <c r="J39" s="682"/>
      <c r="K39" s="682"/>
      <c r="L39" s="683"/>
      <c r="O39" s="361"/>
    </row>
    <row r="40" spans="4:15">
      <c r="D40" s="668" t="s">
        <v>414</v>
      </c>
      <c r="E40" s="684"/>
      <c r="F40" s="684"/>
      <c r="G40" s="684"/>
      <c r="H40" s="684"/>
      <c r="I40" s="684"/>
      <c r="J40" s="684"/>
      <c r="K40" s="684"/>
      <c r="L40" s="685"/>
    </row>
    <row r="41" spans="4:15" ht="23.25" customHeight="1">
      <c r="D41" s="686"/>
      <c r="E41" s="687"/>
      <c r="F41" s="687"/>
      <c r="G41" s="687"/>
      <c r="H41" s="687"/>
      <c r="I41" s="687"/>
      <c r="J41" s="687"/>
      <c r="K41" s="687"/>
      <c r="L41" s="688"/>
    </row>
    <row r="42" spans="4:15" ht="20.25" customHeight="1">
      <c r="D42" s="686"/>
      <c r="E42" s="687"/>
      <c r="F42" s="687"/>
      <c r="G42" s="687"/>
      <c r="H42" s="687"/>
      <c r="I42" s="687"/>
      <c r="J42" s="687"/>
      <c r="K42" s="687"/>
      <c r="L42" s="688"/>
    </row>
    <row r="43" spans="4:15" ht="18" customHeight="1" thickBot="1">
      <c r="D43" s="689"/>
      <c r="E43" s="690"/>
      <c r="F43" s="690"/>
      <c r="G43" s="690"/>
      <c r="H43" s="690"/>
      <c r="I43" s="690"/>
      <c r="J43" s="690"/>
      <c r="K43" s="690"/>
      <c r="L43" s="691"/>
    </row>
    <row r="44" spans="4:15">
      <c r="D44" s="668" t="s">
        <v>415</v>
      </c>
      <c r="E44" s="669"/>
      <c r="F44" s="669"/>
      <c r="G44" s="669"/>
      <c r="H44" s="669"/>
      <c r="I44" s="669"/>
      <c r="J44" s="669"/>
      <c r="K44" s="669"/>
      <c r="L44" s="670"/>
    </row>
    <row r="45" spans="4:15">
      <c r="D45" s="671"/>
      <c r="E45" s="672"/>
      <c r="F45" s="672"/>
      <c r="G45" s="672"/>
      <c r="H45" s="672"/>
      <c r="I45" s="672"/>
      <c r="J45" s="672"/>
      <c r="K45" s="672"/>
      <c r="L45" s="673"/>
    </row>
    <row r="46" spans="4:15" ht="31.5" customHeight="1">
      <c r="D46" s="671"/>
      <c r="E46" s="672"/>
      <c r="F46" s="672"/>
      <c r="G46" s="672"/>
      <c r="H46" s="672"/>
      <c r="I46" s="672"/>
      <c r="J46" s="672"/>
      <c r="K46" s="672"/>
      <c r="L46" s="673"/>
    </row>
    <row r="47" spans="4:15">
      <c r="D47" s="671"/>
      <c r="E47" s="672"/>
      <c r="F47" s="672"/>
      <c r="G47" s="672"/>
      <c r="H47" s="672"/>
      <c r="I47" s="672"/>
      <c r="J47" s="672"/>
      <c r="K47" s="672"/>
      <c r="L47" s="673"/>
    </row>
    <row r="48" spans="4:15" ht="15.75" thickBot="1">
      <c r="D48" s="674"/>
      <c r="E48" s="675"/>
      <c r="F48" s="675"/>
      <c r="G48" s="675"/>
      <c r="H48" s="675"/>
      <c r="I48" s="675"/>
      <c r="J48" s="675"/>
      <c r="K48" s="675"/>
      <c r="L48" s="676"/>
    </row>
    <row r="49" spans="4:4">
      <c r="D49" s="466"/>
    </row>
  </sheetData>
  <mergeCells count="52">
    <mergeCell ref="D44:L48"/>
    <mergeCell ref="D37:J37"/>
    <mergeCell ref="K37:L37"/>
    <mergeCell ref="D38:J38"/>
    <mergeCell ref="K38:L38"/>
    <mergeCell ref="D39:L39"/>
    <mergeCell ref="D40:L43"/>
    <mergeCell ref="D34:I34"/>
    <mergeCell ref="K34:L34"/>
    <mergeCell ref="D35:I35"/>
    <mergeCell ref="K35:L35"/>
    <mergeCell ref="D36:J36"/>
    <mergeCell ref="K36:L36"/>
    <mergeCell ref="D33:I33"/>
    <mergeCell ref="K33:L33"/>
    <mergeCell ref="D24:J24"/>
    <mergeCell ref="K24:L24"/>
    <mergeCell ref="D25:L25"/>
    <mergeCell ref="D26:L26"/>
    <mergeCell ref="D27:G27"/>
    <mergeCell ref="D28:G28"/>
    <mergeCell ref="K28:K29"/>
    <mergeCell ref="D29:G29"/>
    <mergeCell ref="D30:J30"/>
    <mergeCell ref="K30:L30"/>
    <mergeCell ref="D31:L31"/>
    <mergeCell ref="D32:J32"/>
    <mergeCell ref="K32:L32"/>
    <mergeCell ref="D20:G20"/>
    <mergeCell ref="J20:K20"/>
    <mergeCell ref="D21:G21"/>
    <mergeCell ref="J21:K23"/>
    <mergeCell ref="D22:G22"/>
    <mergeCell ref="D23:G23"/>
    <mergeCell ref="D19:L19"/>
    <mergeCell ref="M11:Q11"/>
    <mergeCell ref="D12:J12"/>
    <mergeCell ref="K12:L12"/>
    <mergeCell ref="M12:Q12"/>
    <mergeCell ref="D13:L13"/>
    <mergeCell ref="D14:L14"/>
    <mergeCell ref="D15:G15"/>
    <mergeCell ref="D16:G16"/>
    <mergeCell ref="D17:J17"/>
    <mergeCell ref="K17:L17"/>
    <mergeCell ref="D18:L18"/>
    <mergeCell ref="K9:K10"/>
    <mergeCell ref="D4:L4"/>
    <mergeCell ref="D5:L5"/>
    <mergeCell ref="D6:L6"/>
    <mergeCell ref="M7:N7"/>
    <mergeCell ref="D8:I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K1001"/>
  <sheetViews>
    <sheetView showGridLines="0" topLeftCell="A148" workbookViewId="0">
      <selection activeCell="B159" sqref="B159:H165"/>
    </sheetView>
  </sheetViews>
  <sheetFormatPr baseColWidth="10" defaultColWidth="14.42578125" defaultRowHeight="15" customHeight="1"/>
  <cols>
    <col min="1" max="2" width="10.7109375" customWidth="1"/>
    <col min="3" max="3" width="48.7109375" customWidth="1"/>
    <col min="4" max="5" width="10.7109375" customWidth="1"/>
    <col min="6" max="6" width="13.140625" customWidth="1"/>
    <col min="7" max="7" width="15.7109375" customWidth="1"/>
    <col min="8" max="8" width="16.7109375" customWidth="1"/>
    <col min="9" max="9" width="13" bestFit="1" customWidth="1"/>
    <col min="10" max="26" width="10.7109375" customWidth="1"/>
  </cols>
  <sheetData>
    <row r="2" spans="2:9">
      <c r="B2" s="16" t="s">
        <v>69</v>
      </c>
      <c r="C2" s="17" t="s">
        <v>70</v>
      </c>
      <c r="D2" s="17"/>
      <c r="E2" s="17"/>
      <c r="F2" s="17"/>
      <c r="G2" s="18"/>
      <c r="H2" s="19"/>
    </row>
    <row r="3" spans="2:9">
      <c r="B3" s="20"/>
      <c r="C3" s="21"/>
      <c r="D3" s="21"/>
      <c r="E3" s="21"/>
      <c r="F3" s="21"/>
      <c r="G3" s="21"/>
      <c r="H3" s="21"/>
    </row>
    <row r="4" spans="2:9" ht="21.75" customHeight="1">
      <c r="B4" s="22"/>
      <c r="C4" s="23" t="s">
        <v>71</v>
      </c>
      <c r="D4" s="24" t="s">
        <v>72</v>
      </c>
      <c r="E4" s="25"/>
      <c r="F4" s="26"/>
      <c r="G4" s="27"/>
      <c r="H4" s="28">
        <f>+G5+G6</f>
        <v>45958</v>
      </c>
      <c r="I4" s="29"/>
    </row>
    <row r="5" spans="2:9">
      <c r="B5" s="30"/>
      <c r="C5" s="31" t="s">
        <v>73</v>
      </c>
      <c r="D5" s="32" t="s">
        <v>74</v>
      </c>
      <c r="E5" s="33">
        <v>2</v>
      </c>
      <c r="F5" s="34">
        <v>14479</v>
      </c>
      <c r="G5" s="35">
        <f t="shared" ref="G5:G6" si="0">+F5*E5</f>
        <v>28958</v>
      </c>
      <c r="H5" s="36"/>
    </row>
    <row r="6" spans="2:9">
      <c r="B6" s="37"/>
      <c r="C6" s="38" t="s">
        <v>75</v>
      </c>
      <c r="D6" s="39" t="s">
        <v>74</v>
      </c>
      <c r="E6" s="40">
        <v>1</v>
      </c>
      <c r="F6" s="41">
        <v>17000</v>
      </c>
      <c r="G6" s="42">
        <f t="shared" si="0"/>
        <v>17000</v>
      </c>
      <c r="H6" s="43"/>
    </row>
    <row r="7" spans="2:9">
      <c r="B7" s="44"/>
      <c r="C7" s="31"/>
      <c r="D7" s="32"/>
      <c r="E7" s="45"/>
      <c r="F7" s="34"/>
      <c r="G7" s="35"/>
      <c r="H7" s="46"/>
    </row>
    <row r="8" spans="2:9">
      <c r="B8" s="22"/>
      <c r="C8" s="23" t="s">
        <v>76</v>
      </c>
      <c r="D8" s="24" t="s">
        <v>72</v>
      </c>
      <c r="E8" s="47"/>
      <c r="F8" s="26"/>
      <c r="G8" s="27"/>
      <c r="H8" s="28">
        <f>+G9+G10+G11</f>
        <v>45958</v>
      </c>
    </row>
    <row r="9" spans="2:9">
      <c r="B9" s="30"/>
      <c r="C9" s="31" t="s">
        <v>73</v>
      </c>
      <c r="D9" s="32" t="s">
        <v>74</v>
      </c>
      <c r="E9" s="33">
        <v>1</v>
      </c>
      <c r="F9" s="34">
        <v>14479</v>
      </c>
      <c r="G9" s="35">
        <f t="shared" ref="G9:G11" si="1">+F9*E9</f>
        <v>14479</v>
      </c>
      <c r="H9" s="36"/>
    </row>
    <row r="10" spans="2:9">
      <c r="B10" s="30"/>
      <c r="C10" s="31" t="s">
        <v>77</v>
      </c>
      <c r="D10" s="32" t="s">
        <v>74</v>
      </c>
      <c r="E10" s="33">
        <v>1</v>
      </c>
      <c r="F10" s="34">
        <v>14479</v>
      </c>
      <c r="G10" s="35">
        <f t="shared" si="1"/>
        <v>14479</v>
      </c>
      <c r="H10" s="36"/>
    </row>
    <row r="11" spans="2:9">
      <c r="B11" s="37"/>
      <c r="C11" s="38" t="s">
        <v>75</v>
      </c>
      <c r="D11" s="39" t="s">
        <v>74</v>
      </c>
      <c r="E11" s="40">
        <v>1</v>
      </c>
      <c r="F11" s="41">
        <v>17000</v>
      </c>
      <c r="G11" s="42">
        <f t="shared" si="1"/>
        <v>17000</v>
      </c>
      <c r="H11" s="43"/>
    </row>
    <row r="12" spans="2:9">
      <c r="B12" s="44"/>
      <c r="C12" s="31"/>
      <c r="D12" s="32"/>
      <c r="E12" s="45"/>
      <c r="F12" s="34"/>
      <c r="G12" s="35"/>
      <c r="H12" s="46"/>
    </row>
    <row r="13" spans="2:9" ht="21.75" customHeight="1">
      <c r="B13" s="22"/>
      <c r="C13" s="23" t="s">
        <v>78</v>
      </c>
      <c r="D13" s="24" t="s">
        <v>72</v>
      </c>
      <c r="E13" s="47"/>
      <c r="F13" s="26"/>
      <c r="G13" s="27"/>
      <c r="H13" s="28">
        <f>+G14+G15</f>
        <v>49949</v>
      </c>
    </row>
    <row r="14" spans="2:9">
      <c r="B14" s="30"/>
      <c r="C14" s="31" t="s">
        <v>79</v>
      </c>
      <c r="D14" s="32" t="s">
        <v>74</v>
      </c>
      <c r="E14" s="33">
        <v>2</v>
      </c>
      <c r="F14" s="34">
        <v>15058</v>
      </c>
      <c r="G14" s="35">
        <f t="shared" ref="G14:G15" si="2">+F14*E14</f>
        <v>30116</v>
      </c>
      <c r="H14" s="36"/>
    </row>
    <row r="15" spans="2:9">
      <c r="B15" s="37"/>
      <c r="C15" s="38" t="s">
        <v>80</v>
      </c>
      <c r="D15" s="39" t="s">
        <v>74</v>
      </c>
      <c r="E15" s="40">
        <v>1</v>
      </c>
      <c r="F15" s="41">
        <v>19833</v>
      </c>
      <c r="G15" s="42">
        <f t="shared" si="2"/>
        <v>19833</v>
      </c>
      <c r="H15" s="43"/>
    </row>
    <row r="16" spans="2:9">
      <c r="B16" s="44"/>
      <c r="C16" s="31"/>
      <c r="D16" s="32"/>
      <c r="E16" s="45"/>
      <c r="F16" s="34"/>
      <c r="G16" s="35"/>
      <c r="H16" s="46"/>
    </row>
    <row r="17" spans="2:8" ht="20.25" customHeight="1">
      <c r="B17" s="22"/>
      <c r="C17" s="23" t="s">
        <v>81</v>
      </c>
      <c r="D17" s="24" t="s">
        <v>72</v>
      </c>
      <c r="E17" s="47"/>
      <c r="F17" s="26"/>
      <c r="G17" s="27"/>
      <c r="H17" s="28">
        <f>+G18+G19</f>
        <v>32612</v>
      </c>
    </row>
    <row r="18" spans="2:8" ht="33" customHeight="1">
      <c r="B18" s="30"/>
      <c r="C18" s="31" t="s">
        <v>82</v>
      </c>
      <c r="D18" s="32" t="s">
        <v>74</v>
      </c>
      <c r="E18" s="33">
        <v>1</v>
      </c>
      <c r="F18" s="34">
        <v>14479</v>
      </c>
      <c r="G18" s="35">
        <f t="shared" ref="G18:G19" si="3">+F18*E18</f>
        <v>14479</v>
      </c>
      <c r="H18" s="36"/>
    </row>
    <row r="19" spans="2:8" ht="18" customHeight="1">
      <c r="B19" s="37"/>
      <c r="C19" s="38" t="s">
        <v>83</v>
      </c>
      <c r="D19" s="39" t="s">
        <v>74</v>
      </c>
      <c r="E19" s="40">
        <v>1</v>
      </c>
      <c r="F19" s="41">
        <v>18133</v>
      </c>
      <c r="G19" s="42">
        <f t="shared" si="3"/>
        <v>18133</v>
      </c>
      <c r="H19" s="43"/>
    </row>
    <row r="20" spans="2:8">
      <c r="B20" s="48"/>
      <c r="C20" s="31"/>
      <c r="D20" s="32"/>
      <c r="E20" s="45"/>
      <c r="F20" s="34"/>
      <c r="G20" s="35"/>
      <c r="H20" s="49"/>
    </row>
    <row r="21" spans="2:8" ht="15.75" customHeight="1">
      <c r="B21" s="16" t="s">
        <v>84</v>
      </c>
      <c r="C21" s="17" t="s">
        <v>85</v>
      </c>
      <c r="D21" s="17"/>
      <c r="E21" s="17"/>
      <c r="F21" s="17"/>
      <c r="G21" s="18"/>
      <c r="H21" s="19"/>
    </row>
    <row r="22" spans="2:8" ht="15.75" customHeight="1"/>
    <row r="23" spans="2:8" ht="15.75" customHeight="1">
      <c r="B23" s="22"/>
      <c r="C23" s="23" t="s">
        <v>86</v>
      </c>
      <c r="D23" s="24" t="s">
        <v>35</v>
      </c>
      <c r="E23" s="47"/>
      <c r="F23" s="26"/>
      <c r="G23" s="27"/>
      <c r="H23" s="28">
        <v>19302</v>
      </c>
    </row>
    <row r="24" spans="2:8" ht="15.75" customHeight="1">
      <c r="B24" s="44"/>
      <c r="C24" s="50" t="s">
        <v>71</v>
      </c>
      <c r="D24" s="32" t="s">
        <v>72</v>
      </c>
      <c r="E24" s="33">
        <v>0.4</v>
      </c>
      <c r="F24" s="34">
        <v>45958</v>
      </c>
      <c r="G24" s="35">
        <v>18383.2</v>
      </c>
      <c r="H24" s="51"/>
    </row>
    <row r="25" spans="2:8" ht="15.75" customHeight="1">
      <c r="B25" s="52"/>
      <c r="C25" s="38" t="s">
        <v>87</v>
      </c>
      <c r="D25" s="39" t="s">
        <v>88</v>
      </c>
      <c r="E25" s="40">
        <v>0.05</v>
      </c>
      <c r="F25" s="41">
        <v>18383.2</v>
      </c>
      <c r="G25" s="42">
        <v>919.16000000000008</v>
      </c>
      <c r="H25" s="53"/>
    </row>
    <row r="26" spans="2:8" ht="15.75" customHeight="1"/>
    <row r="27" spans="2:8" ht="15.75" customHeight="1">
      <c r="B27" s="22"/>
      <c r="C27" s="23" t="s">
        <v>58</v>
      </c>
      <c r="D27" s="24" t="s">
        <v>35</v>
      </c>
      <c r="E27" s="47"/>
      <c r="F27" s="26"/>
      <c r="G27" s="27"/>
      <c r="H27" s="28">
        <f>SUM(G28:G29)-2.3</f>
        <v>50000.004000000001</v>
      </c>
    </row>
    <row r="28" spans="2:8" ht="15.75" customHeight="1">
      <c r="B28" s="44"/>
      <c r="C28" s="50" t="s">
        <v>71</v>
      </c>
      <c r="D28" s="32" t="s">
        <v>72</v>
      </c>
      <c r="E28" s="33">
        <v>1</v>
      </c>
      <c r="F28" s="34">
        <v>45958</v>
      </c>
      <c r="G28" s="35">
        <f t="shared" ref="G28:G29" si="4">+E28*F28</f>
        <v>45958</v>
      </c>
      <c r="H28" s="51"/>
    </row>
    <row r="29" spans="2:8" ht="15.75" customHeight="1">
      <c r="B29" s="52"/>
      <c r="C29" s="38" t="s">
        <v>87</v>
      </c>
      <c r="D29" s="39" t="s">
        <v>88</v>
      </c>
      <c r="E29" s="40">
        <v>0.22</v>
      </c>
      <c r="F29" s="41">
        <v>18383.2</v>
      </c>
      <c r="G29" s="42">
        <f t="shared" si="4"/>
        <v>4044.3040000000001</v>
      </c>
      <c r="H29" s="53"/>
    </row>
    <row r="30" spans="2:8" ht="15.75" customHeight="1">
      <c r="B30" s="48"/>
      <c r="C30" s="31"/>
      <c r="D30" s="32"/>
      <c r="E30" s="33"/>
      <c r="F30" s="34"/>
      <c r="G30" s="35"/>
      <c r="H30" s="49"/>
    </row>
    <row r="31" spans="2:8" ht="15.75" customHeight="1">
      <c r="B31" s="22"/>
      <c r="C31" s="23" t="s">
        <v>62</v>
      </c>
      <c r="D31" s="24" t="s">
        <v>35</v>
      </c>
      <c r="E31" s="47"/>
      <c r="F31" s="26"/>
      <c r="G31" s="27"/>
      <c r="H31" s="28">
        <f>SUM(G32:G33)-2.3</f>
        <v>50000.004000000001</v>
      </c>
    </row>
    <row r="32" spans="2:8" ht="15.75" customHeight="1">
      <c r="B32" s="44"/>
      <c r="C32" s="50" t="s">
        <v>71</v>
      </c>
      <c r="D32" s="32" t="s">
        <v>72</v>
      </c>
      <c r="E32" s="33">
        <v>1</v>
      </c>
      <c r="F32" s="34">
        <v>45958</v>
      </c>
      <c r="G32" s="35">
        <f t="shared" ref="G32:G33" si="5">+E32*F32</f>
        <v>45958</v>
      </c>
      <c r="H32" s="51"/>
    </row>
    <row r="33" spans="2:10" ht="15.75" customHeight="1">
      <c r="B33" s="52"/>
      <c r="C33" s="38" t="s">
        <v>87</v>
      </c>
      <c r="D33" s="39" t="s">
        <v>88</v>
      </c>
      <c r="E33" s="40">
        <v>0.22</v>
      </c>
      <c r="F33" s="41">
        <v>18383.2</v>
      </c>
      <c r="G33" s="42">
        <f t="shared" si="5"/>
        <v>4044.3040000000001</v>
      </c>
      <c r="H33" s="53"/>
    </row>
    <row r="34" spans="2:10" ht="15.75" customHeight="1"/>
    <row r="35" spans="2:10" ht="42" customHeight="1">
      <c r="B35" s="212"/>
      <c r="C35" s="213" t="s">
        <v>64</v>
      </c>
      <c r="D35" s="214" t="s">
        <v>35</v>
      </c>
      <c r="E35" s="215"/>
      <c r="F35" s="216"/>
      <c r="G35" s="217"/>
      <c r="H35" s="218">
        <f>SUM(G36:G39)-2.3</f>
        <v>67104.004000000001</v>
      </c>
    </row>
    <row r="36" spans="2:10" ht="15.75" customHeight="1">
      <c r="B36" s="219"/>
      <c r="C36" s="208" t="s">
        <v>71</v>
      </c>
      <c r="D36" s="209" t="s">
        <v>72</v>
      </c>
      <c r="E36" s="207">
        <v>0.6</v>
      </c>
      <c r="F36" s="210">
        <v>45958</v>
      </c>
      <c r="G36" s="211">
        <f t="shared" ref="G36:G39" si="6">+E36*F36</f>
        <v>27574.799999999999</v>
      </c>
      <c r="H36" s="220"/>
    </row>
    <row r="37" spans="2:10" ht="15.75" customHeight="1">
      <c r="B37" s="219"/>
      <c r="C37" s="208" t="s">
        <v>89</v>
      </c>
      <c r="D37" s="209" t="s">
        <v>35</v>
      </c>
      <c r="E37" s="207">
        <v>1</v>
      </c>
      <c r="F37" s="210">
        <v>30487.200000000001</v>
      </c>
      <c r="G37" s="211">
        <f t="shared" si="6"/>
        <v>30487.200000000001</v>
      </c>
      <c r="H37" s="220"/>
    </row>
    <row r="38" spans="2:10" ht="15.75" customHeight="1">
      <c r="B38" s="219"/>
      <c r="C38" s="208" t="s">
        <v>90</v>
      </c>
      <c r="D38" s="209" t="s">
        <v>91</v>
      </c>
      <c r="E38" s="207">
        <v>1</v>
      </c>
      <c r="F38" s="210">
        <v>5000</v>
      </c>
      <c r="G38" s="211">
        <f t="shared" si="6"/>
        <v>5000</v>
      </c>
      <c r="H38" s="220"/>
      <c r="J38" s="29"/>
    </row>
    <row r="39" spans="2:10" ht="15.75" customHeight="1">
      <c r="B39" s="221"/>
      <c r="C39" s="222" t="s">
        <v>87</v>
      </c>
      <c r="D39" s="223" t="s">
        <v>88</v>
      </c>
      <c r="E39" s="224">
        <v>0.22</v>
      </c>
      <c r="F39" s="225">
        <v>18383.2</v>
      </c>
      <c r="G39" s="226">
        <f t="shared" si="6"/>
        <v>4044.3040000000001</v>
      </c>
      <c r="H39" s="227"/>
    </row>
    <row r="40" spans="2:10" ht="15.75" customHeight="1"/>
    <row r="41" spans="2:10" ht="15.75" customHeight="1"/>
    <row r="42" spans="2:10" ht="15.75" customHeight="1">
      <c r="B42" s="22"/>
      <c r="C42" s="23" t="s">
        <v>92</v>
      </c>
      <c r="D42" s="24" t="s">
        <v>35</v>
      </c>
      <c r="E42" s="47"/>
      <c r="F42" s="26"/>
      <c r="G42" s="27"/>
      <c r="H42" s="28">
        <f>SUM(G43:G55)</f>
        <v>129999.99877545293</v>
      </c>
    </row>
    <row r="43" spans="2:10" ht="15.75" customHeight="1">
      <c r="B43" s="30"/>
      <c r="C43" s="31" t="s">
        <v>93</v>
      </c>
      <c r="D43" s="32" t="s">
        <v>94</v>
      </c>
      <c r="E43" s="33">
        <v>0.42499999999999999</v>
      </c>
      <c r="F43" s="34">
        <v>9000</v>
      </c>
      <c r="G43" s="42">
        <f t="shared" ref="G43:G54" si="7">+E43*F43</f>
        <v>3825</v>
      </c>
      <c r="H43" s="36"/>
    </row>
    <row r="44" spans="2:10" ht="15.75" customHeight="1">
      <c r="B44" s="30"/>
      <c r="C44" s="31" t="s">
        <v>95</v>
      </c>
      <c r="D44" s="32" t="s">
        <v>94</v>
      </c>
      <c r="E44" s="33">
        <v>0.79</v>
      </c>
      <c r="F44" s="34">
        <v>8874</v>
      </c>
      <c r="G44" s="42">
        <f t="shared" si="7"/>
        <v>7010.46</v>
      </c>
      <c r="H44" s="36"/>
    </row>
    <row r="45" spans="2:10" ht="15.75" customHeight="1">
      <c r="B45" s="30"/>
      <c r="C45" s="50" t="s">
        <v>96</v>
      </c>
      <c r="D45" s="32" t="s">
        <v>94</v>
      </c>
      <c r="E45" s="33">
        <v>0.2</v>
      </c>
      <c r="F45" s="34">
        <v>1200</v>
      </c>
      <c r="G45" s="42">
        <f t="shared" si="7"/>
        <v>240</v>
      </c>
      <c r="H45" s="36"/>
    </row>
    <row r="46" spans="2:10" ht="15.75" customHeight="1">
      <c r="B46" s="30"/>
      <c r="C46" s="31" t="s">
        <v>97</v>
      </c>
      <c r="D46" s="32" t="s">
        <v>94</v>
      </c>
      <c r="E46" s="33">
        <v>24</v>
      </c>
      <c r="F46" s="34">
        <v>28.000000018200002</v>
      </c>
      <c r="G46" s="42">
        <f t="shared" si="7"/>
        <v>672.00000043680006</v>
      </c>
      <c r="H46" s="36"/>
    </row>
    <row r="47" spans="2:10" ht="15.75" customHeight="1">
      <c r="B47" s="30"/>
      <c r="C47" s="31" t="s">
        <v>98</v>
      </c>
      <c r="D47" s="32" t="s">
        <v>94</v>
      </c>
      <c r="E47" s="33">
        <v>16</v>
      </c>
      <c r="F47" s="34">
        <v>20.23</v>
      </c>
      <c r="G47" s="42">
        <f t="shared" si="7"/>
        <v>323.68</v>
      </c>
      <c r="H47" s="36"/>
    </row>
    <row r="48" spans="2:10" ht="15.75" customHeight="1">
      <c r="B48" s="30"/>
      <c r="C48" s="31" t="s">
        <v>99</v>
      </c>
      <c r="D48" s="32" t="s">
        <v>94</v>
      </c>
      <c r="E48" s="33">
        <v>3</v>
      </c>
      <c r="F48" s="34">
        <v>137.44500000000002</v>
      </c>
      <c r="G48" s="42">
        <f t="shared" si="7"/>
        <v>412.33500000000004</v>
      </c>
      <c r="H48" s="36"/>
    </row>
    <row r="49" spans="2:8" ht="15.75" customHeight="1">
      <c r="B49" s="30"/>
      <c r="C49" s="31" t="s">
        <v>100</v>
      </c>
      <c r="D49" s="32" t="s">
        <v>101</v>
      </c>
      <c r="E49" s="33">
        <v>1.6E-2</v>
      </c>
      <c r="F49" s="34">
        <v>12949.999999999998</v>
      </c>
      <c r="G49" s="42">
        <f t="shared" si="7"/>
        <v>207.2</v>
      </c>
      <c r="H49" s="36"/>
    </row>
    <row r="50" spans="2:8" ht="15.75" customHeight="1">
      <c r="B50" s="30"/>
      <c r="C50" s="31" t="s">
        <v>102</v>
      </c>
      <c r="D50" s="32" t="s">
        <v>103</v>
      </c>
      <c r="E50" s="33">
        <v>0.05</v>
      </c>
      <c r="F50" s="34">
        <v>41900</v>
      </c>
      <c r="G50" s="42">
        <f t="shared" si="7"/>
        <v>2095</v>
      </c>
      <c r="H50" s="36"/>
    </row>
    <row r="51" spans="2:8" ht="15.75" customHeight="1">
      <c r="B51" s="30"/>
      <c r="C51" s="31" t="s">
        <v>104</v>
      </c>
      <c r="D51" s="32" t="s">
        <v>94</v>
      </c>
      <c r="E51" s="33">
        <v>0.67186240257995167</v>
      </c>
      <c r="F51" s="34">
        <v>48000</v>
      </c>
      <c r="G51" s="42">
        <f t="shared" si="7"/>
        <v>32249.395323837682</v>
      </c>
      <c r="H51" s="36"/>
    </row>
    <row r="52" spans="2:8" ht="15.75" customHeight="1">
      <c r="B52" s="30"/>
      <c r="C52" s="31" t="s">
        <v>105</v>
      </c>
      <c r="D52" s="32" t="s">
        <v>106</v>
      </c>
      <c r="E52" s="33">
        <v>0.16835016835016833</v>
      </c>
      <c r="F52" s="34">
        <v>79900</v>
      </c>
      <c r="G52" s="42">
        <f t="shared" si="7"/>
        <v>13451.17845117845</v>
      </c>
      <c r="H52" s="36"/>
    </row>
    <row r="53" spans="2:8" ht="15.75" customHeight="1">
      <c r="B53" s="30"/>
      <c r="C53" s="50" t="s">
        <v>107</v>
      </c>
      <c r="D53" s="32" t="s">
        <v>108</v>
      </c>
      <c r="E53" s="33">
        <v>0.08</v>
      </c>
      <c r="F53" s="34">
        <v>50300</v>
      </c>
      <c r="G53" s="42">
        <f t="shared" si="7"/>
        <v>4024</v>
      </c>
      <c r="H53" s="36"/>
    </row>
    <row r="54" spans="2:8" ht="15.75" customHeight="1">
      <c r="B54" s="30"/>
      <c r="C54" s="31" t="s">
        <v>71</v>
      </c>
      <c r="D54" s="32" t="s">
        <v>72</v>
      </c>
      <c r="E54" s="33">
        <v>1.35</v>
      </c>
      <c r="F54" s="34">
        <v>45958</v>
      </c>
      <c r="G54" s="42">
        <f t="shared" si="7"/>
        <v>62043.3</v>
      </c>
      <c r="H54" s="36"/>
    </row>
    <row r="55" spans="2:8" ht="15.75" customHeight="1">
      <c r="B55" s="52"/>
      <c r="C55" s="38" t="s">
        <v>87</v>
      </c>
      <c r="D55" s="39" t="s">
        <v>88</v>
      </c>
      <c r="E55" s="40">
        <v>0.05</v>
      </c>
      <c r="F55" s="41">
        <v>68937</v>
      </c>
      <c r="G55" s="42">
        <f>+E55*F55-0.4</f>
        <v>3446.4500000000003</v>
      </c>
      <c r="H55" s="53"/>
    </row>
    <row r="56" spans="2:8" ht="15.75" customHeight="1"/>
    <row r="57" spans="2:8" ht="15.75" customHeight="1"/>
    <row r="58" spans="2:8" ht="15.75" customHeight="1">
      <c r="B58" s="22"/>
      <c r="C58" s="23" t="s">
        <v>63</v>
      </c>
      <c r="D58" s="24" t="s">
        <v>46</v>
      </c>
      <c r="E58" s="47"/>
      <c r="F58" s="26"/>
      <c r="G58" s="27"/>
      <c r="H58" s="28">
        <f>SUM(G59:G64)</f>
        <v>89999.99924724501</v>
      </c>
    </row>
    <row r="59" spans="2:8" ht="15.75" customHeight="1">
      <c r="B59" s="30"/>
      <c r="C59" s="50" t="s">
        <v>109</v>
      </c>
      <c r="D59" s="32" t="s">
        <v>46</v>
      </c>
      <c r="E59" s="33">
        <v>1</v>
      </c>
      <c r="F59" s="34">
        <v>24851.007999999998</v>
      </c>
      <c r="G59" s="35">
        <f t="shared" ref="G59:G63" si="8">+E59*F59</f>
        <v>24851.007999999998</v>
      </c>
      <c r="H59" s="36"/>
    </row>
    <row r="60" spans="2:8" ht="15.75" customHeight="1">
      <c r="B60" s="30"/>
      <c r="C60" s="50" t="s">
        <v>110</v>
      </c>
      <c r="D60" s="32" t="s">
        <v>46</v>
      </c>
      <c r="E60" s="33">
        <v>1</v>
      </c>
      <c r="F60" s="34">
        <v>36354.5</v>
      </c>
      <c r="G60" s="35">
        <f t="shared" si="8"/>
        <v>36354.5</v>
      </c>
      <c r="H60" s="36"/>
    </row>
    <row r="61" spans="2:8" ht="15.75" customHeight="1">
      <c r="B61" s="30"/>
      <c r="C61" s="50" t="s">
        <v>111</v>
      </c>
      <c r="D61" s="32" t="s">
        <v>46</v>
      </c>
      <c r="E61" s="33">
        <v>1</v>
      </c>
      <c r="F61" s="34">
        <v>10000</v>
      </c>
      <c r="G61" s="35">
        <f t="shared" si="8"/>
        <v>10000</v>
      </c>
      <c r="H61" s="36"/>
    </row>
    <row r="62" spans="2:8" ht="15.75" customHeight="1">
      <c r="B62" s="30"/>
      <c r="C62" s="31" t="s">
        <v>112</v>
      </c>
      <c r="D62" s="32" t="s">
        <v>94</v>
      </c>
      <c r="E62" s="33">
        <v>1</v>
      </c>
      <c r="F62" s="34">
        <v>3999.999997245</v>
      </c>
      <c r="G62" s="35">
        <f t="shared" si="8"/>
        <v>3999.999997245</v>
      </c>
      <c r="H62" s="36"/>
    </row>
    <row r="63" spans="2:8" ht="15.75" customHeight="1">
      <c r="B63" s="30"/>
      <c r="C63" s="50" t="s">
        <v>78</v>
      </c>
      <c r="D63" s="32" t="s">
        <v>72</v>
      </c>
      <c r="E63" s="33">
        <v>0.245</v>
      </c>
      <c r="F63" s="34">
        <v>49949</v>
      </c>
      <c r="G63" s="35">
        <f t="shared" si="8"/>
        <v>12237.504999999999</v>
      </c>
      <c r="H63" s="36"/>
    </row>
    <row r="64" spans="2:8" ht="15.75" customHeight="1">
      <c r="B64" s="52"/>
      <c r="C64" s="38" t="s">
        <v>87</v>
      </c>
      <c r="D64" s="39" t="s">
        <v>88</v>
      </c>
      <c r="E64" s="40">
        <v>0.20499999999999999</v>
      </c>
      <c r="F64" s="41">
        <v>12487.25</v>
      </c>
      <c r="G64" s="42">
        <f>+E64*F64-2.9</f>
        <v>2556.9862499999999</v>
      </c>
      <c r="H64" s="53"/>
    </row>
    <row r="65" spans="2:8" ht="15.75" customHeight="1"/>
    <row r="66" spans="2:8" ht="15.75" customHeight="1"/>
    <row r="67" spans="2:8" ht="15.75" customHeight="1">
      <c r="B67" s="22"/>
      <c r="C67" s="23" t="s">
        <v>113</v>
      </c>
      <c r="D67" s="24" t="s">
        <v>94</v>
      </c>
      <c r="E67" s="47"/>
      <c r="F67" s="26"/>
      <c r="G67" s="27"/>
      <c r="H67" s="28">
        <f>SUM(G68:G73)</f>
        <v>110000</v>
      </c>
    </row>
    <row r="68" spans="2:8" ht="15.75" customHeight="1">
      <c r="B68" s="30"/>
      <c r="C68" s="31" t="s">
        <v>114</v>
      </c>
      <c r="D68" s="32" t="s">
        <v>115</v>
      </c>
      <c r="E68" s="33">
        <v>1</v>
      </c>
      <c r="F68" s="34">
        <v>11773.35</v>
      </c>
      <c r="G68" s="35">
        <f t="shared" ref="G68:G73" si="9">+E68*F68</f>
        <v>11773.35</v>
      </c>
      <c r="H68" s="36"/>
    </row>
    <row r="69" spans="2:8" ht="15.75" customHeight="1">
      <c r="B69" s="30"/>
      <c r="C69" s="31" t="s">
        <v>116</v>
      </c>
      <c r="D69" s="32" t="s">
        <v>94</v>
      </c>
      <c r="E69" s="33">
        <v>2</v>
      </c>
      <c r="F69" s="34">
        <v>1390</v>
      </c>
      <c r="G69" s="35">
        <f t="shared" si="9"/>
        <v>2780</v>
      </c>
      <c r="H69" s="36"/>
    </row>
    <row r="70" spans="2:8" ht="15.75" customHeight="1">
      <c r="B70" s="30"/>
      <c r="C70" s="31" t="s">
        <v>117</v>
      </c>
      <c r="D70" s="32" t="s">
        <v>94</v>
      </c>
      <c r="E70" s="33">
        <v>1</v>
      </c>
      <c r="F70" s="34">
        <v>6300</v>
      </c>
      <c r="G70" s="35">
        <f t="shared" si="9"/>
        <v>6300</v>
      </c>
      <c r="H70" s="36"/>
    </row>
    <row r="71" spans="2:8" ht="15.75" customHeight="1">
      <c r="B71" s="30"/>
      <c r="C71" s="31" t="s">
        <v>118</v>
      </c>
      <c r="D71" s="32" t="s">
        <v>46</v>
      </c>
      <c r="E71" s="33">
        <v>9</v>
      </c>
      <c r="F71" s="34">
        <v>2410</v>
      </c>
      <c r="G71" s="35">
        <f t="shared" si="9"/>
        <v>21690</v>
      </c>
      <c r="H71" s="36"/>
    </row>
    <row r="72" spans="2:8" ht="15.75" customHeight="1">
      <c r="B72" s="30"/>
      <c r="C72" s="31" t="s">
        <v>119</v>
      </c>
      <c r="D72" s="32" t="s">
        <v>94</v>
      </c>
      <c r="E72" s="33">
        <v>1</v>
      </c>
      <c r="F72" s="34">
        <v>25000</v>
      </c>
      <c r="G72" s="35">
        <f t="shared" si="9"/>
        <v>25000</v>
      </c>
      <c r="H72" s="36"/>
    </row>
    <row r="73" spans="2:8" ht="15.75" customHeight="1">
      <c r="B73" s="37"/>
      <c r="C73" s="54" t="s">
        <v>78</v>
      </c>
      <c r="D73" s="39" t="s">
        <v>72</v>
      </c>
      <c r="E73" s="40">
        <v>0.85</v>
      </c>
      <c r="F73" s="41">
        <v>49949</v>
      </c>
      <c r="G73" s="42">
        <f t="shared" si="9"/>
        <v>42456.65</v>
      </c>
      <c r="H73" s="43"/>
    </row>
    <row r="74" spans="2:8" ht="15.75" customHeight="1">
      <c r="B74" s="55"/>
      <c r="C74" s="50"/>
      <c r="D74" s="32"/>
      <c r="E74" s="33"/>
      <c r="F74" s="34"/>
      <c r="G74" s="35"/>
      <c r="H74" s="35"/>
    </row>
    <row r="75" spans="2:8" ht="15.75" customHeight="1"/>
    <row r="76" spans="2:8" ht="48.75" customHeight="1">
      <c r="B76" s="22"/>
      <c r="C76" s="23" t="s">
        <v>121</v>
      </c>
      <c r="D76" s="24" t="s">
        <v>94</v>
      </c>
      <c r="E76" s="47"/>
      <c r="F76" s="26"/>
      <c r="G76" s="27"/>
      <c r="H76" s="28">
        <f>SUM(G77:G83)</f>
        <v>160000.000005985</v>
      </c>
    </row>
    <row r="77" spans="2:8" ht="15.75" customHeight="1">
      <c r="B77" s="30"/>
      <c r="C77" s="31"/>
      <c r="D77" s="32"/>
      <c r="E77" s="33"/>
      <c r="F77" s="34"/>
      <c r="G77" s="35"/>
      <c r="H77" s="36"/>
    </row>
    <row r="78" spans="2:8" ht="15.75" customHeight="1">
      <c r="B78" s="30"/>
      <c r="C78" s="31" t="s">
        <v>122</v>
      </c>
      <c r="D78" s="32" t="s">
        <v>46</v>
      </c>
      <c r="E78" s="56">
        <v>10</v>
      </c>
      <c r="F78" s="57">
        <v>4800</v>
      </c>
      <c r="G78" s="35">
        <f t="shared" ref="G78:G81" si="10">+E78*F78</f>
        <v>48000</v>
      </c>
      <c r="H78" s="36"/>
    </row>
    <row r="79" spans="2:8" ht="15.75" customHeight="1">
      <c r="B79" s="30"/>
      <c r="C79" s="31" t="s">
        <v>123</v>
      </c>
      <c r="D79" s="32" t="s">
        <v>94</v>
      </c>
      <c r="E79" s="33">
        <v>2</v>
      </c>
      <c r="F79" s="34">
        <v>1499.4</v>
      </c>
      <c r="G79" s="35">
        <f t="shared" si="10"/>
        <v>2998.8</v>
      </c>
      <c r="H79" s="36"/>
    </row>
    <row r="80" spans="2:8" ht="15.75" customHeight="1">
      <c r="B80" s="30"/>
      <c r="C80" s="31" t="s">
        <v>124</v>
      </c>
      <c r="D80" s="32" t="s">
        <v>94</v>
      </c>
      <c r="E80" s="33">
        <v>1</v>
      </c>
      <c r="F80" s="57">
        <v>29100</v>
      </c>
      <c r="G80" s="35">
        <f t="shared" si="10"/>
        <v>29100</v>
      </c>
      <c r="H80" s="36"/>
    </row>
    <row r="81" spans="2:8" ht="15.75" customHeight="1">
      <c r="B81" s="30"/>
      <c r="C81" s="31" t="s">
        <v>125</v>
      </c>
      <c r="D81" s="32" t="s">
        <v>94</v>
      </c>
      <c r="E81" s="33">
        <v>1</v>
      </c>
      <c r="F81" s="34">
        <v>11130.000005984999</v>
      </c>
      <c r="G81" s="35">
        <f t="shared" si="10"/>
        <v>11130.000005984999</v>
      </c>
      <c r="H81" s="36"/>
    </row>
    <row r="82" spans="2:8" ht="15.75" customHeight="1">
      <c r="B82" s="30"/>
      <c r="C82" s="50" t="s">
        <v>78</v>
      </c>
      <c r="D82" s="32" t="s">
        <v>72</v>
      </c>
      <c r="E82" s="33">
        <v>1.2</v>
      </c>
      <c r="F82" s="34">
        <v>49949</v>
      </c>
      <c r="G82" s="35">
        <f>+E82*F82-31.01</f>
        <v>59907.789999999994</v>
      </c>
      <c r="H82" s="36"/>
    </row>
    <row r="83" spans="2:8" ht="15.75" customHeight="1">
      <c r="B83" s="52"/>
      <c r="C83" s="38" t="s">
        <v>87</v>
      </c>
      <c r="D83" s="39" t="s">
        <v>88</v>
      </c>
      <c r="E83" s="40">
        <v>0.15</v>
      </c>
      <c r="F83" s="41">
        <v>59938.8</v>
      </c>
      <c r="G83" s="42">
        <f>+E83*F83-127.41</f>
        <v>8863.41</v>
      </c>
      <c r="H83" s="53"/>
    </row>
    <row r="84" spans="2:8" ht="15.75" customHeight="1"/>
    <row r="85" spans="2:8" ht="30.75" customHeight="1">
      <c r="B85" s="22"/>
      <c r="C85" s="23" t="s">
        <v>418</v>
      </c>
      <c r="D85" s="24" t="s">
        <v>94</v>
      </c>
      <c r="E85" s="47"/>
      <c r="F85" s="26"/>
      <c r="G85" s="27"/>
      <c r="H85" s="28">
        <f>SUM(G86:G92)</f>
        <v>765311.8</v>
      </c>
    </row>
    <row r="86" spans="2:8" ht="15.75" customHeight="1">
      <c r="B86" s="30"/>
      <c r="C86" s="50" t="s">
        <v>127</v>
      </c>
      <c r="D86" s="32" t="s">
        <v>46</v>
      </c>
      <c r="E86" s="33">
        <v>1</v>
      </c>
      <c r="F86" s="34">
        <v>4200</v>
      </c>
      <c r="G86" s="35">
        <f t="shared" ref="G86:G91" si="11">+E86*F86</f>
        <v>4200</v>
      </c>
      <c r="H86" s="36"/>
    </row>
    <row r="87" spans="2:8" ht="15.75" customHeight="1">
      <c r="B87" s="30"/>
      <c r="C87" s="50" t="s">
        <v>128</v>
      </c>
      <c r="D87" s="32" t="s">
        <v>46</v>
      </c>
      <c r="E87" s="33">
        <v>2</v>
      </c>
      <c r="F87" s="34">
        <v>2999</v>
      </c>
      <c r="G87" s="35">
        <f t="shared" si="11"/>
        <v>5998</v>
      </c>
      <c r="H87" s="36"/>
    </row>
    <row r="88" spans="2:8" ht="15.75" customHeight="1">
      <c r="B88" s="30"/>
      <c r="C88" s="50" t="s">
        <v>129</v>
      </c>
      <c r="D88" s="32" t="s">
        <v>46</v>
      </c>
      <c r="E88" s="33">
        <v>2</v>
      </c>
      <c r="F88" s="34">
        <v>1849</v>
      </c>
      <c r="G88" s="35">
        <f t="shared" si="11"/>
        <v>3698</v>
      </c>
      <c r="H88" s="36"/>
    </row>
    <row r="89" spans="2:8" ht="15.75" customHeight="1">
      <c r="B89" s="30"/>
      <c r="C89" s="50" t="s">
        <v>130</v>
      </c>
      <c r="D89" s="32" t="s">
        <v>23</v>
      </c>
      <c r="E89" s="33">
        <v>2</v>
      </c>
      <c r="F89" s="34">
        <v>120000</v>
      </c>
      <c r="G89" s="35">
        <f t="shared" si="11"/>
        <v>240000</v>
      </c>
      <c r="H89" s="36"/>
    </row>
    <row r="90" spans="2:8" ht="15.75" customHeight="1">
      <c r="B90" s="30"/>
      <c r="C90" s="50" t="s">
        <v>131</v>
      </c>
      <c r="D90" s="32" t="s">
        <v>23</v>
      </c>
      <c r="E90" s="33">
        <v>4</v>
      </c>
      <c r="F90" s="34">
        <v>63000</v>
      </c>
      <c r="G90" s="35">
        <f t="shared" si="11"/>
        <v>252000</v>
      </c>
      <c r="H90" s="36"/>
    </row>
    <row r="91" spans="2:8" ht="15.75" customHeight="1">
      <c r="B91" s="30"/>
      <c r="C91" s="31" t="s">
        <v>119</v>
      </c>
      <c r="D91" s="32" t="s">
        <v>23</v>
      </c>
      <c r="E91" s="33">
        <v>2</v>
      </c>
      <c r="F91" s="34">
        <v>4900</v>
      </c>
      <c r="G91" s="35">
        <f t="shared" si="11"/>
        <v>9800</v>
      </c>
      <c r="H91" s="36"/>
    </row>
    <row r="92" spans="2:8" ht="15.75" customHeight="1">
      <c r="B92" s="37"/>
      <c r="C92" s="54" t="s">
        <v>78</v>
      </c>
      <c r="D92" s="39" t="s">
        <v>72</v>
      </c>
      <c r="E92" s="40">
        <v>5</v>
      </c>
      <c r="F92" s="41">
        <v>49949</v>
      </c>
      <c r="G92" s="42">
        <f>+E92*F92-129.2</f>
        <v>249615.8</v>
      </c>
      <c r="H92" s="43"/>
    </row>
    <row r="93" spans="2:8" ht="15.75" customHeight="1"/>
    <row r="94" spans="2:8" ht="15.75" customHeight="1"/>
    <row r="95" spans="2:8" ht="15.75" customHeight="1">
      <c r="B95" s="22"/>
      <c r="C95" s="23" t="s">
        <v>132</v>
      </c>
      <c r="D95" s="24" t="s">
        <v>23</v>
      </c>
      <c r="E95" s="47"/>
      <c r="F95" s="26"/>
      <c r="G95" s="27"/>
      <c r="H95" s="28">
        <f>SUM(G96:G102)</f>
        <v>60000</v>
      </c>
    </row>
    <row r="96" spans="2:8" ht="15.75" customHeight="1">
      <c r="B96" s="30"/>
      <c r="C96" s="50" t="s">
        <v>129</v>
      </c>
      <c r="D96" s="32" t="s">
        <v>46</v>
      </c>
      <c r="E96" s="33">
        <v>6</v>
      </c>
      <c r="F96" s="34">
        <v>1849</v>
      </c>
      <c r="G96" s="35">
        <f t="shared" ref="G96:G101" si="12">+E96*F96</f>
        <v>11094</v>
      </c>
      <c r="H96" s="36"/>
    </row>
    <row r="97" spans="2:8" ht="15.75" customHeight="1">
      <c r="B97" s="30"/>
      <c r="C97" s="50" t="s">
        <v>133</v>
      </c>
      <c r="D97" s="32" t="s">
        <v>46</v>
      </c>
      <c r="E97" s="33">
        <v>3</v>
      </c>
      <c r="F97" s="34">
        <v>2059.666666666667</v>
      </c>
      <c r="G97" s="35">
        <f t="shared" si="12"/>
        <v>6179.0000000000009</v>
      </c>
      <c r="H97" s="36"/>
    </row>
    <row r="98" spans="2:8" ht="15.75" customHeight="1">
      <c r="B98" s="30"/>
      <c r="C98" s="50" t="s">
        <v>134</v>
      </c>
      <c r="D98" s="32" t="s">
        <v>94</v>
      </c>
      <c r="E98" s="33">
        <v>2</v>
      </c>
      <c r="F98" s="34">
        <v>4750</v>
      </c>
      <c r="G98" s="35">
        <f t="shared" si="12"/>
        <v>9500</v>
      </c>
      <c r="H98" s="36"/>
    </row>
    <row r="99" spans="2:8" ht="15.75" customHeight="1">
      <c r="B99" s="30"/>
      <c r="C99" s="50" t="s">
        <v>135</v>
      </c>
      <c r="D99" s="32" t="s">
        <v>94</v>
      </c>
      <c r="E99" s="33">
        <v>1</v>
      </c>
      <c r="F99" s="34">
        <v>5062.26</v>
      </c>
      <c r="G99" s="35">
        <f t="shared" si="12"/>
        <v>5062.26</v>
      </c>
      <c r="H99" s="36"/>
    </row>
    <row r="100" spans="2:8" ht="15.75" customHeight="1">
      <c r="B100" s="30"/>
      <c r="C100" s="31" t="s">
        <v>136</v>
      </c>
      <c r="D100" s="32" t="s">
        <v>94</v>
      </c>
      <c r="E100" s="33">
        <v>1</v>
      </c>
      <c r="F100" s="34">
        <v>2400</v>
      </c>
      <c r="G100" s="35">
        <f t="shared" si="12"/>
        <v>2400</v>
      </c>
      <c r="H100" s="36"/>
    </row>
    <row r="101" spans="2:8" ht="15.75" customHeight="1">
      <c r="B101" s="30"/>
      <c r="C101" s="50" t="s">
        <v>127</v>
      </c>
      <c r="D101" s="32" t="s">
        <v>94</v>
      </c>
      <c r="E101" s="33">
        <v>0.4</v>
      </c>
      <c r="F101" s="34">
        <v>4200</v>
      </c>
      <c r="G101" s="35">
        <f t="shared" si="12"/>
        <v>1680</v>
      </c>
      <c r="H101" s="36"/>
    </row>
    <row r="102" spans="2:8" ht="15.75" customHeight="1">
      <c r="B102" s="37"/>
      <c r="C102" s="54" t="s">
        <v>78</v>
      </c>
      <c r="D102" s="39" t="s">
        <v>72</v>
      </c>
      <c r="E102" s="40">
        <v>0.49</v>
      </c>
      <c r="F102" s="41">
        <v>49949</v>
      </c>
      <c r="G102" s="42">
        <f>+E102*F102-390.27</f>
        <v>24084.739999999998</v>
      </c>
      <c r="H102" s="43"/>
    </row>
    <row r="103" spans="2:8" ht="15.75" customHeight="1"/>
    <row r="104" spans="2:8" ht="15.75" customHeight="1"/>
    <row r="105" spans="2:8" ht="15.75" customHeight="1">
      <c r="B105" s="22"/>
      <c r="C105" s="23" t="s">
        <v>137</v>
      </c>
      <c r="D105" s="24" t="s">
        <v>94</v>
      </c>
      <c r="E105" s="47"/>
      <c r="F105" s="26"/>
      <c r="G105" s="27"/>
      <c r="H105" s="28">
        <v>351667</v>
      </c>
    </row>
    <row r="106" spans="2:8" ht="15.75" customHeight="1">
      <c r="B106" s="30"/>
      <c r="C106" s="50" t="s">
        <v>129</v>
      </c>
      <c r="D106" s="32" t="s">
        <v>46</v>
      </c>
      <c r="E106" s="33">
        <v>1.05</v>
      </c>
      <c r="F106" s="34">
        <v>1849</v>
      </c>
      <c r="G106" s="35">
        <v>1941.45</v>
      </c>
      <c r="H106" s="36"/>
    </row>
    <row r="107" spans="2:8" ht="15.75" customHeight="1">
      <c r="B107" s="30"/>
      <c r="C107" s="50" t="s">
        <v>138</v>
      </c>
      <c r="D107" s="32" t="s">
        <v>46</v>
      </c>
      <c r="E107" s="33">
        <v>1.05</v>
      </c>
      <c r="F107" s="34">
        <v>1349.0000000000002</v>
      </c>
      <c r="G107" s="35">
        <v>1416.45</v>
      </c>
      <c r="H107" s="36"/>
    </row>
    <row r="108" spans="2:8" ht="15.75" customHeight="1">
      <c r="B108" s="30"/>
      <c r="C108" s="50" t="s">
        <v>139</v>
      </c>
      <c r="D108" s="32" t="s">
        <v>94</v>
      </c>
      <c r="E108" s="33">
        <v>1</v>
      </c>
      <c r="F108" s="34">
        <v>32755.94</v>
      </c>
      <c r="G108" s="35">
        <v>32755.94</v>
      </c>
      <c r="H108" s="36"/>
    </row>
    <row r="109" spans="2:8" ht="15.75" customHeight="1">
      <c r="B109" s="30"/>
      <c r="C109" s="50" t="s">
        <v>140</v>
      </c>
      <c r="D109" s="32" t="s">
        <v>94</v>
      </c>
      <c r="E109" s="33">
        <v>6</v>
      </c>
      <c r="F109" s="34">
        <v>10591</v>
      </c>
      <c r="G109" s="35">
        <v>63546</v>
      </c>
      <c r="H109" s="36"/>
    </row>
    <row r="110" spans="2:8" ht="15.75" customHeight="1">
      <c r="B110" s="30"/>
      <c r="C110" s="31" t="s">
        <v>141</v>
      </c>
      <c r="D110" s="32" t="s">
        <v>94</v>
      </c>
      <c r="E110" s="33">
        <v>6</v>
      </c>
      <c r="F110" s="34">
        <v>377.00431034482699</v>
      </c>
      <c r="G110" s="35">
        <v>2262.0300000000002</v>
      </c>
      <c r="H110" s="36"/>
    </row>
    <row r="111" spans="2:8" ht="15.75" customHeight="1">
      <c r="B111" s="37"/>
      <c r="C111" s="54" t="s">
        <v>78</v>
      </c>
      <c r="D111" s="39" t="s">
        <v>72</v>
      </c>
      <c r="E111" s="40">
        <v>5</v>
      </c>
      <c r="F111" s="41">
        <v>49949</v>
      </c>
      <c r="G111" s="42">
        <v>249745</v>
      </c>
      <c r="H111" s="43"/>
    </row>
    <row r="112" spans="2:8" ht="15.75" customHeight="1"/>
    <row r="113" spans="2:8" ht="15.75" customHeight="1"/>
    <row r="114" spans="2:8" ht="15.75" customHeight="1">
      <c r="B114" s="22"/>
      <c r="C114" s="23" t="s">
        <v>142</v>
      </c>
      <c r="D114" s="24" t="s">
        <v>94</v>
      </c>
      <c r="E114" s="47"/>
      <c r="F114" s="26"/>
      <c r="G114" s="27"/>
      <c r="H114" s="28">
        <v>403333</v>
      </c>
    </row>
    <row r="115" spans="2:8" ht="15.75" customHeight="1">
      <c r="B115" s="30"/>
      <c r="C115" s="31" t="s">
        <v>143</v>
      </c>
      <c r="D115" s="32" t="s">
        <v>94</v>
      </c>
      <c r="E115" s="33">
        <v>1</v>
      </c>
      <c r="F115" s="34">
        <v>278460</v>
      </c>
      <c r="G115" s="35">
        <v>278460</v>
      </c>
      <c r="H115" s="36"/>
    </row>
    <row r="116" spans="2:8" ht="15.75" customHeight="1">
      <c r="B116" s="30"/>
      <c r="C116" s="50" t="s">
        <v>78</v>
      </c>
      <c r="D116" s="32" t="s">
        <v>72</v>
      </c>
      <c r="E116" s="33">
        <v>2</v>
      </c>
      <c r="F116" s="34">
        <v>49949</v>
      </c>
      <c r="G116" s="35">
        <v>99898</v>
      </c>
      <c r="H116" s="36"/>
    </row>
    <row r="117" spans="2:8" ht="15.75" customHeight="1">
      <c r="B117" s="52"/>
      <c r="C117" s="38" t="s">
        <v>87</v>
      </c>
      <c r="D117" s="39" t="s">
        <v>144</v>
      </c>
      <c r="E117" s="40">
        <v>0.25</v>
      </c>
      <c r="F117" s="41">
        <v>99898</v>
      </c>
      <c r="G117" s="42">
        <v>24974.5</v>
      </c>
      <c r="H117" s="53"/>
    </row>
    <row r="118" spans="2:8" ht="15.75" customHeight="1"/>
    <row r="119" spans="2:8" ht="15.75" hidden="1" customHeight="1"/>
    <row r="120" spans="2:8" ht="52.5" hidden="1" customHeight="1">
      <c r="B120" s="22"/>
      <c r="C120" s="23" t="s">
        <v>61</v>
      </c>
      <c r="D120" s="24" t="s">
        <v>35</v>
      </c>
      <c r="E120" s="47"/>
      <c r="F120" s="26"/>
      <c r="G120" s="27"/>
      <c r="H120" s="28">
        <f>SUM(G121:G125)-13.54</f>
        <v>84999.997800000012</v>
      </c>
    </row>
    <row r="121" spans="2:8" ht="15.75" hidden="1" customHeight="1">
      <c r="B121" s="30"/>
      <c r="C121" s="31" t="s">
        <v>145</v>
      </c>
      <c r="D121" s="32" t="s">
        <v>35</v>
      </c>
      <c r="E121" s="33">
        <v>1</v>
      </c>
      <c r="F121" s="57">
        <v>45000</v>
      </c>
      <c r="G121" s="35">
        <f t="shared" ref="G121:G123" si="13">+E121*F121</f>
        <v>45000</v>
      </c>
      <c r="H121" s="36"/>
    </row>
    <row r="122" spans="2:8" ht="15.75" hidden="1" customHeight="1">
      <c r="B122" s="30"/>
      <c r="C122" s="50" t="s">
        <v>146</v>
      </c>
      <c r="D122" s="32" t="s">
        <v>46</v>
      </c>
      <c r="E122" s="33">
        <v>2</v>
      </c>
      <c r="F122" s="34">
        <v>8996.4</v>
      </c>
      <c r="G122" s="35">
        <f t="shared" si="13"/>
        <v>17992.8</v>
      </c>
      <c r="H122" s="36"/>
    </row>
    <row r="123" spans="2:8" ht="15.75" hidden="1" customHeight="1">
      <c r="B123" s="30"/>
      <c r="C123" s="31" t="s">
        <v>147</v>
      </c>
      <c r="D123" s="32" t="s">
        <v>23</v>
      </c>
      <c r="E123" s="33">
        <v>21</v>
      </c>
      <c r="F123" s="34">
        <v>50</v>
      </c>
      <c r="G123" s="35">
        <f t="shared" si="13"/>
        <v>1050</v>
      </c>
      <c r="H123" s="36"/>
    </row>
    <row r="124" spans="2:8" ht="15.75" hidden="1" customHeight="1">
      <c r="B124" s="30"/>
      <c r="C124" s="31" t="s">
        <v>71</v>
      </c>
      <c r="D124" s="32" t="s">
        <v>72</v>
      </c>
      <c r="E124" s="56">
        <v>0.43</v>
      </c>
      <c r="F124" s="34">
        <v>45958</v>
      </c>
      <c r="G124" s="35">
        <f>+E124*F124-193.03</f>
        <v>19568.91</v>
      </c>
      <c r="H124" s="36"/>
    </row>
    <row r="125" spans="2:8" ht="15.75" hidden="1" customHeight="1">
      <c r="B125" s="52"/>
      <c r="C125" s="38" t="s">
        <v>87</v>
      </c>
      <c r="D125" s="39" t="s">
        <v>88</v>
      </c>
      <c r="E125" s="58">
        <v>0.06</v>
      </c>
      <c r="F125" s="41">
        <v>22289.63</v>
      </c>
      <c r="G125" s="35">
        <f>+E125*F125+64.45</f>
        <v>1401.8278</v>
      </c>
      <c r="H125" s="53"/>
    </row>
    <row r="126" spans="2:8" ht="15.75" hidden="1" customHeight="1"/>
    <row r="127" spans="2:8" ht="15.75" customHeight="1"/>
    <row r="128" spans="2:8" ht="24.75" customHeight="1">
      <c r="B128" s="22"/>
      <c r="C128" s="59" t="s">
        <v>148</v>
      </c>
      <c r="D128" s="60" t="s">
        <v>35</v>
      </c>
      <c r="E128" s="60"/>
      <c r="F128" s="60"/>
      <c r="G128" s="61"/>
      <c r="H128" s="28">
        <f>SUM(G129:G138)-0.21</f>
        <v>66568.996000218394</v>
      </c>
    </row>
    <row r="129" spans="2:8" ht="15.75" customHeight="1">
      <c r="B129" s="30"/>
      <c r="C129" s="50" t="s">
        <v>149</v>
      </c>
      <c r="D129" s="32" t="s">
        <v>46</v>
      </c>
      <c r="E129" s="33">
        <v>0.35</v>
      </c>
      <c r="F129" s="34">
        <v>1799.9999999999998</v>
      </c>
      <c r="G129" s="35">
        <f t="shared" ref="G129:G138" si="14">+E129*F129</f>
        <v>629.99999999999989</v>
      </c>
      <c r="H129" s="36"/>
    </row>
    <row r="130" spans="2:8" ht="15.75" customHeight="1">
      <c r="B130" s="30"/>
      <c r="C130" s="50" t="s">
        <v>150</v>
      </c>
      <c r="D130" s="32" t="s">
        <v>46</v>
      </c>
      <c r="E130" s="33">
        <v>0.7</v>
      </c>
      <c r="F130" s="34">
        <v>9500</v>
      </c>
      <c r="G130" s="35">
        <f t="shared" si="14"/>
        <v>6650</v>
      </c>
      <c r="H130" s="36"/>
    </row>
    <row r="131" spans="2:8" ht="15.75" customHeight="1">
      <c r="B131" s="30"/>
      <c r="C131" s="31" t="s">
        <v>97</v>
      </c>
      <c r="D131" s="32" t="s">
        <v>94</v>
      </c>
      <c r="E131" s="33">
        <v>12</v>
      </c>
      <c r="F131" s="34">
        <v>28.000000018200002</v>
      </c>
      <c r="G131" s="35">
        <f t="shared" si="14"/>
        <v>336.00000021840003</v>
      </c>
      <c r="H131" s="36"/>
    </row>
    <row r="132" spans="2:8" ht="15.75" customHeight="1">
      <c r="B132" s="30"/>
      <c r="C132" s="31" t="s">
        <v>98</v>
      </c>
      <c r="D132" s="32" t="s">
        <v>94</v>
      </c>
      <c r="E132" s="33">
        <v>12</v>
      </c>
      <c r="F132" s="34">
        <v>20.23</v>
      </c>
      <c r="G132" s="35">
        <f t="shared" si="14"/>
        <v>242.76</v>
      </c>
      <c r="H132" s="36"/>
    </row>
    <row r="133" spans="2:8" ht="15.75" customHeight="1">
      <c r="B133" s="30"/>
      <c r="C133" s="50" t="s">
        <v>151</v>
      </c>
      <c r="D133" s="32" t="s">
        <v>94</v>
      </c>
      <c r="E133" s="33">
        <v>10</v>
      </c>
      <c r="F133" s="34">
        <v>34.986000000000004</v>
      </c>
      <c r="G133" s="35">
        <f t="shared" si="14"/>
        <v>349.86</v>
      </c>
      <c r="H133" s="36"/>
    </row>
    <row r="134" spans="2:8" ht="15.75" customHeight="1">
      <c r="B134" s="30"/>
      <c r="C134" s="50" t="s">
        <v>152</v>
      </c>
      <c r="D134" s="32" t="s">
        <v>23</v>
      </c>
      <c r="E134" s="33">
        <v>0.6</v>
      </c>
      <c r="F134" s="34">
        <v>3518</v>
      </c>
      <c r="G134" s="35">
        <f t="shared" si="14"/>
        <v>2110.7999999999997</v>
      </c>
      <c r="H134" s="36"/>
    </row>
    <row r="135" spans="2:8" ht="15.75" customHeight="1">
      <c r="B135" s="30"/>
      <c r="C135" s="50" t="s">
        <v>153</v>
      </c>
      <c r="D135" s="32" t="s">
        <v>23</v>
      </c>
      <c r="E135" s="33">
        <v>0.65</v>
      </c>
      <c r="F135" s="34">
        <v>3615.0000000000005</v>
      </c>
      <c r="G135" s="35">
        <f t="shared" si="14"/>
        <v>2349.7500000000005</v>
      </c>
      <c r="H135" s="36"/>
    </row>
    <row r="136" spans="2:8" ht="15.75" customHeight="1">
      <c r="B136" s="30"/>
      <c r="C136" s="50" t="s">
        <v>154</v>
      </c>
      <c r="D136" s="32" t="s">
        <v>35</v>
      </c>
      <c r="E136" s="33">
        <v>1</v>
      </c>
      <c r="F136" s="34">
        <v>24395</v>
      </c>
      <c r="G136" s="35">
        <f t="shared" si="14"/>
        <v>24395</v>
      </c>
      <c r="H136" s="36"/>
    </row>
    <row r="137" spans="2:8" ht="15.75" customHeight="1">
      <c r="B137" s="30"/>
      <c r="C137" s="50" t="s">
        <v>71</v>
      </c>
      <c r="D137" s="32" t="s">
        <v>72</v>
      </c>
      <c r="E137" s="33">
        <v>0.6</v>
      </c>
      <c r="F137" s="34">
        <v>45958</v>
      </c>
      <c r="G137" s="35">
        <f t="shared" si="14"/>
        <v>27574.799999999999</v>
      </c>
      <c r="H137" s="36"/>
    </row>
    <row r="138" spans="2:8" ht="15.75" customHeight="1">
      <c r="B138" s="52"/>
      <c r="C138" s="38" t="s">
        <v>87</v>
      </c>
      <c r="D138" s="39" t="s">
        <v>88</v>
      </c>
      <c r="E138" s="40">
        <v>7.0000000000000007E-2</v>
      </c>
      <c r="F138" s="41">
        <v>27574.799999999999</v>
      </c>
      <c r="G138" s="42">
        <f t="shared" si="14"/>
        <v>1930.2360000000001</v>
      </c>
      <c r="H138" s="53"/>
    </row>
    <row r="139" spans="2:8" ht="15.75" customHeight="1"/>
    <row r="140" spans="2:8" ht="35.25" hidden="1" customHeight="1">
      <c r="B140" s="22"/>
      <c r="C140" s="62" t="s">
        <v>155</v>
      </c>
      <c r="D140" s="63" t="s">
        <v>94</v>
      </c>
      <c r="E140" s="47"/>
      <c r="F140" s="64"/>
      <c r="G140" s="61"/>
      <c r="H140" s="28">
        <f>SUM(G141:G146)</f>
        <v>630000.00200000009</v>
      </c>
    </row>
    <row r="141" spans="2:8" ht="15.75" hidden="1" customHeight="1">
      <c r="B141" s="30"/>
      <c r="C141" s="50" t="s">
        <v>156</v>
      </c>
      <c r="D141" s="32" t="s">
        <v>94</v>
      </c>
      <c r="E141" s="33">
        <v>1</v>
      </c>
      <c r="F141" s="34">
        <v>530116.66</v>
      </c>
      <c r="G141" s="35">
        <f t="shared" ref="G141:G146" si="15">+E141*F141</f>
        <v>530116.66</v>
      </c>
      <c r="H141" s="36"/>
    </row>
    <row r="142" spans="2:8" ht="15.75" hidden="1" customHeight="1">
      <c r="B142" s="30"/>
      <c r="C142" s="50" t="s">
        <v>157</v>
      </c>
      <c r="D142" s="32" t="s">
        <v>108</v>
      </c>
      <c r="E142" s="33">
        <v>0.2</v>
      </c>
      <c r="F142" s="34">
        <v>37750</v>
      </c>
      <c r="G142" s="35">
        <f t="shared" si="15"/>
        <v>7550</v>
      </c>
      <c r="H142" s="36"/>
    </row>
    <row r="143" spans="2:8" ht="15.75" hidden="1" customHeight="1">
      <c r="B143" s="30"/>
      <c r="C143" s="50" t="s">
        <v>158</v>
      </c>
      <c r="D143" s="32" t="s">
        <v>108</v>
      </c>
      <c r="E143" s="33">
        <v>0.14499999999999999</v>
      </c>
      <c r="F143" s="34">
        <v>62000</v>
      </c>
      <c r="G143" s="35">
        <f t="shared" si="15"/>
        <v>8990</v>
      </c>
      <c r="H143" s="36"/>
    </row>
    <row r="144" spans="2:8" ht="15.75" hidden="1" customHeight="1">
      <c r="B144" s="44"/>
      <c r="C144" s="50" t="s">
        <v>159</v>
      </c>
      <c r="D144" s="32" t="s">
        <v>160</v>
      </c>
      <c r="E144" s="33">
        <v>2.8000000000000001E-2</v>
      </c>
      <c r="F144" s="34">
        <v>407824</v>
      </c>
      <c r="G144" s="35">
        <f t="shared" si="15"/>
        <v>11419.072</v>
      </c>
      <c r="H144" s="46"/>
    </row>
    <row r="145" spans="2:9" ht="15.75" hidden="1" customHeight="1">
      <c r="B145" s="30"/>
      <c r="C145" s="50" t="s">
        <v>161</v>
      </c>
      <c r="D145" s="32" t="s">
        <v>72</v>
      </c>
      <c r="E145" s="33">
        <v>1.49</v>
      </c>
      <c r="F145" s="34">
        <v>45958</v>
      </c>
      <c r="G145" s="35">
        <f t="shared" si="15"/>
        <v>68477.42</v>
      </c>
      <c r="H145" s="36"/>
    </row>
    <row r="146" spans="2:9" ht="15.75" hidden="1" customHeight="1">
      <c r="B146" s="52"/>
      <c r="C146" s="38" t="s">
        <v>87</v>
      </c>
      <c r="D146" s="39" t="s">
        <v>144</v>
      </c>
      <c r="E146" s="40">
        <v>0.05</v>
      </c>
      <c r="F146" s="41">
        <v>68937</v>
      </c>
      <c r="G146" s="42">
        <f t="shared" si="15"/>
        <v>3446.8500000000004</v>
      </c>
      <c r="H146" s="53"/>
    </row>
    <row r="147" spans="2:9" ht="15.75" hidden="1" customHeight="1"/>
    <row r="148" spans="2:9" ht="15.75" customHeight="1"/>
    <row r="149" spans="2:9" ht="15.75" customHeight="1">
      <c r="B149" s="65"/>
      <c r="C149" s="66" t="s">
        <v>162</v>
      </c>
      <c r="D149" s="66" t="s">
        <v>35</v>
      </c>
      <c r="E149" s="67"/>
      <c r="F149" s="68"/>
      <c r="G149" s="68"/>
      <c r="H149" s="69">
        <f>SUM(G150:G156)+0.39</f>
        <v>225029.00050609501</v>
      </c>
    </row>
    <row r="150" spans="2:9" ht="15.75" customHeight="1">
      <c r="B150" s="70"/>
      <c r="C150" s="71" t="s">
        <v>163</v>
      </c>
      <c r="D150" s="71" t="s">
        <v>35</v>
      </c>
      <c r="E150" s="15">
        <v>1</v>
      </c>
      <c r="F150" s="72">
        <v>100000.000006095</v>
      </c>
      <c r="G150" s="72">
        <f t="shared" ref="G150:G156" si="16">+E150*F150</f>
        <v>100000.000006095</v>
      </c>
      <c r="H150" s="73"/>
    </row>
    <row r="151" spans="2:9" ht="15.75" customHeight="1">
      <c r="B151" s="70"/>
      <c r="C151" s="71" t="s">
        <v>159</v>
      </c>
      <c r="D151" s="71" t="s">
        <v>160</v>
      </c>
      <c r="E151" s="15">
        <v>0.05</v>
      </c>
      <c r="F151" s="72">
        <v>407824</v>
      </c>
      <c r="G151" s="72">
        <f t="shared" si="16"/>
        <v>20391.2</v>
      </c>
      <c r="H151" s="74"/>
    </row>
    <row r="152" spans="2:9" ht="15.75" customHeight="1">
      <c r="B152" s="70"/>
      <c r="C152" s="71" t="s">
        <v>164</v>
      </c>
      <c r="D152" s="71" t="s">
        <v>35</v>
      </c>
      <c r="E152" s="15">
        <v>1</v>
      </c>
      <c r="F152" s="72">
        <v>45000</v>
      </c>
      <c r="G152" s="72">
        <f t="shared" si="16"/>
        <v>45000</v>
      </c>
      <c r="H152" s="73"/>
      <c r="I152" s="326">
        <f>4*G152</f>
        <v>180000</v>
      </c>
    </row>
    <row r="153" spans="2:9" ht="15.75" customHeight="1">
      <c r="B153" s="70"/>
      <c r="C153" s="71" t="s">
        <v>158</v>
      </c>
      <c r="D153" s="71" t="s">
        <v>108</v>
      </c>
      <c r="E153" s="15">
        <v>0.2</v>
      </c>
      <c r="F153" s="72">
        <v>62000</v>
      </c>
      <c r="G153" s="72">
        <f t="shared" si="16"/>
        <v>12400</v>
      </c>
      <c r="H153" s="73"/>
      <c r="I153">
        <v>600000</v>
      </c>
    </row>
    <row r="154" spans="2:9" ht="15.75" customHeight="1">
      <c r="B154" s="70"/>
      <c r="C154" s="71" t="s">
        <v>165</v>
      </c>
      <c r="D154" s="71" t="s">
        <v>94</v>
      </c>
      <c r="E154" s="15">
        <v>0.4</v>
      </c>
      <c r="F154" s="72">
        <v>10120.950000000001</v>
      </c>
      <c r="G154" s="72">
        <f t="shared" si="16"/>
        <v>4048.3800000000006</v>
      </c>
      <c r="H154" s="73"/>
      <c r="I154" s="326">
        <f>+I153+I152</f>
        <v>780000</v>
      </c>
    </row>
    <row r="155" spans="2:9" ht="15.75" customHeight="1">
      <c r="B155" s="70"/>
      <c r="C155" s="71" t="s">
        <v>71</v>
      </c>
      <c r="D155" s="71" t="s">
        <v>72</v>
      </c>
      <c r="E155" s="15">
        <v>0.89500000000000002</v>
      </c>
      <c r="F155" s="72">
        <v>45958</v>
      </c>
      <c r="G155" s="72">
        <f t="shared" si="16"/>
        <v>41132.410000000003</v>
      </c>
      <c r="H155" s="73"/>
    </row>
    <row r="156" spans="2:9" ht="15.75" customHeight="1">
      <c r="B156" s="75"/>
      <c r="C156" s="76" t="s">
        <v>87</v>
      </c>
      <c r="D156" s="76" t="s">
        <v>144</v>
      </c>
      <c r="E156" s="77">
        <v>0.05</v>
      </c>
      <c r="F156" s="78">
        <v>41132.410000000003</v>
      </c>
      <c r="G156" s="78">
        <f t="shared" si="16"/>
        <v>2056.6205000000004</v>
      </c>
      <c r="H156" s="79"/>
    </row>
    <row r="157" spans="2:9" ht="15.75" customHeight="1"/>
    <row r="158" spans="2:9" ht="15.75" customHeight="1"/>
    <row r="159" spans="2:9" ht="40.5" customHeight="1">
      <c r="B159" s="22"/>
      <c r="C159" s="23" t="s">
        <v>166</v>
      </c>
      <c r="D159" s="24" t="s">
        <v>35</v>
      </c>
      <c r="E159" s="47"/>
      <c r="F159" s="26"/>
      <c r="G159" s="27"/>
      <c r="H159" s="28">
        <f>SUM(G160:G165)-0.06</f>
        <v>13803.996800000001</v>
      </c>
    </row>
    <row r="160" spans="2:9" ht="15.75" customHeight="1">
      <c r="B160" s="30"/>
      <c r="C160" s="50" t="s">
        <v>107</v>
      </c>
      <c r="D160" s="32" t="s">
        <v>108</v>
      </c>
      <c r="E160" s="33">
        <v>0.06</v>
      </c>
      <c r="F160" s="34">
        <v>50300</v>
      </c>
      <c r="G160" s="35">
        <f t="shared" ref="G160:G163" si="17">+E160*F160</f>
        <v>3018</v>
      </c>
      <c r="H160" s="36"/>
    </row>
    <row r="161" spans="2:8" ht="15.75" customHeight="1">
      <c r="B161" s="30"/>
      <c r="C161" s="50" t="s">
        <v>167</v>
      </c>
      <c r="D161" s="32" t="s">
        <v>94</v>
      </c>
      <c r="E161" s="33">
        <v>0.02</v>
      </c>
      <c r="F161" s="34">
        <v>7500</v>
      </c>
      <c r="G161" s="35">
        <f t="shared" si="17"/>
        <v>150</v>
      </c>
      <c r="H161" s="36"/>
    </row>
    <row r="162" spans="2:8" ht="15.75" customHeight="1">
      <c r="B162" s="30"/>
      <c r="C162" s="50" t="s">
        <v>96</v>
      </c>
      <c r="D162" s="32" t="s">
        <v>94</v>
      </c>
      <c r="E162" s="33">
        <v>0.2</v>
      </c>
      <c r="F162" s="34">
        <v>1200</v>
      </c>
      <c r="G162" s="35">
        <f t="shared" si="17"/>
        <v>240</v>
      </c>
      <c r="H162" s="36"/>
    </row>
    <row r="163" spans="2:8" ht="15.75" customHeight="1">
      <c r="B163" s="30"/>
      <c r="C163" s="50" t="s">
        <v>168</v>
      </c>
      <c r="D163" s="32" t="s">
        <v>94</v>
      </c>
      <c r="E163" s="33">
        <v>0.1</v>
      </c>
      <c r="F163" s="34">
        <v>9900</v>
      </c>
      <c r="G163" s="35">
        <f t="shared" si="17"/>
        <v>990</v>
      </c>
      <c r="H163" s="36"/>
    </row>
    <row r="164" spans="2:8" ht="15.75" customHeight="1">
      <c r="B164" s="30"/>
      <c r="C164" s="50" t="s">
        <v>76</v>
      </c>
      <c r="D164" s="32" t="s">
        <v>72</v>
      </c>
      <c r="E164" s="33">
        <v>0.1938</v>
      </c>
      <c r="F164" s="34">
        <v>45958</v>
      </c>
      <c r="G164" s="35">
        <f>+E164*F164+3.05</f>
        <v>8909.7103999999999</v>
      </c>
      <c r="H164" s="36"/>
    </row>
    <row r="165" spans="2:8" ht="15.75" customHeight="1">
      <c r="B165" s="37"/>
      <c r="C165" s="54" t="s">
        <v>87</v>
      </c>
      <c r="D165" s="39" t="s">
        <v>88</v>
      </c>
      <c r="E165" s="40">
        <v>0.06</v>
      </c>
      <c r="F165" s="41">
        <v>8272.44</v>
      </c>
      <c r="G165" s="42">
        <f>+E165*F165</f>
        <v>496.34640000000002</v>
      </c>
      <c r="H165" s="43"/>
    </row>
    <row r="166" spans="2:8" ht="15.75" customHeight="1"/>
    <row r="167" spans="2:8" ht="15.75" hidden="1" customHeight="1"/>
    <row r="168" spans="2:8" ht="48" hidden="1" customHeight="1">
      <c r="B168" s="22"/>
      <c r="C168" s="23" t="s">
        <v>169</v>
      </c>
      <c r="D168" s="24" t="s">
        <v>35</v>
      </c>
      <c r="E168" s="47"/>
      <c r="F168" s="26"/>
      <c r="G168" s="27"/>
      <c r="H168" s="28">
        <f>SUM(G169:G175)</f>
        <v>15964.004000000001</v>
      </c>
    </row>
    <row r="169" spans="2:8" ht="15.75" hidden="1" customHeight="1">
      <c r="B169" s="30"/>
      <c r="C169" s="50" t="s">
        <v>170</v>
      </c>
      <c r="D169" s="32" t="s">
        <v>108</v>
      </c>
      <c r="E169" s="33">
        <v>0.06</v>
      </c>
      <c r="F169" s="34">
        <v>79900</v>
      </c>
      <c r="G169" s="35">
        <f>+E169*F169+0.32</f>
        <v>4794.32</v>
      </c>
      <c r="H169" s="36"/>
    </row>
    <row r="170" spans="2:8" ht="15.75" hidden="1" customHeight="1">
      <c r="B170" s="44"/>
      <c r="C170" s="50" t="s">
        <v>171</v>
      </c>
      <c r="D170" s="32" t="s">
        <v>172</v>
      </c>
      <c r="E170" s="33">
        <v>0.54</v>
      </c>
      <c r="F170" s="34">
        <v>1500</v>
      </c>
      <c r="G170" s="35">
        <f t="shared" ref="G170:G175" si="18">+E170*F170</f>
        <v>810</v>
      </c>
      <c r="H170" s="46"/>
    </row>
    <row r="171" spans="2:8" ht="15.75" hidden="1" customHeight="1">
      <c r="B171" s="30"/>
      <c r="C171" s="50" t="s">
        <v>167</v>
      </c>
      <c r="D171" s="32" t="s">
        <v>94</v>
      </c>
      <c r="E171" s="33">
        <v>0.02</v>
      </c>
      <c r="F171" s="34">
        <v>7500</v>
      </c>
      <c r="G171" s="35">
        <f t="shared" si="18"/>
        <v>150</v>
      </c>
      <c r="H171" s="36"/>
    </row>
    <row r="172" spans="2:8" ht="15.75" hidden="1" customHeight="1">
      <c r="B172" s="30"/>
      <c r="C172" s="50" t="s">
        <v>168</v>
      </c>
      <c r="D172" s="32" t="s">
        <v>94</v>
      </c>
      <c r="E172" s="33">
        <v>0.1</v>
      </c>
      <c r="F172" s="34">
        <v>9900</v>
      </c>
      <c r="G172" s="35">
        <f t="shared" si="18"/>
        <v>990</v>
      </c>
      <c r="H172" s="36"/>
    </row>
    <row r="173" spans="2:8" ht="15.75" hidden="1" customHeight="1">
      <c r="B173" s="30"/>
      <c r="C173" s="50" t="s">
        <v>96</v>
      </c>
      <c r="D173" s="32" t="s">
        <v>94</v>
      </c>
      <c r="E173" s="33">
        <v>0.1</v>
      </c>
      <c r="F173" s="34">
        <v>1200</v>
      </c>
      <c r="G173" s="35">
        <f t="shared" si="18"/>
        <v>120</v>
      </c>
      <c r="H173" s="36"/>
    </row>
    <row r="174" spans="2:8" ht="15.75" hidden="1" customHeight="1">
      <c r="B174" s="30"/>
      <c r="C174" s="31" t="s">
        <v>76</v>
      </c>
      <c r="D174" s="32" t="s">
        <v>72</v>
      </c>
      <c r="E174" s="33">
        <v>0.18</v>
      </c>
      <c r="F174" s="34">
        <v>45958</v>
      </c>
      <c r="G174" s="35">
        <f t="shared" si="18"/>
        <v>8272.44</v>
      </c>
      <c r="H174" s="36"/>
    </row>
    <row r="175" spans="2:8" ht="15.75" hidden="1" customHeight="1">
      <c r="B175" s="52"/>
      <c r="C175" s="38" t="s">
        <v>87</v>
      </c>
      <c r="D175" s="39" t="s">
        <v>88</v>
      </c>
      <c r="E175" s="40">
        <v>0.1</v>
      </c>
      <c r="F175" s="41">
        <v>8272.44</v>
      </c>
      <c r="G175" s="42">
        <f t="shared" si="18"/>
        <v>827.24400000000014</v>
      </c>
      <c r="H175" s="53"/>
    </row>
    <row r="176" spans="2:8" ht="15.75" customHeight="1"/>
    <row r="177" spans="2:11" ht="51" customHeight="1">
      <c r="B177" s="22"/>
      <c r="C177" s="23" t="s">
        <v>54</v>
      </c>
      <c r="D177" s="24" t="s">
        <v>46</v>
      </c>
      <c r="E177" s="47"/>
      <c r="F177" s="26"/>
      <c r="G177" s="27"/>
      <c r="H177" s="28">
        <f>SUM(G178:G181)-0.004</f>
        <v>40600</v>
      </c>
      <c r="K177" s="80"/>
    </row>
    <row r="178" spans="2:11" ht="15.75" customHeight="1">
      <c r="B178" s="30"/>
      <c r="C178" s="50" t="s">
        <v>173</v>
      </c>
      <c r="D178" s="32" t="s">
        <v>46</v>
      </c>
      <c r="E178" s="33">
        <v>1</v>
      </c>
      <c r="F178" s="34">
        <f>53000/2</f>
        <v>26500</v>
      </c>
      <c r="G178" s="35">
        <f>+E178*F178+0.32</f>
        <v>26500.32</v>
      </c>
      <c r="H178" s="36"/>
    </row>
    <row r="179" spans="2:11" ht="15.75" customHeight="1">
      <c r="B179" s="44"/>
      <c r="C179" s="50" t="s">
        <v>174</v>
      </c>
      <c r="D179" s="32" t="s">
        <v>108</v>
      </c>
      <c r="E179" s="33">
        <v>1</v>
      </c>
      <c r="F179" s="34">
        <v>5000</v>
      </c>
      <c r="G179" s="35">
        <f t="shared" ref="G179:G181" si="19">+E179*F179</f>
        <v>5000</v>
      </c>
      <c r="H179" s="46"/>
    </row>
    <row r="180" spans="2:11" ht="15.75" customHeight="1">
      <c r="B180" s="30"/>
      <c r="C180" s="31" t="s">
        <v>175</v>
      </c>
      <c r="D180" s="32" t="s">
        <v>72</v>
      </c>
      <c r="E180" s="33">
        <v>0.18</v>
      </c>
      <c r="F180" s="34">
        <v>45958</v>
      </c>
      <c r="G180" s="35">
        <f t="shared" si="19"/>
        <v>8272.44</v>
      </c>
      <c r="H180" s="36"/>
    </row>
    <row r="181" spans="2:11" ht="15.75" customHeight="1">
      <c r="B181" s="52"/>
      <c r="C181" s="38" t="s">
        <v>87</v>
      </c>
      <c r="D181" s="39" t="s">
        <v>88</v>
      </c>
      <c r="E181" s="40">
        <v>0.1</v>
      </c>
      <c r="F181" s="41">
        <v>8272.44</v>
      </c>
      <c r="G181" s="42">
        <f t="shared" si="19"/>
        <v>827.24400000000014</v>
      </c>
      <c r="H181" s="53"/>
    </row>
    <row r="182" spans="2:11" ht="15.75" customHeight="1"/>
    <row r="183" spans="2:11" ht="15.75" customHeight="1"/>
    <row r="184" spans="2:11" ht="36" customHeight="1">
      <c r="B184" s="22"/>
      <c r="C184" s="81" t="s">
        <v>176</v>
      </c>
      <c r="D184" s="82" t="s">
        <v>94</v>
      </c>
      <c r="E184" s="47"/>
      <c r="F184" s="26"/>
      <c r="G184" s="27"/>
      <c r="H184" s="28">
        <f>SUM(G185:G189)-0.004</f>
        <v>800211.25599999994</v>
      </c>
    </row>
    <row r="185" spans="2:11" ht="15.75" customHeight="1">
      <c r="B185" s="30"/>
      <c r="C185" s="83" t="s">
        <v>177</v>
      </c>
      <c r="D185" s="84" t="s">
        <v>23</v>
      </c>
      <c r="E185" s="33">
        <v>1</v>
      </c>
      <c r="F185" s="57">
        <v>600415</v>
      </c>
      <c r="G185" s="35">
        <f>+E185*F185+0.32</f>
        <v>600415.31999999995</v>
      </c>
      <c r="H185" s="36"/>
    </row>
    <row r="186" spans="2:11" ht="15.75" customHeight="1">
      <c r="B186" s="44"/>
      <c r="C186" s="83" t="s">
        <v>178</v>
      </c>
      <c r="D186" s="84" t="s">
        <v>46</v>
      </c>
      <c r="E186" s="56">
        <v>25</v>
      </c>
      <c r="F186" s="57">
        <v>3500</v>
      </c>
      <c r="G186" s="35">
        <f>+E186*F186</f>
        <v>87500</v>
      </c>
      <c r="H186" s="46"/>
    </row>
    <row r="187" spans="2:11" ht="15.75" customHeight="1">
      <c r="B187" s="30"/>
      <c r="C187" s="85" t="s">
        <v>179</v>
      </c>
      <c r="D187" s="84" t="s">
        <v>23</v>
      </c>
      <c r="E187" s="56">
        <v>1</v>
      </c>
      <c r="F187" s="57">
        <v>29100</v>
      </c>
      <c r="G187" s="35">
        <f>E187*F187</f>
        <v>29100</v>
      </c>
      <c r="H187" s="36"/>
    </row>
    <row r="188" spans="2:11" ht="15.75" customHeight="1">
      <c r="B188" s="30"/>
      <c r="C188" s="31" t="str">
        <f>$C$82</f>
        <v>CUADRILLA EE - INSTALACIONES ELECTRICAS</v>
      </c>
      <c r="D188" s="32" t="str">
        <f>$D$82</f>
        <v>H/C</v>
      </c>
      <c r="E188" s="56">
        <v>1.5</v>
      </c>
      <c r="F188" s="34">
        <f>$F$82</f>
        <v>49949</v>
      </c>
      <c r="G188" s="35">
        <f t="shared" ref="G188:G189" si="20">+E188*F188</f>
        <v>74923.5</v>
      </c>
      <c r="H188" s="36"/>
    </row>
    <row r="189" spans="2:11" ht="15.75" customHeight="1">
      <c r="B189" s="52"/>
      <c r="C189" s="38" t="s">
        <v>87</v>
      </c>
      <c r="D189" s="39" t="s">
        <v>88</v>
      </c>
      <c r="E189" s="58">
        <v>1</v>
      </c>
      <c r="F189" s="41">
        <v>8272.44</v>
      </c>
      <c r="G189" s="42">
        <f t="shared" si="20"/>
        <v>8272.44</v>
      </c>
      <c r="H189" s="53"/>
    </row>
    <row r="190" spans="2:11" ht="15.75" customHeight="1"/>
    <row r="191" spans="2:11" ht="15.75" customHeight="1"/>
    <row r="192" spans="2:11"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I1000"/>
  <sheetViews>
    <sheetView workbookViewId="0"/>
  </sheetViews>
  <sheetFormatPr baseColWidth="10" defaultColWidth="14.42578125" defaultRowHeight="15" customHeight="1"/>
  <cols>
    <col min="1" max="2" width="10.7109375" customWidth="1"/>
    <col min="3" max="3" width="48.7109375" customWidth="1"/>
    <col min="4" max="5" width="10.7109375" customWidth="1"/>
    <col min="6" max="6" width="13.140625" customWidth="1"/>
    <col min="7" max="7" width="15.7109375" customWidth="1"/>
    <col min="8" max="8" width="16.7109375" customWidth="1"/>
    <col min="9" max="9" width="12" customWidth="1"/>
    <col min="10" max="26" width="10.7109375" customWidth="1"/>
  </cols>
  <sheetData>
    <row r="2" spans="2:9">
      <c r="B2" s="16" t="s">
        <v>69</v>
      </c>
      <c r="C2" s="17" t="s">
        <v>70</v>
      </c>
      <c r="D2" s="17"/>
      <c r="E2" s="17"/>
      <c r="F2" s="17"/>
      <c r="G2" s="18"/>
      <c r="H2" s="19"/>
    </row>
    <row r="3" spans="2:9">
      <c r="B3" s="20"/>
      <c r="C3" s="21"/>
      <c r="D3" s="21"/>
      <c r="E3" s="21"/>
      <c r="F3" s="21"/>
      <c r="G3" s="21"/>
      <c r="H3" s="21"/>
    </row>
    <row r="4" spans="2:9" ht="21.75" customHeight="1">
      <c r="B4" s="22"/>
      <c r="C4" s="23" t="s">
        <v>71</v>
      </c>
      <c r="D4" s="24" t="s">
        <v>72</v>
      </c>
      <c r="E4" s="25"/>
      <c r="F4" s="26"/>
      <c r="G4" s="27"/>
      <c r="H4" s="28">
        <f>+G5+G6</f>
        <v>45958</v>
      </c>
      <c r="I4" s="29"/>
    </row>
    <row r="5" spans="2:9">
      <c r="B5" s="30"/>
      <c r="C5" s="31" t="s">
        <v>73</v>
      </c>
      <c r="D5" s="32" t="s">
        <v>74</v>
      </c>
      <c r="E5" s="33">
        <v>2</v>
      </c>
      <c r="F5" s="34">
        <v>14479</v>
      </c>
      <c r="G5" s="35">
        <f t="shared" ref="G5:G6" si="0">+F5*E5</f>
        <v>28958</v>
      </c>
      <c r="H5" s="36"/>
    </row>
    <row r="6" spans="2:9">
      <c r="B6" s="37"/>
      <c r="C6" s="38" t="s">
        <v>75</v>
      </c>
      <c r="D6" s="39" t="s">
        <v>74</v>
      </c>
      <c r="E6" s="40">
        <v>1</v>
      </c>
      <c r="F6" s="41">
        <v>17000</v>
      </c>
      <c r="G6" s="42">
        <f t="shared" si="0"/>
        <v>17000</v>
      </c>
      <c r="H6" s="43"/>
    </row>
    <row r="7" spans="2:9">
      <c r="B7" s="44"/>
      <c r="C7" s="31"/>
      <c r="D7" s="32"/>
      <c r="E7" s="45"/>
      <c r="F7" s="34"/>
      <c r="G7" s="35"/>
      <c r="H7" s="46"/>
    </row>
    <row r="8" spans="2:9">
      <c r="B8" s="22"/>
      <c r="C8" s="23" t="s">
        <v>76</v>
      </c>
      <c r="D8" s="24" t="s">
        <v>72</v>
      </c>
      <c r="E8" s="47"/>
      <c r="F8" s="26"/>
      <c r="G8" s="27"/>
      <c r="H8" s="28">
        <f>+G9+G10+G11</f>
        <v>45958</v>
      </c>
    </row>
    <row r="9" spans="2:9">
      <c r="B9" s="30"/>
      <c r="C9" s="31" t="s">
        <v>73</v>
      </c>
      <c r="D9" s="32" t="s">
        <v>74</v>
      </c>
      <c r="E9" s="33">
        <v>1</v>
      </c>
      <c r="F9" s="34">
        <v>14479</v>
      </c>
      <c r="G9" s="35">
        <f t="shared" ref="G9:G11" si="1">+F9*E9</f>
        <v>14479</v>
      </c>
      <c r="H9" s="36"/>
    </row>
    <row r="10" spans="2:9">
      <c r="B10" s="30"/>
      <c r="C10" s="31" t="s">
        <v>77</v>
      </c>
      <c r="D10" s="32" t="s">
        <v>74</v>
      </c>
      <c r="E10" s="33">
        <v>1</v>
      </c>
      <c r="F10" s="34">
        <v>14479</v>
      </c>
      <c r="G10" s="35">
        <f t="shared" si="1"/>
        <v>14479</v>
      </c>
      <c r="H10" s="36"/>
    </row>
    <row r="11" spans="2:9">
      <c r="B11" s="37"/>
      <c r="C11" s="38" t="s">
        <v>75</v>
      </c>
      <c r="D11" s="39" t="s">
        <v>74</v>
      </c>
      <c r="E11" s="40">
        <v>1</v>
      </c>
      <c r="F11" s="41">
        <v>17000</v>
      </c>
      <c r="G11" s="42">
        <f t="shared" si="1"/>
        <v>17000</v>
      </c>
      <c r="H11" s="43"/>
    </row>
    <row r="12" spans="2:9">
      <c r="B12" s="44"/>
      <c r="C12" s="31"/>
      <c r="D12" s="32"/>
      <c r="E12" s="45"/>
      <c r="F12" s="34"/>
      <c r="G12" s="35"/>
      <c r="H12" s="46"/>
    </row>
    <row r="13" spans="2:9" ht="21.75" customHeight="1">
      <c r="B13" s="22"/>
      <c r="C13" s="23" t="s">
        <v>78</v>
      </c>
      <c r="D13" s="24" t="s">
        <v>72</v>
      </c>
      <c r="E13" s="47"/>
      <c r="F13" s="26"/>
      <c r="G13" s="27"/>
      <c r="H13" s="28">
        <f>+G14+G15</f>
        <v>49949</v>
      </c>
    </row>
    <row r="14" spans="2:9">
      <c r="B14" s="30"/>
      <c r="C14" s="31" t="s">
        <v>79</v>
      </c>
      <c r="D14" s="32" t="s">
        <v>74</v>
      </c>
      <c r="E14" s="33">
        <v>2</v>
      </c>
      <c r="F14" s="34">
        <v>15058</v>
      </c>
      <c r="G14" s="35">
        <f t="shared" ref="G14:G15" si="2">+F14*E14</f>
        <v>30116</v>
      </c>
      <c r="H14" s="36"/>
    </row>
    <row r="15" spans="2:9">
      <c r="B15" s="37"/>
      <c r="C15" s="38" t="s">
        <v>80</v>
      </c>
      <c r="D15" s="39" t="s">
        <v>74</v>
      </c>
      <c r="E15" s="40">
        <v>1</v>
      </c>
      <c r="F15" s="41">
        <v>19833</v>
      </c>
      <c r="G15" s="42">
        <f t="shared" si="2"/>
        <v>19833</v>
      </c>
      <c r="H15" s="43"/>
    </row>
    <row r="16" spans="2:9">
      <c r="B16" s="44"/>
      <c r="C16" s="31"/>
      <c r="D16" s="32"/>
      <c r="E16" s="45"/>
      <c r="F16" s="34"/>
      <c r="G16" s="35"/>
      <c r="H16" s="46"/>
    </row>
    <row r="17" spans="2:8" ht="20.25" customHeight="1">
      <c r="B17" s="22"/>
      <c r="C17" s="23" t="s">
        <v>81</v>
      </c>
      <c r="D17" s="24" t="s">
        <v>72</v>
      </c>
      <c r="E17" s="47"/>
      <c r="F17" s="26"/>
      <c r="G17" s="27"/>
      <c r="H17" s="28">
        <f>+G18+G19</f>
        <v>32612</v>
      </c>
    </row>
    <row r="18" spans="2:8" ht="33" customHeight="1">
      <c r="B18" s="30"/>
      <c r="C18" s="31" t="s">
        <v>82</v>
      </c>
      <c r="D18" s="32" t="s">
        <v>74</v>
      </c>
      <c r="E18" s="33">
        <v>1</v>
      </c>
      <c r="F18" s="34">
        <v>14479</v>
      </c>
      <c r="G18" s="35">
        <f t="shared" ref="G18:G19" si="3">+F18*E18</f>
        <v>14479</v>
      </c>
      <c r="H18" s="36"/>
    </row>
    <row r="19" spans="2:8" ht="18" customHeight="1">
      <c r="B19" s="37"/>
      <c r="C19" s="38" t="s">
        <v>83</v>
      </c>
      <c r="D19" s="39" t="s">
        <v>74</v>
      </c>
      <c r="E19" s="40">
        <v>1</v>
      </c>
      <c r="F19" s="41">
        <v>18133</v>
      </c>
      <c r="G19" s="42">
        <f t="shared" si="3"/>
        <v>18133</v>
      </c>
      <c r="H19" s="43"/>
    </row>
    <row r="20" spans="2:8">
      <c r="B20" s="48"/>
      <c r="C20" s="31"/>
      <c r="D20" s="32"/>
      <c r="E20" s="45"/>
      <c r="F20" s="34"/>
      <c r="G20" s="35"/>
      <c r="H20" s="49"/>
    </row>
    <row r="21" spans="2:8" ht="15.75" customHeight="1">
      <c r="B21" s="16" t="s">
        <v>84</v>
      </c>
      <c r="C21" s="17" t="s">
        <v>85</v>
      </c>
      <c r="D21" s="17"/>
      <c r="E21" s="17"/>
      <c r="F21" s="17"/>
      <c r="G21" s="18"/>
      <c r="H21" s="19"/>
    </row>
    <row r="22" spans="2:8" ht="15.75" customHeight="1"/>
    <row r="23" spans="2:8" ht="15.75" customHeight="1">
      <c r="B23" s="22"/>
      <c r="C23" s="23" t="s">
        <v>86</v>
      </c>
      <c r="D23" s="24" t="s">
        <v>35</v>
      </c>
      <c r="E23" s="47"/>
      <c r="F23" s="26"/>
      <c r="G23" s="27"/>
      <c r="H23" s="28">
        <v>19302</v>
      </c>
    </row>
    <row r="24" spans="2:8" ht="15.75" customHeight="1">
      <c r="B24" s="44"/>
      <c r="C24" s="50" t="s">
        <v>71</v>
      </c>
      <c r="D24" s="32" t="s">
        <v>72</v>
      </c>
      <c r="E24" s="33">
        <v>0.4</v>
      </c>
      <c r="F24" s="34">
        <v>45958</v>
      </c>
      <c r="G24" s="35">
        <v>18383.2</v>
      </c>
      <c r="H24" s="51"/>
    </row>
    <row r="25" spans="2:8" ht="15.75" customHeight="1">
      <c r="B25" s="52"/>
      <c r="C25" s="38" t="s">
        <v>87</v>
      </c>
      <c r="D25" s="39" t="s">
        <v>88</v>
      </c>
      <c r="E25" s="40">
        <v>0.05</v>
      </c>
      <c r="F25" s="41">
        <v>18383.2</v>
      </c>
      <c r="G25" s="42">
        <v>919.16000000000008</v>
      </c>
      <c r="H25" s="53"/>
    </row>
    <row r="26" spans="2:8" ht="15.75" customHeight="1"/>
    <row r="27" spans="2:8" ht="15.75" customHeight="1"/>
    <row r="28" spans="2:8" ht="15.75" customHeight="1">
      <c r="B28" s="22"/>
      <c r="C28" s="23" t="s">
        <v>92</v>
      </c>
      <c r="D28" s="24" t="s">
        <v>35</v>
      </c>
      <c r="E28" s="47"/>
      <c r="F28" s="26"/>
      <c r="G28" s="27"/>
      <c r="H28" s="28">
        <v>141825</v>
      </c>
    </row>
    <row r="29" spans="2:8" ht="15.75" customHeight="1">
      <c r="B29" s="30"/>
      <c r="C29" s="31" t="s">
        <v>93</v>
      </c>
      <c r="D29" s="32" t="s">
        <v>94</v>
      </c>
      <c r="E29" s="33">
        <v>0.42499999999999999</v>
      </c>
      <c r="F29" s="34">
        <v>9200</v>
      </c>
      <c r="G29" s="35">
        <v>3910</v>
      </c>
      <c r="H29" s="36"/>
    </row>
    <row r="30" spans="2:8" ht="15.75" customHeight="1">
      <c r="B30" s="30"/>
      <c r="C30" s="31" t="s">
        <v>95</v>
      </c>
      <c r="D30" s="32" t="s">
        <v>94</v>
      </c>
      <c r="E30" s="33">
        <v>0.79</v>
      </c>
      <c r="F30" s="34">
        <v>8900</v>
      </c>
      <c r="G30" s="35">
        <v>7031</v>
      </c>
      <c r="H30" s="36"/>
    </row>
    <row r="31" spans="2:8" ht="15.75" customHeight="1">
      <c r="B31" s="30"/>
      <c r="C31" s="50" t="s">
        <v>96</v>
      </c>
      <c r="D31" s="32" t="s">
        <v>94</v>
      </c>
      <c r="E31" s="33">
        <v>0.2</v>
      </c>
      <c r="F31" s="34">
        <v>1200</v>
      </c>
      <c r="G31" s="35">
        <v>240</v>
      </c>
      <c r="H31" s="36"/>
    </row>
    <row r="32" spans="2:8" ht="15.75" customHeight="1">
      <c r="B32" s="30"/>
      <c r="C32" s="31" t="s">
        <v>97</v>
      </c>
      <c r="D32" s="32" t="s">
        <v>94</v>
      </c>
      <c r="E32" s="33">
        <v>24</v>
      </c>
      <c r="F32" s="34">
        <v>28.000000018200002</v>
      </c>
      <c r="G32" s="35">
        <v>672</v>
      </c>
      <c r="H32" s="36"/>
    </row>
    <row r="33" spans="2:8" ht="15.75" customHeight="1">
      <c r="B33" s="30"/>
      <c r="C33" s="31" t="s">
        <v>98</v>
      </c>
      <c r="D33" s="32" t="s">
        <v>94</v>
      </c>
      <c r="E33" s="33">
        <v>16</v>
      </c>
      <c r="F33" s="34">
        <v>20.23</v>
      </c>
      <c r="G33" s="35">
        <v>323.68</v>
      </c>
      <c r="H33" s="36"/>
    </row>
    <row r="34" spans="2:8" ht="15.75" customHeight="1">
      <c r="B34" s="30"/>
      <c r="C34" s="31" t="s">
        <v>99</v>
      </c>
      <c r="D34" s="32" t="s">
        <v>94</v>
      </c>
      <c r="E34" s="33">
        <v>3</v>
      </c>
      <c r="F34" s="34">
        <v>137.44500000000002</v>
      </c>
      <c r="G34" s="35">
        <v>412.34</v>
      </c>
      <c r="H34" s="36"/>
    </row>
    <row r="35" spans="2:8" ht="15.75" customHeight="1">
      <c r="B35" s="30"/>
      <c r="C35" s="31" t="s">
        <v>100</v>
      </c>
      <c r="D35" s="32" t="s">
        <v>101</v>
      </c>
      <c r="E35" s="33">
        <v>1.6E-2</v>
      </c>
      <c r="F35" s="34">
        <v>12949.999999999998</v>
      </c>
      <c r="G35" s="35">
        <v>207.2</v>
      </c>
      <c r="H35" s="36"/>
    </row>
    <row r="36" spans="2:8" ht="15.75" customHeight="1">
      <c r="B36" s="30"/>
      <c r="C36" s="31" t="s">
        <v>102</v>
      </c>
      <c r="D36" s="32" t="s">
        <v>103</v>
      </c>
      <c r="E36" s="33">
        <v>0.05</v>
      </c>
      <c r="F36" s="34">
        <v>41900</v>
      </c>
      <c r="G36" s="35">
        <v>2095</v>
      </c>
      <c r="H36" s="36"/>
    </row>
    <row r="37" spans="2:8" ht="15.75" customHeight="1">
      <c r="B37" s="30"/>
      <c r="C37" s="31" t="s">
        <v>104</v>
      </c>
      <c r="D37" s="32" t="s">
        <v>94</v>
      </c>
      <c r="E37" s="33">
        <v>0.67186240257995167</v>
      </c>
      <c r="F37" s="34">
        <v>48000</v>
      </c>
      <c r="G37" s="35">
        <v>32249.4</v>
      </c>
      <c r="H37" s="36"/>
    </row>
    <row r="38" spans="2:8" ht="15.75" customHeight="1">
      <c r="B38" s="30"/>
      <c r="C38" s="31" t="s">
        <v>105</v>
      </c>
      <c r="D38" s="32" t="s">
        <v>106</v>
      </c>
      <c r="E38" s="33">
        <v>0.16835016835016833</v>
      </c>
      <c r="F38" s="34">
        <v>79900</v>
      </c>
      <c r="G38" s="35">
        <v>13451.18</v>
      </c>
      <c r="H38" s="36"/>
    </row>
    <row r="39" spans="2:8" ht="15.75" customHeight="1">
      <c r="B39" s="30"/>
      <c r="C39" s="50" t="s">
        <v>107</v>
      </c>
      <c r="D39" s="32" t="s">
        <v>108</v>
      </c>
      <c r="E39" s="33">
        <v>0.08</v>
      </c>
      <c r="F39" s="34">
        <v>50300</v>
      </c>
      <c r="G39" s="35">
        <v>4024</v>
      </c>
      <c r="H39" s="36"/>
    </row>
    <row r="40" spans="2:8" ht="15.75" customHeight="1">
      <c r="B40" s="30"/>
      <c r="C40" s="31" t="s">
        <v>71</v>
      </c>
      <c r="D40" s="32" t="s">
        <v>72</v>
      </c>
      <c r="E40" s="33">
        <v>1.5</v>
      </c>
      <c r="F40" s="34">
        <v>45958</v>
      </c>
      <c r="G40" s="35">
        <v>68937</v>
      </c>
      <c r="H40" s="36"/>
    </row>
    <row r="41" spans="2:8" ht="15.75" customHeight="1">
      <c r="B41" s="52"/>
      <c r="C41" s="38" t="s">
        <v>87</v>
      </c>
      <c r="D41" s="39" t="s">
        <v>88</v>
      </c>
      <c r="E41" s="40">
        <v>0.12</v>
      </c>
      <c r="F41" s="41">
        <v>68937</v>
      </c>
      <c r="G41" s="42">
        <v>8272.44</v>
      </c>
      <c r="H41" s="53"/>
    </row>
    <row r="42" spans="2:8" ht="15.75" customHeight="1"/>
    <row r="43" spans="2:8" ht="15.75" customHeight="1"/>
    <row r="44" spans="2:8" ht="15.75" customHeight="1">
      <c r="B44" s="22"/>
      <c r="C44" s="23" t="s">
        <v>180</v>
      </c>
      <c r="D44" s="24" t="s">
        <v>46</v>
      </c>
      <c r="E44" s="47"/>
      <c r="F44" s="26"/>
      <c r="G44" s="27"/>
      <c r="H44" s="28">
        <v>95182</v>
      </c>
    </row>
    <row r="45" spans="2:8" ht="15.75" customHeight="1">
      <c r="B45" s="30"/>
      <c r="C45" s="50" t="s">
        <v>109</v>
      </c>
      <c r="D45" s="32" t="s">
        <v>46</v>
      </c>
      <c r="E45" s="33">
        <v>1</v>
      </c>
      <c r="F45" s="34">
        <v>24851.007999999998</v>
      </c>
      <c r="G45" s="35">
        <v>24851.01</v>
      </c>
      <c r="H45" s="36"/>
    </row>
    <row r="46" spans="2:8" ht="15.75" customHeight="1">
      <c r="B46" s="30"/>
      <c r="C46" s="50" t="s">
        <v>110</v>
      </c>
      <c r="D46" s="32" t="s">
        <v>46</v>
      </c>
      <c r="E46" s="33">
        <v>1</v>
      </c>
      <c r="F46" s="34">
        <v>36354.5</v>
      </c>
      <c r="G46" s="35">
        <v>36354.5</v>
      </c>
      <c r="H46" s="36"/>
    </row>
    <row r="47" spans="2:8" ht="15.75" customHeight="1">
      <c r="B47" s="30"/>
      <c r="C47" s="50" t="s">
        <v>111</v>
      </c>
      <c r="D47" s="32" t="s">
        <v>46</v>
      </c>
      <c r="E47" s="33">
        <v>1</v>
      </c>
      <c r="F47" s="34">
        <v>11245.5</v>
      </c>
      <c r="G47" s="35">
        <v>11245.5</v>
      </c>
      <c r="H47" s="36"/>
    </row>
    <row r="48" spans="2:8" ht="15.75" customHeight="1">
      <c r="B48" s="30"/>
      <c r="C48" s="31" t="s">
        <v>112</v>
      </c>
      <c r="D48" s="32" t="s">
        <v>94</v>
      </c>
      <c r="E48" s="33">
        <v>1</v>
      </c>
      <c r="F48" s="34">
        <v>3999.999997245</v>
      </c>
      <c r="G48" s="35">
        <v>4000</v>
      </c>
      <c r="H48" s="36"/>
    </row>
    <row r="49" spans="2:8" ht="15.75" customHeight="1">
      <c r="B49" s="30"/>
      <c r="C49" s="50" t="s">
        <v>78</v>
      </c>
      <c r="D49" s="32" t="s">
        <v>72</v>
      </c>
      <c r="E49" s="33">
        <v>0.25</v>
      </c>
      <c r="F49" s="34">
        <v>49949</v>
      </c>
      <c r="G49" s="35">
        <v>12487.25</v>
      </c>
      <c r="H49" s="36"/>
    </row>
    <row r="50" spans="2:8" ht="15.75" customHeight="1">
      <c r="B50" s="52"/>
      <c r="C50" s="38" t="s">
        <v>87</v>
      </c>
      <c r="D50" s="39" t="s">
        <v>88</v>
      </c>
      <c r="E50" s="40">
        <v>0.5</v>
      </c>
      <c r="F50" s="41">
        <v>12487.25</v>
      </c>
      <c r="G50" s="42">
        <v>6243.63</v>
      </c>
      <c r="H50" s="53"/>
    </row>
    <row r="51" spans="2:8" ht="15.75" customHeight="1"/>
    <row r="52" spans="2:8" ht="15.75" customHeight="1"/>
    <row r="53" spans="2:8" ht="15.75" customHeight="1">
      <c r="B53" s="22"/>
      <c r="C53" s="23" t="s">
        <v>181</v>
      </c>
      <c r="D53" s="24" t="s">
        <v>94</v>
      </c>
      <c r="E53" s="47"/>
      <c r="F53" s="26"/>
      <c r="G53" s="27"/>
      <c r="H53" s="28">
        <v>165826</v>
      </c>
    </row>
    <row r="54" spans="2:8" ht="15.75" customHeight="1">
      <c r="B54" s="30"/>
      <c r="C54" s="31" t="s">
        <v>182</v>
      </c>
      <c r="D54" s="32" t="s">
        <v>115</v>
      </c>
      <c r="E54" s="33">
        <v>3</v>
      </c>
      <c r="F54" s="34">
        <v>11799</v>
      </c>
      <c r="G54" s="35">
        <v>35397</v>
      </c>
      <c r="H54" s="36"/>
    </row>
    <row r="55" spans="2:8" ht="15.75" customHeight="1">
      <c r="B55" s="30"/>
      <c r="C55" s="31" t="s">
        <v>116</v>
      </c>
      <c r="D55" s="32" t="s">
        <v>94</v>
      </c>
      <c r="E55" s="33">
        <v>2</v>
      </c>
      <c r="F55" s="34">
        <v>1390</v>
      </c>
      <c r="G55" s="35">
        <v>2780</v>
      </c>
      <c r="H55" s="36"/>
    </row>
    <row r="56" spans="2:8" ht="15.75" customHeight="1">
      <c r="B56" s="30"/>
      <c r="C56" s="31" t="s">
        <v>117</v>
      </c>
      <c r="D56" s="32" t="s">
        <v>94</v>
      </c>
      <c r="E56" s="33">
        <v>1</v>
      </c>
      <c r="F56" s="34">
        <v>6300</v>
      </c>
      <c r="G56" s="35">
        <v>6300</v>
      </c>
      <c r="H56" s="36"/>
    </row>
    <row r="57" spans="2:8" ht="15.75" customHeight="1">
      <c r="B57" s="30"/>
      <c r="C57" s="31" t="s">
        <v>183</v>
      </c>
      <c r="D57" s="32" t="s">
        <v>46</v>
      </c>
      <c r="E57" s="33">
        <v>11</v>
      </c>
      <c r="F57" s="34">
        <v>2410</v>
      </c>
      <c r="G57" s="35">
        <v>26510</v>
      </c>
      <c r="H57" s="36"/>
    </row>
    <row r="58" spans="2:8" ht="15.75" customHeight="1">
      <c r="B58" s="30"/>
      <c r="C58" s="31" t="s">
        <v>184</v>
      </c>
      <c r="D58" s="32" t="s">
        <v>94</v>
      </c>
      <c r="E58" s="33">
        <v>1</v>
      </c>
      <c r="F58" s="34">
        <v>34900</v>
      </c>
      <c r="G58" s="35">
        <v>34900</v>
      </c>
      <c r="H58" s="36"/>
    </row>
    <row r="59" spans="2:8" ht="15.75" customHeight="1">
      <c r="B59" s="37"/>
      <c r="C59" s="54" t="s">
        <v>78</v>
      </c>
      <c r="D59" s="39" t="s">
        <v>72</v>
      </c>
      <c r="E59" s="40">
        <v>1.2</v>
      </c>
      <c r="F59" s="41">
        <v>49949</v>
      </c>
      <c r="G59" s="42">
        <v>59938.8</v>
      </c>
      <c r="H59" s="43"/>
    </row>
    <row r="60" spans="2:8" ht="15.75" customHeight="1">
      <c r="B60" s="55"/>
      <c r="C60" s="50"/>
      <c r="D60" s="32"/>
      <c r="E60" s="33"/>
      <c r="F60" s="34"/>
      <c r="G60" s="35"/>
      <c r="H60" s="35"/>
    </row>
    <row r="61" spans="2:8" ht="15.75" customHeight="1"/>
    <row r="62" spans="2:8" ht="15.75" customHeight="1">
      <c r="B62" s="22" t="s">
        <v>120</v>
      </c>
      <c r="C62" s="23" t="s">
        <v>185</v>
      </c>
      <c r="D62" s="24" t="s">
        <v>94</v>
      </c>
      <c r="E62" s="47"/>
      <c r="F62" s="26"/>
      <c r="G62" s="27"/>
      <c r="H62" s="28">
        <v>174829</v>
      </c>
    </row>
    <row r="63" spans="2:8" ht="15.75" customHeight="1">
      <c r="B63" s="30"/>
      <c r="C63" s="31" t="s">
        <v>182</v>
      </c>
      <c r="D63" s="32" t="s">
        <v>115</v>
      </c>
      <c r="E63" s="33">
        <v>3</v>
      </c>
      <c r="F63" s="34">
        <v>11799</v>
      </c>
      <c r="G63" s="35">
        <v>35397</v>
      </c>
      <c r="H63" s="36"/>
    </row>
    <row r="64" spans="2:8" ht="15.75" customHeight="1">
      <c r="B64" s="30"/>
      <c r="C64" s="31" t="s">
        <v>122</v>
      </c>
      <c r="D64" s="32" t="s">
        <v>46</v>
      </c>
      <c r="E64" s="33">
        <v>15</v>
      </c>
      <c r="F64" s="34">
        <v>2098.032786885246</v>
      </c>
      <c r="G64" s="35">
        <v>31470.49</v>
      </c>
      <c r="H64" s="36"/>
    </row>
    <row r="65" spans="2:8" ht="15.75" customHeight="1">
      <c r="B65" s="30"/>
      <c r="C65" s="31" t="s">
        <v>123</v>
      </c>
      <c r="D65" s="32" t="s">
        <v>94</v>
      </c>
      <c r="E65" s="33">
        <v>2</v>
      </c>
      <c r="F65" s="34">
        <v>1499.4</v>
      </c>
      <c r="G65" s="35">
        <v>2998.8</v>
      </c>
      <c r="H65" s="36"/>
    </row>
    <row r="66" spans="2:8" ht="15.75" customHeight="1">
      <c r="B66" s="30"/>
      <c r="C66" s="31" t="s">
        <v>124</v>
      </c>
      <c r="D66" s="32" t="s">
        <v>94</v>
      </c>
      <c r="E66" s="33">
        <v>1</v>
      </c>
      <c r="F66" s="34">
        <v>27900.000034199998</v>
      </c>
      <c r="G66" s="35">
        <v>27900</v>
      </c>
      <c r="H66" s="36"/>
    </row>
    <row r="67" spans="2:8" ht="15.75" customHeight="1">
      <c r="B67" s="30"/>
      <c r="C67" s="31" t="s">
        <v>125</v>
      </c>
      <c r="D67" s="32" t="s">
        <v>94</v>
      </c>
      <c r="E67" s="33">
        <v>1</v>
      </c>
      <c r="F67" s="34">
        <v>11130.000005984999</v>
      </c>
      <c r="G67" s="35">
        <v>11130</v>
      </c>
      <c r="H67" s="36"/>
    </row>
    <row r="68" spans="2:8" ht="15.75" customHeight="1">
      <c r="B68" s="30"/>
      <c r="C68" s="50" t="s">
        <v>78</v>
      </c>
      <c r="D68" s="32" t="s">
        <v>72</v>
      </c>
      <c r="E68" s="33">
        <v>1.2</v>
      </c>
      <c r="F68" s="34">
        <v>49949</v>
      </c>
      <c r="G68" s="35">
        <v>59938.8</v>
      </c>
      <c r="H68" s="36"/>
    </row>
    <row r="69" spans="2:8" ht="15.75" customHeight="1">
      <c r="B69" s="52"/>
      <c r="C69" s="38" t="s">
        <v>87</v>
      </c>
      <c r="D69" s="39" t="s">
        <v>88</v>
      </c>
      <c r="E69" s="40">
        <v>0.1</v>
      </c>
      <c r="F69" s="41">
        <v>59938.8</v>
      </c>
      <c r="G69" s="42">
        <v>5993.880000000001</v>
      </c>
      <c r="H69" s="53"/>
    </row>
    <row r="70" spans="2:8" ht="15.75" customHeight="1"/>
    <row r="71" spans="2:8" ht="15.75" customHeight="1">
      <c r="B71" s="22"/>
      <c r="C71" s="23" t="s">
        <v>126</v>
      </c>
      <c r="D71" s="24" t="s">
        <v>94</v>
      </c>
      <c r="E71" s="47"/>
      <c r="F71" s="26"/>
      <c r="G71" s="27"/>
      <c r="H71" s="28">
        <v>74211</v>
      </c>
    </row>
    <row r="72" spans="2:8" ht="15.75" customHeight="1">
      <c r="B72" s="30"/>
      <c r="C72" s="50" t="s">
        <v>127</v>
      </c>
      <c r="D72" s="32" t="s">
        <v>46</v>
      </c>
      <c r="E72" s="33">
        <v>0.5</v>
      </c>
      <c r="F72" s="34">
        <v>4200</v>
      </c>
      <c r="G72" s="35">
        <v>2100</v>
      </c>
      <c r="H72" s="36"/>
    </row>
    <row r="73" spans="2:8" ht="15.75" customHeight="1">
      <c r="B73" s="30"/>
      <c r="C73" s="50" t="s">
        <v>128</v>
      </c>
      <c r="D73" s="32" t="s">
        <v>46</v>
      </c>
      <c r="E73" s="33">
        <v>1.5</v>
      </c>
      <c r="F73" s="34">
        <v>2999</v>
      </c>
      <c r="G73" s="35">
        <v>4498.5</v>
      </c>
      <c r="H73" s="36"/>
    </row>
    <row r="74" spans="2:8" ht="15.75" customHeight="1">
      <c r="B74" s="30"/>
      <c r="C74" s="50" t="s">
        <v>129</v>
      </c>
      <c r="D74" s="32" t="s">
        <v>46</v>
      </c>
      <c r="E74" s="33">
        <v>1.5</v>
      </c>
      <c r="F74" s="34">
        <v>1849</v>
      </c>
      <c r="G74" s="35">
        <v>2773.5</v>
      </c>
      <c r="H74" s="36"/>
    </row>
    <row r="75" spans="2:8" ht="15.75" customHeight="1">
      <c r="B75" s="30"/>
      <c r="C75" s="31" t="s">
        <v>119</v>
      </c>
      <c r="D75" s="32" t="s">
        <v>23</v>
      </c>
      <c r="E75" s="33">
        <v>1</v>
      </c>
      <c r="F75" s="34">
        <v>4900</v>
      </c>
      <c r="G75" s="35">
        <v>4900</v>
      </c>
      <c r="H75" s="36"/>
    </row>
    <row r="76" spans="2:8" ht="15.75" customHeight="1">
      <c r="B76" s="37"/>
      <c r="C76" s="54" t="s">
        <v>78</v>
      </c>
      <c r="D76" s="39" t="s">
        <v>72</v>
      </c>
      <c r="E76" s="40">
        <v>1.2</v>
      </c>
      <c r="F76" s="41">
        <v>49949</v>
      </c>
      <c r="G76" s="42">
        <v>59938.8</v>
      </c>
      <c r="H76" s="43"/>
    </row>
    <row r="77" spans="2:8" ht="15.75" customHeight="1"/>
    <row r="78" spans="2:8" ht="15.75" customHeight="1"/>
    <row r="79" spans="2:8" ht="15.75" customHeight="1">
      <c r="B79" s="22"/>
      <c r="C79" s="23" t="s">
        <v>132</v>
      </c>
      <c r="D79" s="24" t="s">
        <v>23</v>
      </c>
      <c r="E79" s="47"/>
      <c r="F79" s="26"/>
      <c r="G79" s="27"/>
      <c r="H79" s="28">
        <v>61310</v>
      </c>
    </row>
    <row r="80" spans="2:8" ht="15.75" customHeight="1">
      <c r="B80" s="30"/>
      <c r="C80" s="50" t="s">
        <v>129</v>
      </c>
      <c r="D80" s="32" t="s">
        <v>46</v>
      </c>
      <c r="E80" s="33">
        <v>6</v>
      </c>
      <c r="F80" s="34">
        <v>1849</v>
      </c>
      <c r="G80" s="35">
        <v>11094</v>
      </c>
      <c r="H80" s="36"/>
    </row>
    <row r="81" spans="2:8" ht="15.75" customHeight="1">
      <c r="B81" s="30"/>
      <c r="C81" s="50" t="s">
        <v>133</v>
      </c>
      <c r="D81" s="32" t="s">
        <v>46</v>
      </c>
      <c r="E81" s="33">
        <v>3</v>
      </c>
      <c r="F81" s="34">
        <v>2059.666666666667</v>
      </c>
      <c r="G81" s="35">
        <v>6179</v>
      </c>
      <c r="H81" s="36"/>
    </row>
    <row r="82" spans="2:8" ht="15.75" customHeight="1">
      <c r="B82" s="30"/>
      <c r="C82" s="50" t="s">
        <v>134</v>
      </c>
      <c r="D82" s="32" t="s">
        <v>94</v>
      </c>
      <c r="E82" s="33">
        <v>2</v>
      </c>
      <c r="F82" s="34">
        <v>4750</v>
      </c>
      <c r="G82" s="35">
        <v>9500</v>
      </c>
      <c r="H82" s="36"/>
    </row>
    <row r="83" spans="2:8" ht="15.75" customHeight="1">
      <c r="B83" s="30"/>
      <c r="C83" s="50" t="s">
        <v>135</v>
      </c>
      <c r="D83" s="32" t="s">
        <v>94</v>
      </c>
      <c r="E83" s="33">
        <v>1</v>
      </c>
      <c r="F83" s="34">
        <v>5062.26</v>
      </c>
      <c r="G83" s="35">
        <v>5062.26</v>
      </c>
      <c r="H83" s="36"/>
    </row>
    <row r="84" spans="2:8" ht="15.75" customHeight="1">
      <c r="B84" s="30"/>
      <c r="C84" s="31" t="s">
        <v>136</v>
      </c>
      <c r="D84" s="32" t="s">
        <v>94</v>
      </c>
      <c r="E84" s="33">
        <v>1</v>
      </c>
      <c r="F84" s="34">
        <v>2400</v>
      </c>
      <c r="G84" s="35">
        <v>2400</v>
      </c>
      <c r="H84" s="36"/>
    </row>
    <row r="85" spans="2:8" ht="15.75" customHeight="1">
      <c r="B85" s="30"/>
      <c r="C85" s="50" t="s">
        <v>127</v>
      </c>
      <c r="D85" s="32" t="s">
        <v>94</v>
      </c>
      <c r="E85" s="33">
        <v>0.5</v>
      </c>
      <c r="F85" s="34">
        <v>4200</v>
      </c>
      <c r="G85" s="35">
        <v>2100</v>
      </c>
      <c r="H85" s="36"/>
    </row>
    <row r="86" spans="2:8" ht="15.75" customHeight="1">
      <c r="B86" s="37"/>
      <c r="C86" s="54" t="s">
        <v>78</v>
      </c>
      <c r="D86" s="39" t="s">
        <v>72</v>
      </c>
      <c r="E86" s="40">
        <v>0.5</v>
      </c>
      <c r="F86" s="41">
        <v>49949</v>
      </c>
      <c r="G86" s="42">
        <v>24974.5</v>
      </c>
      <c r="H86" s="43"/>
    </row>
    <row r="87" spans="2:8" ht="15.75" customHeight="1"/>
    <row r="88" spans="2:8" ht="15.75" customHeight="1"/>
    <row r="89" spans="2:8" ht="15.75" customHeight="1">
      <c r="B89" s="22"/>
      <c r="C89" s="23" t="s">
        <v>137</v>
      </c>
      <c r="D89" s="24" t="s">
        <v>94</v>
      </c>
      <c r="E89" s="47"/>
      <c r="F89" s="26"/>
      <c r="G89" s="27"/>
      <c r="H89" s="28">
        <v>351667</v>
      </c>
    </row>
    <row r="90" spans="2:8" ht="15.75" customHeight="1">
      <c r="B90" s="30"/>
      <c r="C90" s="50" t="s">
        <v>129</v>
      </c>
      <c r="D90" s="32" t="s">
        <v>46</v>
      </c>
      <c r="E90" s="33">
        <v>1.05</v>
      </c>
      <c r="F90" s="34">
        <v>1849</v>
      </c>
      <c r="G90" s="35">
        <v>1941.45</v>
      </c>
      <c r="H90" s="36"/>
    </row>
    <row r="91" spans="2:8" ht="15.75" customHeight="1">
      <c r="B91" s="30"/>
      <c r="C91" s="50" t="s">
        <v>138</v>
      </c>
      <c r="D91" s="32" t="s">
        <v>46</v>
      </c>
      <c r="E91" s="33">
        <v>1.05</v>
      </c>
      <c r="F91" s="34">
        <v>1349.0000000000002</v>
      </c>
      <c r="G91" s="35">
        <v>1416.45</v>
      </c>
      <c r="H91" s="36"/>
    </row>
    <row r="92" spans="2:8" ht="15.75" customHeight="1">
      <c r="B92" s="30"/>
      <c r="C92" s="50" t="s">
        <v>139</v>
      </c>
      <c r="D92" s="32" t="s">
        <v>94</v>
      </c>
      <c r="E92" s="33">
        <v>1</v>
      </c>
      <c r="F92" s="34">
        <v>32755.94</v>
      </c>
      <c r="G92" s="35">
        <v>32755.94</v>
      </c>
      <c r="H92" s="36"/>
    </row>
    <row r="93" spans="2:8" ht="15.75" customHeight="1">
      <c r="B93" s="30"/>
      <c r="C93" s="50" t="s">
        <v>140</v>
      </c>
      <c r="D93" s="32" t="s">
        <v>94</v>
      </c>
      <c r="E93" s="33">
        <v>6</v>
      </c>
      <c r="F93" s="34">
        <v>10591</v>
      </c>
      <c r="G93" s="35">
        <v>63546</v>
      </c>
      <c r="H93" s="36"/>
    </row>
    <row r="94" spans="2:8" ht="15.75" customHeight="1">
      <c r="B94" s="30"/>
      <c r="C94" s="31" t="s">
        <v>141</v>
      </c>
      <c r="D94" s="32" t="s">
        <v>94</v>
      </c>
      <c r="E94" s="33">
        <v>6</v>
      </c>
      <c r="F94" s="34">
        <v>377.00431034482699</v>
      </c>
      <c r="G94" s="35">
        <v>2262.0300000000002</v>
      </c>
      <c r="H94" s="36"/>
    </row>
    <row r="95" spans="2:8" ht="15.75" customHeight="1">
      <c r="B95" s="37"/>
      <c r="C95" s="54" t="s">
        <v>78</v>
      </c>
      <c r="D95" s="39" t="s">
        <v>72</v>
      </c>
      <c r="E95" s="40">
        <v>5</v>
      </c>
      <c r="F95" s="41">
        <v>49949</v>
      </c>
      <c r="G95" s="42">
        <v>249745</v>
      </c>
      <c r="H95" s="43"/>
    </row>
    <row r="96" spans="2:8" ht="15.75" customHeight="1"/>
    <row r="97" spans="2:8" ht="15.75" customHeight="1"/>
    <row r="98" spans="2:8" ht="15.75" customHeight="1">
      <c r="B98" s="22"/>
      <c r="C98" s="23" t="s">
        <v>142</v>
      </c>
      <c r="D98" s="24" t="s">
        <v>94</v>
      </c>
      <c r="E98" s="47"/>
      <c r="F98" s="26"/>
      <c r="G98" s="27"/>
      <c r="H98" s="28">
        <v>403333</v>
      </c>
    </row>
    <row r="99" spans="2:8" ht="15.75" customHeight="1">
      <c r="B99" s="30"/>
      <c r="C99" s="31" t="s">
        <v>143</v>
      </c>
      <c r="D99" s="32" t="s">
        <v>94</v>
      </c>
      <c r="E99" s="33">
        <v>1</v>
      </c>
      <c r="F99" s="34">
        <v>278460</v>
      </c>
      <c r="G99" s="35">
        <v>278460</v>
      </c>
      <c r="H99" s="36"/>
    </row>
    <row r="100" spans="2:8" ht="15.75" customHeight="1">
      <c r="B100" s="30"/>
      <c r="C100" s="50" t="s">
        <v>78</v>
      </c>
      <c r="D100" s="32" t="s">
        <v>72</v>
      </c>
      <c r="E100" s="33">
        <v>2</v>
      </c>
      <c r="F100" s="34">
        <v>49949</v>
      </c>
      <c r="G100" s="35">
        <v>99898</v>
      </c>
      <c r="H100" s="36"/>
    </row>
    <row r="101" spans="2:8" ht="15.75" customHeight="1">
      <c r="B101" s="52"/>
      <c r="C101" s="38" t="s">
        <v>87</v>
      </c>
      <c r="D101" s="39" t="s">
        <v>144</v>
      </c>
      <c r="E101" s="40">
        <v>0.25</v>
      </c>
      <c r="F101" s="41">
        <v>99898</v>
      </c>
      <c r="G101" s="42">
        <v>24974.5</v>
      </c>
      <c r="H101" s="53"/>
    </row>
    <row r="102" spans="2:8" ht="15.75" customHeight="1"/>
    <row r="103" spans="2:8" ht="15.75" customHeight="1"/>
    <row r="104" spans="2:8" ht="15.75" customHeight="1">
      <c r="B104" s="22"/>
      <c r="C104" s="23" t="s">
        <v>186</v>
      </c>
      <c r="D104" s="24" t="s">
        <v>35</v>
      </c>
      <c r="E104" s="47"/>
      <c r="F104" s="26"/>
      <c r="G104" s="27"/>
      <c r="H104" s="28">
        <v>67104</v>
      </c>
    </row>
    <row r="105" spans="2:8" ht="15.75" customHeight="1">
      <c r="B105" s="30"/>
      <c r="C105" s="31" t="s">
        <v>187</v>
      </c>
      <c r="D105" s="32" t="s">
        <v>23</v>
      </c>
      <c r="E105" s="33">
        <v>2</v>
      </c>
      <c r="F105" s="34">
        <v>14700</v>
      </c>
      <c r="G105" s="35">
        <v>29400</v>
      </c>
      <c r="H105" s="36"/>
    </row>
    <row r="106" spans="2:8" ht="15.75" customHeight="1">
      <c r="B106" s="30"/>
      <c r="C106" s="50" t="s">
        <v>146</v>
      </c>
      <c r="D106" s="32" t="s">
        <v>23</v>
      </c>
      <c r="E106" s="33">
        <v>1.4</v>
      </c>
      <c r="F106" s="34">
        <v>8996.4</v>
      </c>
      <c r="G106" s="35">
        <v>12594.96</v>
      </c>
      <c r="H106" s="36"/>
    </row>
    <row r="107" spans="2:8" ht="15.75" customHeight="1">
      <c r="B107" s="30"/>
      <c r="C107" s="31" t="s">
        <v>188</v>
      </c>
      <c r="D107" s="32" t="s">
        <v>189</v>
      </c>
      <c r="E107" s="33">
        <v>0.1</v>
      </c>
      <c r="F107" s="34">
        <v>5900</v>
      </c>
      <c r="G107" s="35">
        <v>590</v>
      </c>
      <c r="H107" s="36"/>
    </row>
    <row r="108" spans="2:8" ht="15.75" customHeight="1">
      <c r="B108" s="30"/>
      <c r="C108" s="31" t="s">
        <v>71</v>
      </c>
      <c r="D108" s="32" t="s">
        <v>72</v>
      </c>
      <c r="E108" s="33">
        <v>0.48499999999999999</v>
      </c>
      <c r="F108" s="34">
        <v>45958</v>
      </c>
      <c r="G108" s="35">
        <v>22289.63</v>
      </c>
      <c r="H108" s="36"/>
    </row>
    <row r="109" spans="2:8" ht="15.75" customHeight="1">
      <c r="B109" s="52"/>
      <c r="C109" s="38" t="s">
        <v>87</v>
      </c>
      <c r="D109" s="39" t="s">
        <v>88</v>
      </c>
      <c r="E109" s="40">
        <v>0.1</v>
      </c>
      <c r="F109" s="41">
        <v>22289.63</v>
      </c>
      <c r="G109" s="42">
        <v>2228.96</v>
      </c>
      <c r="H109" s="53"/>
    </row>
    <row r="110" spans="2:8" ht="15.75" customHeight="1"/>
    <row r="111" spans="2:8" ht="15.75" customHeight="1"/>
    <row r="112" spans="2:8" ht="15.75" customHeight="1">
      <c r="B112" s="22"/>
      <c r="C112" s="59" t="s">
        <v>148</v>
      </c>
      <c r="D112" s="60" t="s">
        <v>35</v>
      </c>
      <c r="E112" s="60"/>
      <c r="F112" s="60"/>
      <c r="G112" s="61"/>
      <c r="H112" s="28">
        <v>66569</v>
      </c>
    </row>
    <row r="113" spans="2:8" ht="15.75" customHeight="1">
      <c r="B113" s="30"/>
      <c r="C113" s="50" t="s">
        <v>149</v>
      </c>
      <c r="D113" s="32" t="s">
        <v>46</v>
      </c>
      <c r="E113" s="33">
        <v>0.35</v>
      </c>
      <c r="F113" s="34">
        <v>1799.9999999999998</v>
      </c>
      <c r="G113" s="35">
        <v>629.99999999999989</v>
      </c>
      <c r="H113" s="36"/>
    </row>
    <row r="114" spans="2:8" ht="15.75" customHeight="1">
      <c r="B114" s="30"/>
      <c r="C114" s="50" t="s">
        <v>150</v>
      </c>
      <c r="D114" s="32" t="s">
        <v>46</v>
      </c>
      <c r="E114" s="33">
        <v>0.7</v>
      </c>
      <c r="F114" s="34">
        <v>9500</v>
      </c>
      <c r="G114" s="35">
        <v>6650</v>
      </c>
      <c r="H114" s="36"/>
    </row>
    <row r="115" spans="2:8" ht="15.75" customHeight="1">
      <c r="B115" s="30"/>
      <c r="C115" s="31" t="s">
        <v>97</v>
      </c>
      <c r="D115" s="32" t="s">
        <v>94</v>
      </c>
      <c r="E115" s="33">
        <v>12</v>
      </c>
      <c r="F115" s="34">
        <v>28.000000018200002</v>
      </c>
      <c r="G115" s="35">
        <v>336.00000021840003</v>
      </c>
      <c r="H115" s="36"/>
    </row>
    <row r="116" spans="2:8" ht="15.75" customHeight="1">
      <c r="B116" s="30"/>
      <c r="C116" s="31" t="s">
        <v>98</v>
      </c>
      <c r="D116" s="32" t="s">
        <v>94</v>
      </c>
      <c r="E116" s="33">
        <v>12</v>
      </c>
      <c r="F116" s="34">
        <v>20.23</v>
      </c>
      <c r="G116" s="35">
        <v>242.76</v>
      </c>
      <c r="H116" s="36"/>
    </row>
    <row r="117" spans="2:8" ht="15.75" customHeight="1">
      <c r="B117" s="30"/>
      <c r="C117" s="50" t="s">
        <v>151</v>
      </c>
      <c r="D117" s="32" t="s">
        <v>94</v>
      </c>
      <c r="E117" s="33">
        <v>10</v>
      </c>
      <c r="F117" s="34">
        <v>34.986000000000004</v>
      </c>
      <c r="G117" s="35">
        <v>349.86</v>
      </c>
      <c r="H117" s="36"/>
    </row>
    <row r="118" spans="2:8" ht="15.75" customHeight="1">
      <c r="B118" s="30"/>
      <c r="C118" s="50" t="s">
        <v>152</v>
      </c>
      <c r="D118" s="32" t="s">
        <v>23</v>
      </c>
      <c r="E118" s="33">
        <v>0.6</v>
      </c>
      <c r="F118" s="34">
        <v>3518</v>
      </c>
      <c r="G118" s="35">
        <v>2110.7999999999997</v>
      </c>
      <c r="H118" s="36"/>
    </row>
    <row r="119" spans="2:8" ht="15.75" customHeight="1">
      <c r="B119" s="30"/>
      <c r="C119" s="50" t="s">
        <v>153</v>
      </c>
      <c r="D119" s="32" t="s">
        <v>23</v>
      </c>
      <c r="E119" s="33">
        <v>0.65</v>
      </c>
      <c r="F119" s="34">
        <v>3615.0000000000005</v>
      </c>
      <c r="G119" s="35">
        <v>2349.7500000000005</v>
      </c>
      <c r="H119" s="36"/>
    </row>
    <row r="120" spans="2:8" ht="15.75" customHeight="1">
      <c r="B120" s="30"/>
      <c r="C120" s="50" t="s">
        <v>154</v>
      </c>
      <c r="D120" s="32" t="s">
        <v>35</v>
      </c>
      <c r="E120" s="33">
        <v>1</v>
      </c>
      <c r="F120" s="34">
        <v>24395</v>
      </c>
      <c r="G120" s="35">
        <v>24395</v>
      </c>
      <c r="H120" s="36"/>
    </row>
    <row r="121" spans="2:8" ht="15.75" customHeight="1">
      <c r="B121" s="30"/>
      <c r="C121" s="50" t="s">
        <v>71</v>
      </c>
      <c r="D121" s="32" t="s">
        <v>72</v>
      </c>
      <c r="E121" s="33">
        <v>0.6</v>
      </c>
      <c r="F121" s="34">
        <v>45958</v>
      </c>
      <c r="G121" s="35">
        <v>27574.799999999999</v>
      </c>
      <c r="H121" s="36"/>
    </row>
    <row r="122" spans="2:8" ht="15.75" customHeight="1">
      <c r="B122" s="52"/>
      <c r="C122" s="38" t="s">
        <v>87</v>
      </c>
      <c r="D122" s="39" t="s">
        <v>88</v>
      </c>
      <c r="E122" s="40">
        <v>7.0000000000000007E-2</v>
      </c>
      <c r="F122" s="41">
        <v>27574.799999999999</v>
      </c>
      <c r="G122" s="42">
        <v>1930.2360000000001</v>
      </c>
      <c r="H122" s="53"/>
    </row>
    <row r="123" spans="2:8" ht="15.75" customHeight="1"/>
    <row r="124" spans="2:8" ht="15.75" customHeight="1">
      <c r="B124" s="22"/>
      <c r="C124" s="62" t="s">
        <v>155</v>
      </c>
      <c r="D124" s="63" t="s">
        <v>94</v>
      </c>
      <c r="E124" s="47"/>
      <c r="F124" s="64"/>
      <c r="G124" s="61"/>
      <c r="H124" s="28">
        <v>641159</v>
      </c>
    </row>
    <row r="125" spans="2:8" ht="15.75" customHeight="1">
      <c r="B125" s="30"/>
      <c r="C125" s="50" t="s">
        <v>156</v>
      </c>
      <c r="D125" s="32" t="s">
        <v>94</v>
      </c>
      <c r="E125" s="33">
        <v>1</v>
      </c>
      <c r="F125" s="34">
        <v>540000</v>
      </c>
      <c r="G125" s="35">
        <v>540000</v>
      </c>
      <c r="H125" s="36"/>
    </row>
    <row r="126" spans="2:8" ht="15.75" customHeight="1">
      <c r="B126" s="30"/>
      <c r="C126" s="50" t="s">
        <v>157</v>
      </c>
      <c r="D126" s="32" t="s">
        <v>108</v>
      </c>
      <c r="E126" s="33">
        <v>0.2</v>
      </c>
      <c r="F126" s="34">
        <v>37750</v>
      </c>
      <c r="G126" s="35">
        <v>7550</v>
      </c>
      <c r="H126" s="36"/>
    </row>
    <row r="127" spans="2:8" ht="15.75" customHeight="1">
      <c r="B127" s="30"/>
      <c r="C127" s="50" t="s">
        <v>158</v>
      </c>
      <c r="D127" s="32" t="s">
        <v>108</v>
      </c>
      <c r="E127" s="33">
        <v>0.14499999999999999</v>
      </c>
      <c r="F127" s="34">
        <v>62000</v>
      </c>
      <c r="G127" s="35">
        <v>8990</v>
      </c>
      <c r="H127" s="36"/>
    </row>
    <row r="128" spans="2:8" ht="15.75" customHeight="1">
      <c r="B128" s="44"/>
      <c r="C128" s="50" t="s">
        <v>159</v>
      </c>
      <c r="D128" s="32" t="s">
        <v>160</v>
      </c>
      <c r="E128" s="33">
        <v>0.03</v>
      </c>
      <c r="F128" s="34">
        <v>407824</v>
      </c>
      <c r="G128" s="35">
        <v>12234.72</v>
      </c>
      <c r="H128" s="46"/>
    </row>
    <row r="129" spans="2:8" ht="15.75" customHeight="1">
      <c r="B129" s="30"/>
      <c r="C129" s="50" t="s">
        <v>161</v>
      </c>
      <c r="D129" s="32" t="s">
        <v>72</v>
      </c>
      <c r="E129" s="33">
        <v>1.5</v>
      </c>
      <c r="F129" s="34">
        <v>45958</v>
      </c>
      <c r="G129" s="35">
        <v>68937</v>
      </c>
      <c r="H129" s="36"/>
    </row>
    <row r="130" spans="2:8" ht="15.75" customHeight="1">
      <c r="B130" s="52"/>
      <c r="C130" s="38" t="s">
        <v>87</v>
      </c>
      <c r="D130" s="39" t="s">
        <v>144</v>
      </c>
      <c r="E130" s="40">
        <v>0.05</v>
      </c>
      <c r="F130" s="41">
        <v>68937</v>
      </c>
      <c r="G130" s="42">
        <v>3446.85</v>
      </c>
      <c r="H130" s="53"/>
    </row>
    <row r="131" spans="2:8" ht="15.75" customHeight="1"/>
    <row r="132" spans="2:8" ht="15.75" customHeight="1"/>
    <row r="133" spans="2:8" ht="15.75" customHeight="1">
      <c r="B133" s="65"/>
      <c r="C133" s="66" t="s">
        <v>162</v>
      </c>
      <c r="D133" s="66" t="s">
        <v>35</v>
      </c>
      <c r="E133" s="67"/>
      <c r="F133" s="68"/>
      <c r="G133" s="68"/>
      <c r="H133" s="69">
        <v>225029</v>
      </c>
    </row>
    <row r="134" spans="2:8" ht="15.75" customHeight="1">
      <c r="B134" s="70"/>
      <c r="C134" s="71" t="s">
        <v>163</v>
      </c>
      <c r="D134" s="71" t="s">
        <v>35</v>
      </c>
      <c r="E134" s="15">
        <v>1</v>
      </c>
      <c r="F134" s="72">
        <v>100000.000006095</v>
      </c>
      <c r="G134" s="72">
        <v>100000</v>
      </c>
      <c r="H134" s="73"/>
    </row>
    <row r="135" spans="2:8" ht="15.75" customHeight="1">
      <c r="B135" s="70"/>
      <c r="C135" s="71" t="s">
        <v>159</v>
      </c>
      <c r="D135" s="71" t="s">
        <v>160</v>
      </c>
      <c r="E135" s="15">
        <v>0.05</v>
      </c>
      <c r="F135" s="72">
        <v>407824</v>
      </c>
      <c r="G135" s="72">
        <v>20391.2</v>
      </c>
      <c r="H135" s="74"/>
    </row>
    <row r="136" spans="2:8" ht="15.75" customHeight="1">
      <c r="B136" s="70"/>
      <c r="C136" s="71" t="s">
        <v>164</v>
      </c>
      <c r="D136" s="71" t="s">
        <v>35</v>
      </c>
      <c r="E136" s="15">
        <v>1</v>
      </c>
      <c r="F136" s="72">
        <v>45000</v>
      </c>
      <c r="G136" s="72">
        <v>45000</v>
      </c>
      <c r="H136" s="73"/>
    </row>
    <row r="137" spans="2:8" ht="15.75" customHeight="1">
      <c r="B137" s="70"/>
      <c r="C137" s="71" t="s">
        <v>158</v>
      </c>
      <c r="D137" s="71" t="s">
        <v>108</v>
      </c>
      <c r="E137" s="15">
        <v>0.2</v>
      </c>
      <c r="F137" s="72">
        <v>62000</v>
      </c>
      <c r="G137" s="72">
        <v>12400</v>
      </c>
      <c r="H137" s="73"/>
    </row>
    <row r="138" spans="2:8" ht="15.75" customHeight="1">
      <c r="B138" s="70"/>
      <c r="C138" s="71" t="s">
        <v>165</v>
      </c>
      <c r="D138" s="71" t="s">
        <v>94</v>
      </c>
      <c r="E138" s="15">
        <v>0.4</v>
      </c>
      <c r="F138" s="72">
        <v>10120.950000000001</v>
      </c>
      <c r="G138" s="72">
        <v>4048.38</v>
      </c>
      <c r="H138" s="73"/>
    </row>
    <row r="139" spans="2:8" ht="15.75" customHeight="1">
      <c r="B139" s="70"/>
      <c r="C139" s="71" t="s">
        <v>71</v>
      </c>
      <c r="D139" s="71" t="s">
        <v>72</v>
      </c>
      <c r="E139" s="15">
        <v>0.89500000000000002</v>
      </c>
      <c r="F139" s="72">
        <v>45958</v>
      </c>
      <c r="G139" s="72">
        <v>41132.410000000003</v>
      </c>
      <c r="H139" s="73"/>
    </row>
    <row r="140" spans="2:8" ht="15.75" customHeight="1">
      <c r="B140" s="75"/>
      <c r="C140" s="76" t="s">
        <v>87</v>
      </c>
      <c r="D140" s="76" t="s">
        <v>144</v>
      </c>
      <c r="E140" s="77">
        <v>0.05</v>
      </c>
      <c r="F140" s="78">
        <v>41132.410000000003</v>
      </c>
      <c r="G140" s="78">
        <v>2056.62</v>
      </c>
      <c r="H140" s="79"/>
    </row>
    <row r="141" spans="2:8" ht="15.75" customHeight="1"/>
    <row r="142" spans="2:8" ht="15.75" customHeight="1"/>
    <row r="143" spans="2:8" ht="15.75" customHeight="1">
      <c r="B143" s="22"/>
      <c r="C143" s="23" t="s">
        <v>166</v>
      </c>
      <c r="D143" s="24" t="s">
        <v>35</v>
      </c>
      <c r="E143" s="47"/>
      <c r="F143" s="26"/>
      <c r="G143" s="27"/>
      <c r="H143" s="28">
        <v>13084</v>
      </c>
    </row>
    <row r="144" spans="2:8" ht="15.75" customHeight="1">
      <c r="B144" s="30"/>
      <c r="C144" s="50" t="s">
        <v>107</v>
      </c>
      <c r="D144" s="32" t="s">
        <v>108</v>
      </c>
      <c r="E144" s="33">
        <v>0.06</v>
      </c>
      <c r="F144" s="34">
        <v>50300</v>
      </c>
      <c r="G144" s="35">
        <v>3018</v>
      </c>
      <c r="H144" s="36"/>
    </row>
    <row r="145" spans="2:8" ht="15.75" customHeight="1">
      <c r="B145" s="30"/>
      <c r="C145" s="50" t="s">
        <v>167</v>
      </c>
      <c r="D145" s="32" t="s">
        <v>94</v>
      </c>
      <c r="E145" s="33">
        <v>0.02</v>
      </c>
      <c r="F145" s="34">
        <v>7500</v>
      </c>
      <c r="G145" s="35">
        <v>150</v>
      </c>
      <c r="H145" s="36"/>
    </row>
    <row r="146" spans="2:8" ht="15.75" customHeight="1">
      <c r="B146" s="30"/>
      <c r="C146" s="50" t="s">
        <v>96</v>
      </c>
      <c r="D146" s="32" t="s">
        <v>94</v>
      </c>
      <c r="E146" s="33">
        <v>0.2</v>
      </c>
      <c r="F146" s="34">
        <v>1200</v>
      </c>
      <c r="G146" s="35">
        <v>240</v>
      </c>
      <c r="H146" s="36"/>
    </row>
    <row r="147" spans="2:8" ht="15.75" customHeight="1">
      <c r="B147" s="30"/>
      <c r="C147" s="50" t="s">
        <v>168</v>
      </c>
      <c r="D147" s="32" t="s">
        <v>94</v>
      </c>
      <c r="E147" s="33">
        <v>0.1</v>
      </c>
      <c r="F147" s="34">
        <v>9900</v>
      </c>
      <c r="G147" s="35">
        <v>990</v>
      </c>
      <c r="H147" s="36"/>
    </row>
    <row r="148" spans="2:8" ht="15.75" customHeight="1">
      <c r="B148" s="30"/>
      <c r="C148" s="50" t="s">
        <v>76</v>
      </c>
      <c r="D148" s="32" t="s">
        <v>72</v>
      </c>
      <c r="E148" s="33">
        <v>0.18</v>
      </c>
      <c r="F148" s="34">
        <v>45958</v>
      </c>
      <c r="G148" s="35">
        <v>8272.44</v>
      </c>
      <c r="H148" s="36"/>
    </row>
    <row r="149" spans="2:8" ht="15.75" customHeight="1">
      <c r="B149" s="37"/>
      <c r="C149" s="54" t="s">
        <v>87</v>
      </c>
      <c r="D149" s="39" t="s">
        <v>88</v>
      </c>
      <c r="E149" s="40">
        <v>0.05</v>
      </c>
      <c r="F149" s="41">
        <v>8272.44</v>
      </c>
      <c r="G149" s="42">
        <v>413.62</v>
      </c>
      <c r="H149" s="43"/>
    </row>
    <row r="150" spans="2:8" ht="15.75" customHeight="1"/>
    <row r="151" spans="2:8" ht="15.75" customHeight="1"/>
    <row r="152" spans="2:8" ht="15.75" customHeight="1">
      <c r="B152" s="22"/>
      <c r="C152" s="23" t="s">
        <v>169</v>
      </c>
      <c r="D152" s="24" t="s">
        <v>35</v>
      </c>
      <c r="E152" s="47"/>
      <c r="F152" s="26"/>
      <c r="G152" s="27"/>
      <c r="H152" s="28">
        <v>15964</v>
      </c>
    </row>
    <row r="153" spans="2:8" ht="15.75" customHeight="1">
      <c r="B153" s="30"/>
      <c r="C153" s="50" t="s">
        <v>170</v>
      </c>
      <c r="D153" s="32" t="s">
        <v>108</v>
      </c>
      <c r="E153" s="33">
        <v>0.06</v>
      </c>
      <c r="F153" s="34">
        <v>79900</v>
      </c>
      <c r="G153" s="35">
        <v>4794</v>
      </c>
      <c r="H153" s="36"/>
    </row>
    <row r="154" spans="2:8" ht="15.75" customHeight="1">
      <c r="B154" s="44"/>
      <c r="C154" s="50" t="s">
        <v>171</v>
      </c>
      <c r="D154" s="32" t="s">
        <v>172</v>
      </c>
      <c r="E154" s="33">
        <v>0.54</v>
      </c>
      <c r="F154" s="34">
        <v>1500</v>
      </c>
      <c r="G154" s="35">
        <v>810</v>
      </c>
      <c r="H154" s="46"/>
    </row>
    <row r="155" spans="2:8" ht="15.75" customHeight="1">
      <c r="B155" s="30"/>
      <c r="C155" s="50" t="s">
        <v>167</v>
      </c>
      <c r="D155" s="32" t="s">
        <v>94</v>
      </c>
      <c r="E155" s="33">
        <v>0.02</v>
      </c>
      <c r="F155" s="34">
        <v>7500</v>
      </c>
      <c r="G155" s="35">
        <v>150</v>
      </c>
      <c r="H155" s="36"/>
    </row>
    <row r="156" spans="2:8" ht="15.75" customHeight="1">
      <c r="B156" s="30"/>
      <c r="C156" s="50" t="s">
        <v>168</v>
      </c>
      <c r="D156" s="32" t="s">
        <v>94</v>
      </c>
      <c r="E156" s="33">
        <v>0.1</v>
      </c>
      <c r="F156" s="34">
        <v>9900</v>
      </c>
      <c r="G156" s="35">
        <v>990</v>
      </c>
      <c r="H156" s="36"/>
    </row>
    <row r="157" spans="2:8" ht="15.75" customHeight="1">
      <c r="B157" s="30"/>
      <c r="C157" s="50" t="s">
        <v>96</v>
      </c>
      <c r="D157" s="32" t="s">
        <v>94</v>
      </c>
      <c r="E157" s="33">
        <v>0.1</v>
      </c>
      <c r="F157" s="34">
        <v>1200</v>
      </c>
      <c r="G157" s="35">
        <v>120</v>
      </c>
      <c r="H157" s="36"/>
    </row>
    <row r="158" spans="2:8" ht="15.75" customHeight="1">
      <c r="B158" s="30"/>
      <c r="C158" s="31" t="s">
        <v>76</v>
      </c>
      <c r="D158" s="32" t="s">
        <v>72</v>
      </c>
      <c r="E158" s="33">
        <v>0.18</v>
      </c>
      <c r="F158" s="34">
        <v>45958</v>
      </c>
      <c r="G158" s="35">
        <v>8272.44</v>
      </c>
      <c r="H158" s="36"/>
    </row>
    <row r="159" spans="2:8" ht="15.75" customHeight="1">
      <c r="B159" s="52"/>
      <c r="C159" s="38" t="s">
        <v>87</v>
      </c>
      <c r="D159" s="39" t="s">
        <v>88</v>
      </c>
      <c r="E159" s="40">
        <v>0.1</v>
      </c>
      <c r="F159" s="41">
        <v>8272.44</v>
      </c>
      <c r="G159" s="42">
        <v>827.24</v>
      </c>
      <c r="H159" s="53"/>
    </row>
    <row r="160" spans="2:8"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G1000"/>
  <sheetViews>
    <sheetView workbookViewId="0"/>
  </sheetViews>
  <sheetFormatPr baseColWidth="10" defaultColWidth="14.42578125" defaultRowHeight="15" customHeight="1"/>
  <cols>
    <col min="1" max="1" width="10.7109375" customWidth="1"/>
    <col min="2" max="2" width="30.5703125" customWidth="1"/>
    <col min="3" max="5" width="10.7109375" customWidth="1"/>
    <col min="6" max="6" width="17.140625" customWidth="1"/>
    <col min="7" max="7" width="16.85546875" customWidth="1"/>
    <col min="8" max="26" width="10.7109375" customWidth="1"/>
  </cols>
  <sheetData>
    <row r="2" spans="2:7">
      <c r="B2" s="910" t="s">
        <v>190</v>
      </c>
      <c r="C2" s="911"/>
      <c r="D2" s="912"/>
      <c r="E2" s="914" t="s">
        <v>191</v>
      </c>
      <c r="F2" s="911"/>
      <c r="G2" s="915"/>
    </row>
    <row r="3" spans="2:7">
      <c r="B3" s="913"/>
      <c r="C3" s="806"/>
      <c r="D3" s="807"/>
      <c r="E3" s="805"/>
      <c r="F3" s="806"/>
      <c r="G3" s="916"/>
    </row>
    <row r="4" spans="2:7">
      <c r="B4" s="917" t="s">
        <v>192</v>
      </c>
      <c r="C4" s="803"/>
      <c r="D4" s="803"/>
      <c r="E4" s="804"/>
      <c r="F4" s="86" t="s">
        <v>10</v>
      </c>
      <c r="G4" s="87">
        <v>42108</v>
      </c>
    </row>
    <row r="5" spans="2:7" ht="42" customHeight="1">
      <c r="B5" s="918"/>
      <c r="C5" s="919"/>
      <c r="D5" s="919"/>
      <c r="E5" s="920"/>
      <c r="F5" s="921">
        <v>0</v>
      </c>
      <c r="G5" s="922"/>
    </row>
    <row r="6" spans="2:7">
      <c r="B6" s="21"/>
      <c r="C6" s="21"/>
      <c r="D6" s="21"/>
      <c r="E6" s="21"/>
      <c r="F6" s="21"/>
      <c r="G6" s="21"/>
    </row>
    <row r="7" spans="2:7">
      <c r="B7" s="923" t="s">
        <v>193</v>
      </c>
      <c r="C7" s="911"/>
      <c r="D7" s="911"/>
      <c r="E7" s="924"/>
      <c r="F7" s="88"/>
      <c r="G7" s="89" t="s">
        <v>194</v>
      </c>
    </row>
    <row r="8" spans="2:7">
      <c r="B8" s="925"/>
      <c r="C8" s="926"/>
      <c r="D8" s="926"/>
      <c r="E8" s="927"/>
      <c r="F8" s="90"/>
      <c r="G8" s="91" t="s">
        <v>195</v>
      </c>
    </row>
    <row r="9" spans="2:7">
      <c r="B9" s="92" t="s">
        <v>65</v>
      </c>
      <c r="C9" s="93" t="s">
        <v>23</v>
      </c>
      <c r="D9" s="94" t="s">
        <v>196</v>
      </c>
      <c r="E9" s="94" t="s">
        <v>197</v>
      </c>
      <c r="F9" s="95" t="s">
        <v>198</v>
      </c>
      <c r="G9" s="96" t="s">
        <v>68</v>
      </c>
    </row>
    <row r="10" spans="2:7">
      <c r="B10" s="97"/>
      <c r="C10" s="98"/>
      <c r="D10" s="99"/>
      <c r="E10" s="99"/>
      <c r="F10" s="100"/>
      <c r="G10" s="101"/>
    </row>
    <row r="11" spans="2:7">
      <c r="B11" s="102" t="s">
        <v>199</v>
      </c>
      <c r="C11" s="98"/>
      <c r="D11" s="99"/>
      <c r="E11" s="99"/>
      <c r="F11" s="100"/>
      <c r="G11" s="101"/>
    </row>
    <row r="12" spans="2:7">
      <c r="B12" s="92" t="s">
        <v>87</v>
      </c>
      <c r="C12" s="93" t="s">
        <v>16</v>
      </c>
      <c r="D12" s="103">
        <v>0.05</v>
      </c>
      <c r="E12" s="94">
        <v>0</v>
      </c>
      <c r="F12" s="95">
        <v>1410.116</v>
      </c>
      <c r="G12" s="96">
        <v>70.5</v>
      </c>
    </row>
    <row r="13" spans="2:7">
      <c r="B13" s="97"/>
      <c r="C13" s="98"/>
      <c r="D13" s="99"/>
      <c r="E13" s="99"/>
      <c r="F13" s="100" t="s">
        <v>200</v>
      </c>
      <c r="G13" s="104">
        <v>70.5</v>
      </c>
    </row>
    <row r="14" spans="2:7">
      <c r="B14" s="105" t="s">
        <v>201</v>
      </c>
      <c r="C14" s="98"/>
      <c r="D14" s="99"/>
      <c r="E14" s="99"/>
      <c r="F14" s="100"/>
      <c r="G14" s="101"/>
    </row>
    <row r="15" spans="2:7">
      <c r="B15" s="92" t="s">
        <v>202</v>
      </c>
      <c r="C15" s="93" t="s">
        <v>23</v>
      </c>
      <c r="D15" s="94">
        <v>0.11</v>
      </c>
      <c r="E15" s="94">
        <v>0</v>
      </c>
      <c r="F15" s="95">
        <v>3500</v>
      </c>
      <c r="G15" s="96">
        <v>385</v>
      </c>
    </row>
    <row r="16" spans="2:7">
      <c r="B16" s="92" t="s">
        <v>203</v>
      </c>
      <c r="C16" s="93" t="s">
        <v>204</v>
      </c>
      <c r="D16" s="94">
        <v>0.02</v>
      </c>
      <c r="E16" s="94">
        <v>0</v>
      </c>
      <c r="F16" s="95">
        <v>2000</v>
      </c>
      <c r="G16" s="96">
        <v>40</v>
      </c>
    </row>
    <row r="17" spans="2:7">
      <c r="B17" s="92" t="s">
        <v>205</v>
      </c>
      <c r="C17" s="93" t="s">
        <v>206</v>
      </c>
      <c r="D17" s="94">
        <v>0.06</v>
      </c>
      <c r="E17" s="94">
        <v>0</v>
      </c>
      <c r="F17" s="95">
        <v>2500</v>
      </c>
      <c r="G17" s="96">
        <v>150</v>
      </c>
    </row>
    <row r="18" spans="2:7">
      <c r="B18" s="92" t="s">
        <v>207</v>
      </c>
      <c r="C18" s="93" t="s">
        <v>208</v>
      </c>
      <c r="D18" s="94">
        <v>5.0000000000000001E-3</v>
      </c>
      <c r="E18" s="94">
        <v>0</v>
      </c>
      <c r="F18" s="95">
        <v>7000</v>
      </c>
      <c r="G18" s="96">
        <v>35</v>
      </c>
    </row>
    <row r="19" spans="2:7">
      <c r="B19" s="97"/>
      <c r="C19" s="98"/>
      <c r="D19" s="99"/>
      <c r="E19" s="99"/>
      <c r="F19" s="100" t="s">
        <v>209</v>
      </c>
      <c r="G19" s="104">
        <v>610</v>
      </c>
    </row>
    <row r="20" spans="2:7">
      <c r="B20" s="106" t="s">
        <v>210</v>
      </c>
      <c r="C20" s="98" t="s">
        <v>211</v>
      </c>
      <c r="D20" s="98" t="s">
        <v>212</v>
      </c>
      <c r="E20" s="98" t="s">
        <v>213</v>
      </c>
      <c r="F20" s="107" t="s">
        <v>214</v>
      </c>
      <c r="G20" s="108" t="s">
        <v>215</v>
      </c>
    </row>
    <row r="21" spans="2:7" ht="15.75" customHeight="1">
      <c r="B21" s="92" t="s">
        <v>216</v>
      </c>
      <c r="C21" s="109">
        <v>101630</v>
      </c>
      <c r="D21" s="103">
        <v>1.85</v>
      </c>
      <c r="E21" s="110">
        <v>188015</v>
      </c>
      <c r="F21" s="111">
        <v>133.333</v>
      </c>
      <c r="G21" s="96">
        <v>1410.116</v>
      </c>
    </row>
    <row r="22" spans="2:7" ht="15.75" customHeight="1">
      <c r="B22" s="97"/>
      <c r="C22" s="98"/>
      <c r="D22" s="99"/>
      <c r="E22" s="99"/>
      <c r="F22" s="100" t="s">
        <v>217</v>
      </c>
      <c r="G22" s="104">
        <v>1410.116</v>
      </c>
    </row>
    <row r="23" spans="2:7" ht="15.75" customHeight="1">
      <c r="B23" s="97"/>
      <c r="C23" s="98"/>
      <c r="D23" s="99"/>
      <c r="E23" s="99"/>
      <c r="F23" s="100"/>
      <c r="G23" s="101"/>
    </row>
    <row r="24" spans="2:7" ht="15.75" customHeight="1">
      <c r="B24" s="112"/>
      <c r="C24" s="113"/>
      <c r="D24" s="114"/>
      <c r="E24" s="115" t="s">
        <v>218</v>
      </c>
      <c r="F24" s="116">
        <v>2090.616</v>
      </c>
      <c r="G24" s="117">
        <v>2091</v>
      </c>
    </row>
    <row r="25" spans="2:7" ht="15.75" customHeight="1">
      <c r="B25" s="118" t="s">
        <v>219</v>
      </c>
      <c r="C25" s="119"/>
      <c r="D25" s="120"/>
      <c r="E25" s="120"/>
      <c r="F25" s="121"/>
      <c r="G25" s="122"/>
    </row>
    <row r="26" spans="2:7" ht="15.75" customHeight="1">
      <c r="B26" s="123" t="s">
        <v>1</v>
      </c>
      <c r="C26" s="124"/>
      <c r="D26" s="125"/>
      <c r="E26" s="126">
        <v>0.15</v>
      </c>
      <c r="F26" s="127"/>
      <c r="G26" s="128">
        <v>313.64999999999998</v>
      </c>
    </row>
    <row r="27" spans="2:7" ht="15.75" customHeight="1">
      <c r="B27" s="123" t="s">
        <v>3</v>
      </c>
      <c r="C27" s="124"/>
      <c r="D27" s="125"/>
      <c r="E27" s="126">
        <v>0.05</v>
      </c>
      <c r="F27" s="127"/>
      <c r="G27" s="128">
        <v>104.55</v>
      </c>
    </row>
    <row r="28" spans="2:7" ht="15.75" customHeight="1">
      <c r="B28" s="123" t="s">
        <v>2</v>
      </c>
      <c r="C28" s="124"/>
      <c r="D28" s="125"/>
      <c r="E28" s="126">
        <v>0.05</v>
      </c>
      <c r="F28" s="127"/>
      <c r="G28" s="128">
        <v>104.55</v>
      </c>
    </row>
    <row r="29" spans="2:7" ht="15.75" customHeight="1">
      <c r="B29" s="123" t="s">
        <v>220</v>
      </c>
      <c r="C29" s="124"/>
      <c r="D29" s="125"/>
      <c r="E29" s="126">
        <v>0</v>
      </c>
      <c r="F29" s="127"/>
      <c r="G29" s="128">
        <v>0</v>
      </c>
    </row>
    <row r="30" spans="2:7" ht="15.75" customHeight="1">
      <c r="B30" s="105" t="s">
        <v>221</v>
      </c>
      <c r="C30" s="98"/>
      <c r="D30" s="99"/>
      <c r="E30" s="99"/>
      <c r="F30" s="129"/>
      <c r="G30" s="130">
        <v>522.75</v>
      </c>
    </row>
    <row r="31" spans="2:7" ht="15.75" customHeight="1">
      <c r="B31" s="131"/>
      <c r="C31" s="132"/>
      <c r="D31" s="114"/>
      <c r="E31" s="115" t="s">
        <v>222</v>
      </c>
      <c r="F31" s="133">
        <v>2613.75</v>
      </c>
      <c r="G31" s="117">
        <v>2614</v>
      </c>
    </row>
    <row r="32" spans="2:7" ht="15.75" customHeight="1">
      <c r="B32" s="21"/>
      <c r="C32" s="21"/>
      <c r="D32" s="21"/>
      <c r="E32" s="21"/>
      <c r="F32" s="21"/>
      <c r="G32" s="21"/>
    </row>
    <row r="33" spans="2:7" ht="15.75" customHeight="1">
      <c r="B33" s="21"/>
      <c r="C33" s="21"/>
      <c r="D33" s="21"/>
      <c r="E33" s="21"/>
      <c r="F33" s="21"/>
      <c r="G33" s="21"/>
    </row>
    <row r="34" spans="2:7" ht="15.75" customHeight="1">
      <c r="B34" s="923" t="s">
        <v>223</v>
      </c>
      <c r="C34" s="911"/>
      <c r="D34" s="911"/>
      <c r="E34" s="924"/>
      <c r="F34" s="88"/>
      <c r="G34" s="89" t="s">
        <v>194</v>
      </c>
    </row>
    <row r="35" spans="2:7" ht="15.75" customHeight="1">
      <c r="B35" s="925"/>
      <c r="C35" s="926"/>
      <c r="D35" s="926"/>
      <c r="E35" s="927"/>
      <c r="F35" s="90"/>
      <c r="G35" s="91" t="s">
        <v>195</v>
      </c>
    </row>
    <row r="36" spans="2:7" ht="15.75" customHeight="1">
      <c r="B36" s="92" t="s">
        <v>65</v>
      </c>
      <c r="C36" s="93" t="s">
        <v>23</v>
      </c>
      <c r="D36" s="94" t="s">
        <v>196</v>
      </c>
      <c r="E36" s="94" t="s">
        <v>197</v>
      </c>
      <c r="F36" s="95" t="s">
        <v>198</v>
      </c>
      <c r="G36" s="96" t="s">
        <v>68</v>
      </c>
    </row>
    <row r="37" spans="2:7" ht="15.75" customHeight="1">
      <c r="B37" s="97"/>
      <c r="C37" s="98"/>
      <c r="D37" s="99"/>
      <c r="E37" s="99"/>
      <c r="F37" s="100"/>
      <c r="G37" s="101"/>
    </row>
    <row r="38" spans="2:7" ht="15.75" customHeight="1">
      <c r="B38" s="102" t="s">
        <v>199</v>
      </c>
      <c r="C38" s="98"/>
      <c r="D38" s="99"/>
      <c r="E38" s="99"/>
      <c r="F38" s="100"/>
      <c r="G38" s="101"/>
    </row>
    <row r="39" spans="2:7" ht="15.75" customHeight="1">
      <c r="B39" s="92" t="s">
        <v>224</v>
      </c>
      <c r="C39" s="93" t="s">
        <v>225</v>
      </c>
      <c r="D39" s="94">
        <v>0.05</v>
      </c>
      <c r="E39" s="94"/>
      <c r="F39" s="95">
        <v>43500</v>
      </c>
      <c r="G39" s="96">
        <v>2175</v>
      </c>
    </row>
    <row r="40" spans="2:7" ht="15.75" customHeight="1">
      <c r="B40" s="92" t="s">
        <v>226</v>
      </c>
      <c r="C40" s="93" t="s">
        <v>172</v>
      </c>
      <c r="D40" s="94">
        <v>0.3</v>
      </c>
      <c r="E40" s="94">
        <v>0</v>
      </c>
      <c r="F40" s="95">
        <v>60</v>
      </c>
      <c r="G40" s="96">
        <v>18</v>
      </c>
    </row>
    <row r="41" spans="2:7" ht="15.75" customHeight="1">
      <c r="B41" s="92" t="s">
        <v>227</v>
      </c>
      <c r="C41" s="93" t="s">
        <v>228</v>
      </c>
      <c r="D41" s="94">
        <v>0.3</v>
      </c>
      <c r="E41" s="94">
        <v>0</v>
      </c>
      <c r="F41" s="95">
        <v>1200</v>
      </c>
      <c r="G41" s="96">
        <v>360</v>
      </c>
    </row>
    <row r="42" spans="2:7" ht="15.75" customHeight="1">
      <c r="B42" s="92" t="s">
        <v>229</v>
      </c>
      <c r="C42" s="93" t="s">
        <v>172</v>
      </c>
      <c r="D42" s="94">
        <v>0.2</v>
      </c>
      <c r="E42" s="94">
        <v>0</v>
      </c>
      <c r="F42" s="95">
        <v>520</v>
      </c>
      <c r="G42" s="96">
        <v>104</v>
      </c>
    </row>
    <row r="43" spans="2:7" ht="15.75" customHeight="1">
      <c r="B43" s="97"/>
      <c r="C43" s="98"/>
      <c r="D43" s="99"/>
      <c r="E43" s="99"/>
      <c r="F43" s="100" t="s">
        <v>200</v>
      </c>
      <c r="G43" s="104">
        <v>2657</v>
      </c>
    </row>
    <row r="44" spans="2:7" ht="15.75" customHeight="1">
      <c r="B44" s="106" t="s">
        <v>210</v>
      </c>
      <c r="C44" s="98" t="s">
        <v>211</v>
      </c>
      <c r="D44" s="98" t="s">
        <v>212</v>
      </c>
      <c r="E44" s="98" t="s">
        <v>213</v>
      </c>
      <c r="F44" s="107" t="s">
        <v>214</v>
      </c>
      <c r="G44" s="108" t="s">
        <v>215</v>
      </c>
    </row>
    <row r="45" spans="2:7" ht="15.75" customHeight="1">
      <c r="B45" s="92" t="s">
        <v>230</v>
      </c>
      <c r="C45" s="109">
        <v>184813</v>
      </c>
      <c r="D45" s="103">
        <v>1.85</v>
      </c>
      <c r="E45" s="110">
        <v>341904</v>
      </c>
      <c r="F45" s="111">
        <v>19.282</v>
      </c>
      <c r="G45" s="96">
        <v>17731.77</v>
      </c>
    </row>
    <row r="46" spans="2:7" ht="15.75" customHeight="1">
      <c r="B46" s="97"/>
      <c r="C46" s="98"/>
      <c r="D46" s="99"/>
      <c r="E46" s="99"/>
      <c r="F46" s="100" t="s">
        <v>217</v>
      </c>
      <c r="G46" s="104">
        <v>17731.77</v>
      </c>
    </row>
    <row r="47" spans="2:7" ht="15.75" customHeight="1">
      <c r="B47" s="97"/>
      <c r="C47" s="98"/>
      <c r="D47" s="99"/>
      <c r="E47" s="99"/>
      <c r="F47" s="100"/>
      <c r="G47" s="101"/>
    </row>
    <row r="48" spans="2:7" ht="15.75" customHeight="1">
      <c r="B48" s="112"/>
      <c r="C48" s="113"/>
      <c r="D48" s="114"/>
      <c r="E48" s="115" t="s">
        <v>218</v>
      </c>
      <c r="F48" s="116">
        <v>20388.77</v>
      </c>
      <c r="G48" s="117">
        <v>20389</v>
      </c>
    </row>
    <row r="49" spans="2:7" ht="15.75" customHeight="1">
      <c r="B49" s="118" t="s">
        <v>219</v>
      </c>
      <c r="C49" s="119"/>
      <c r="D49" s="120"/>
      <c r="E49" s="120"/>
      <c r="F49" s="121"/>
      <c r="G49" s="122"/>
    </row>
    <row r="50" spans="2:7" ht="15.75" customHeight="1">
      <c r="B50" s="123" t="s">
        <v>1</v>
      </c>
      <c r="C50" s="124"/>
      <c r="D50" s="125"/>
      <c r="E50" s="126">
        <v>0.15</v>
      </c>
      <c r="F50" s="127"/>
      <c r="G50" s="128">
        <v>3058.35</v>
      </c>
    </row>
    <row r="51" spans="2:7" ht="15.75" customHeight="1">
      <c r="B51" s="123" t="s">
        <v>3</v>
      </c>
      <c r="C51" s="124"/>
      <c r="D51" s="125"/>
      <c r="E51" s="126">
        <v>0.05</v>
      </c>
      <c r="F51" s="127"/>
      <c r="G51" s="128">
        <v>1019.45</v>
      </c>
    </row>
    <row r="52" spans="2:7" ht="15.75" customHeight="1">
      <c r="B52" s="123" t="s">
        <v>2</v>
      </c>
      <c r="C52" s="124"/>
      <c r="D52" s="125"/>
      <c r="E52" s="126">
        <v>0.05</v>
      </c>
      <c r="F52" s="127"/>
      <c r="G52" s="128">
        <v>1019.45</v>
      </c>
    </row>
    <row r="53" spans="2:7" ht="15.75" customHeight="1">
      <c r="B53" s="123" t="s">
        <v>220</v>
      </c>
      <c r="C53" s="124"/>
      <c r="D53" s="125"/>
      <c r="E53" s="126">
        <v>0</v>
      </c>
      <c r="F53" s="127"/>
      <c r="G53" s="128">
        <v>0</v>
      </c>
    </row>
    <row r="54" spans="2:7" ht="15.75" customHeight="1">
      <c r="B54" s="105" t="s">
        <v>221</v>
      </c>
      <c r="C54" s="98"/>
      <c r="D54" s="99"/>
      <c r="E54" s="99"/>
      <c r="F54" s="129"/>
      <c r="G54" s="130">
        <v>5097.25</v>
      </c>
    </row>
    <row r="55" spans="2:7" ht="15.75" customHeight="1">
      <c r="B55" s="131"/>
      <c r="C55" s="132"/>
      <c r="D55" s="114"/>
      <c r="E55" s="115" t="s">
        <v>222</v>
      </c>
      <c r="F55" s="133">
        <v>25486.25</v>
      </c>
      <c r="G55" s="117">
        <v>25486</v>
      </c>
    </row>
    <row r="56" spans="2:7" ht="15.75" customHeight="1">
      <c r="B56" s="21"/>
      <c r="C56" s="21"/>
      <c r="D56" s="21"/>
      <c r="E56" s="21"/>
      <c r="F56" s="21"/>
      <c r="G56" s="21"/>
    </row>
    <row r="57" spans="2:7" ht="15.75" customHeight="1">
      <c r="B57" s="21"/>
      <c r="C57" s="21"/>
      <c r="D57" s="21"/>
      <c r="E57" s="21"/>
      <c r="F57" s="21"/>
      <c r="G57" s="21"/>
    </row>
    <row r="58" spans="2:7" ht="15.75" customHeight="1">
      <c r="B58" s="923" t="s">
        <v>231</v>
      </c>
      <c r="C58" s="911"/>
      <c r="D58" s="911"/>
      <c r="E58" s="924"/>
      <c r="F58" s="88"/>
      <c r="G58" s="89" t="s">
        <v>232</v>
      </c>
    </row>
    <row r="59" spans="2:7" ht="15.75" customHeight="1">
      <c r="B59" s="925"/>
      <c r="C59" s="926"/>
      <c r="D59" s="926"/>
      <c r="E59" s="927"/>
      <c r="F59" s="90"/>
      <c r="G59" s="91" t="s">
        <v>195</v>
      </c>
    </row>
    <row r="60" spans="2:7" ht="15.75" customHeight="1">
      <c r="B60" s="92" t="s">
        <v>65</v>
      </c>
      <c r="C60" s="93" t="s">
        <v>23</v>
      </c>
      <c r="D60" s="94" t="s">
        <v>196</v>
      </c>
      <c r="E60" s="94" t="s">
        <v>197</v>
      </c>
      <c r="F60" s="95" t="s">
        <v>198</v>
      </c>
      <c r="G60" s="96" t="s">
        <v>68</v>
      </c>
    </row>
    <row r="61" spans="2:7" ht="15.75" customHeight="1">
      <c r="B61" s="97"/>
      <c r="C61" s="98"/>
      <c r="D61" s="99"/>
      <c r="E61" s="99"/>
      <c r="F61" s="100"/>
      <c r="G61" s="101"/>
    </row>
    <row r="62" spans="2:7" ht="15.75" customHeight="1">
      <c r="B62" s="102" t="s">
        <v>199</v>
      </c>
      <c r="C62" s="98"/>
      <c r="D62" s="99"/>
      <c r="E62" s="99"/>
      <c r="F62" s="100"/>
      <c r="G62" s="101"/>
    </row>
    <row r="63" spans="2:7" ht="15.75" customHeight="1">
      <c r="B63" s="92" t="s">
        <v>233</v>
      </c>
      <c r="C63" s="93" t="s">
        <v>160</v>
      </c>
      <c r="D63" s="94">
        <v>1.17</v>
      </c>
      <c r="E63" s="94">
        <v>0</v>
      </c>
      <c r="F63" s="95">
        <v>7000</v>
      </c>
      <c r="G63" s="96">
        <v>8190</v>
      </c>
    </row>
    <row r="64" spans="2:7" ht="15.75" customHeight="1">
      <c r="B64" s="92" t="s">
        <v>87</v>
      </c>
      <c r="C64" s="93" t="s">
        <v>16</v>
      </c>
      <c r="D64" s="103">
        <v>0.05</v>
      </c>
      <c r="E64" s="94">
        <v>0</v>
      </c>
      <c r="F64" s="95">
        <v>211490.43799999999</v>
      </c>
      <c r="G64" s="96">
        <v>10574.52</v>
      </c>
    </row>
    <row r="65" spans="2:7" ht="15.75" customHeight="1">
      <c r="B65" s="97"/>
      <c r="C65" s="98"/>
      <c r="D65" s="99"/>
      <c r="E65" s="99"/>
      <c r="F65" s="100" t="s">
        <v>200</v>
      </c>
      <c r="G65" s="104">
        <v>18764.52</v>
      </c>
    </row>
    <row r="66" spans="2:7" ht="15.75" customHeight="1">
      <c r="B66" s="105" t="s">
        <v>201</v>
      </c>
      <c r="C66" s="98"/>
      <c r="D66" s="99"/>
      <c r="E66" s="99"/>
      <c r="F66" s="100"/>
      <c r="G66" s="101"/>
    </row>
    <row r="67" spans="2:7" ht="15.75" customHeight="1">
      <c r="B67" s="92" t="s">
        <v>234</v>
      </c>
      <c r="C67" s="93" t="s">
        <v>160</v>
      </c>
      <c r="D67" s="94">
        <v>1.17</v>
      </c>
      <c r="E67" s="94">
        <v>0</v>
      </c>
      <c r="F67" s="95">
        <v>19000</v>
      </c>
      <c r="G67" s="96">
        <v>22230</v>
      </c>
    </row>
    <row r="68" spans="2:7" ht="15.75" customHeight="1">
      <c r="B68" s="92" t="s">
        <v>235</v>
      </c>
      <c r="C68" s="93" t="s">
        <v>23</v>
      </c>
      <c r="D68" s="94">
        <v>3</v>
      </c>
      <c r="E68" s="94">
        <v>0</v>
      </c>
      <c r="F68" s="95">
        <v>2100</v>
      </c>
      <c r="G68" s="96">
        <v>6300</v>
      </c>
    </row>
    <row r="69" spans="2:7" ht="15.75" customHeight="1">
      <c r="B69" s="92" t="s">
        <v>236</v>
      </c>
      <c r="C69" s="93" t="s">
        <v>23</v>
      </c>
      <c r="D69" s="94">
        <v>1</v>
      </c>
      <c r="E69" s="94">
        <v>0</v>
      </c>
      <c r="F69" s="95">
        <v>18328</v>
      </c>
      <c r="G69" s="96">
        <v>18328</v>
      </c>
    </row>
    <row r="70" spans="2:7" ht="15.75" customHeight="1">
      <c r="B70" s="92" t="s">
        <v>237</v>
      </c>
      <c r="C70" s="93" t="s">
        <v>23</v>
      </c>
      <c r="D70" s="94">
        <v>8</v>
      </c>
      <c r="E70" s="94">
        <v>0</v>
      </c>
      <c r="F70" s="95">
        <v>353</v>
      </c>
      <c r="G70" s="96">
        <v>2824</v>
      </c>
    </row>
    <row r="71" spans="2:7" ht="15.75" customHeight="1">
      <c r="B71" s="92" t="s">
        <v>238</v>
      </c>
      <c r="C71" s="93" t="s">
        <v>23</v>
      </c>
      <c r="D71" s="94">
        <v>12</v>
      </c>
      <c r="E71" s="94">
        <v>0</v>
      </c>
      <c r="F71" s="95">
        <v>2400</v>
      </c>
      <c r="G71" s="96">
        <v>28800</v>
      </c>
    </row>
    <row r="72" spans="2:7" ht="15.75" customHeight="1">
      <c r="B72" s="92" t="s">
        <v>203</v>
      </c>
      <c r="C72" s="93" t="s">
        <v>204</v>
      </c>
      <c r="D72" s="94">
        <v>3</v>
      </c>
      <c r="E72" s="94">
        <v>0</v>
      </c>
      <c r="F72" s="95">
        <v>2000</v>
      </c>
      <c r="G72" s="96">
        <v>6000</v>
      </c>
    </row>
    <row r="73" spans="2:7" ht="15.75" customHeight="1">
      <c r="B73" s="92" t="s">
        <v>239</v>
      </c>
      <c r="C73" s="93" t="s">
        <v>23</v>
      </c>
      <c r="D73" s="94">
        <v>44</v>
      </c>
      <c r="E73" s="94">
        <v>0</v>
      </c>
      <c r="F73" s="95">
        <v>8000</v>
      </c>
      <c r="G73" s="96">
        <v>352000</v>
      </c>
    </row>
    <row r="74" spans="2:7" ht="15.75" customHeight="1">
      <c r="B74" s="92" t="s">
        <v>240</v>
      </c>
      <c r="C74" s="93" t="s">
        <v>23</v>
      </c>
      <c r="D74" s="94">
        <v>8</v>
      </c>
      <c r="E74" s="94">
        <v>0</v>
      </c>
      <c r="F74" s="95">
        <v>24200</v>
      </c>
      <c r="G74" s="96">
        <v>193600</v>
      </c>
    </row>
    <row r="75" spans="2:7" ht="15.75" customHeight="1">
      <c r="B75" s="92" t="s">
        <v>241</v>
      </c>
      <c r="C75" s="93" t="s">
        <v>23</v>
      </c>
      <c r="D75" s="94">
        <v>1</v>
      </c>
      <c r="E75" s="94">
        <v>0</v>
      </c>
      <c r="F75" s="95">
        <v>2750</v>
      </c>
      <c r="G75" s="96">
        <v>2750</v>
      </c>
    </row>
    <row r="76" spans="2:7" ht="15.75" customHeight="1">
      <c r="B76" s="97"/>
      <c r="C76" s="98"/>
      <c r="D76" s="99"/>
      <c r="E76" s="99"/>
      <c r="F76" s="100" t="s">
        <v>209</v>
      </c>
      <c r="G76" s="104">
        <v>632832</v>
      </c>
    </row>
    <row r="77" spans="2:7" ht="15.75" customHeight="1">
      <c r="B77" s="106" t="s">
        <v>210</v>
      </c>
      <c r="C77" s="98" t="s">
        <v>211</v>
      </c>
      <c r="D77" s="98" t="s">
        <v>212</v>
      </c>
      <c r="E77" s="98" t="s">
        <v>213</v>
      </c>
      <c r="F77" s="107" t="s">
        <v>214</v>
      </c>
      <c r="G77" s="108" t="s">
        <v>215</v>
      </c>
    </row>
    <row r="78" spans="2:7" ht="15.75" customHeight="1">
      <c r="B78" s="92" t="s">
        <v>216</v>
      </c>
      <c r="C78" s="109">
        <v>101630</v>
      </c>
      <c r="D78" s="103">
        <v>1.85</v>
      </c>
      <c r="E78" s="110">
        <v>188015</v>
      </c>
      <c r="F78" s="111">
        <v>0.88900000000000001</v>
      </c>
      <c r="G78" s="96">
        <v>211490.43799999999</v>
      </c>
    </row>
    <row r="79" spans="2:7" ht="15.75" customHeight="1">
      <c r="B79" s="97"/>
      <c r="C79" s="98"/>
      <c r="D79" s="99"/>
      <c r="E79" s="99"/>
      <c r="F79" s="100" t="s">
        <v>217</v>
      </c>
      <c r="G79" s="104">
        <v>211490.43799999999</v>
      </c>
    </row>
    <row r="80" spans="2:7" ht="15.75" customHeight="1">
      <c r="B80" s="97"/>
      <c r="C80" s="98"/>
      <c r="D80" s="99"/>
      <c r="E80" s="99"/>
      <c r="F80" s="100"/>
      <c r="G80" s="101"/>
    </row>
    <row r="81" spans="2:7" ht="15.75" customHeight="1">
      <c r="B81" s="112"/>
      <c r="C81" s="113"/>
      <c r="D81" s="114"/>
      <c r="E81" s="115" t="s">
        <v>218</v>
      </c>
      <c r="F81" s="116">
        <v>863086.9580000001</v>
      </c>
      <c r="G81" s="117">
        <v>863087</v>
      </c>
    </row>
    <row r="82" spans="2:7" ht="15.75" customHeight="1">
      <c r="B82" s="118" t="s">
        <v>219</v>
      </c>
      <c r="C82" s="119"/>
      <c r="D82" s="120"/>
      <c r="E82" s="120"/>
      <c r="F82" s="121"/>
      <c r="G82" s="122"/>
    </row>
    <row r="83" spans="2:7" ht="15.75" customHeight="1">
      <c r="B83" s="123" t="s">
        <v>1</v>
      </c>
      <c r="C83" s="124"/>
      <c r="D83" s="125"/>
      <c r="E83" s="126">
        <v>0.15</v>
      </c>
      <c r="F83" s="127"/>
      <c r="G83" s="128">
        <v>129463.05</v>
      </c>
    </row>
    <row r="84" spans="2:7" ht="15.75" customHeight="1">
      <c r="B84" s="123" t="s">
        <v>3</v>
      </c>
      <c r="C84" s="124"/>
      <c r="D84" s="125"/>
      <c r="E84" s="126">
        <v>0.05</v>
      </c>
      <c r="F84" s="127"/>
      <c r="G84" s="128">
        <v>43154.35</v>
      </c>
    </row>
    <row r="85" spans="2:7" ht="15.75" customHeight="1">
      <c r="B85" s="123" t="s">
        <v>2</v>
      </c>
      <c r="C85" s="124"/>
      <c r="D85" s="125"/>
      <c r="E85" s="126">
        <v>0.05</v>
      </c>
      <c r="F85" s="127"/>
      <c r="G85" s="128">
        <v>43154.35</v>
      </c>
    </row>
    <row r="86" spans="2:7" ht="15.75" customHeight="1">
      <c r="B86" s="123" t="s">
        <v>220</v>
      </c>
      <c r="C86" s="124"/>
      <c r="D86" s="125"/>
      <c r="E86" s="126">
        <v>0</v>
      </c>
      <c r="F86" s="127"/>
      <c r="G86" s="128">
        <v>0</v>
      </c>
    </row>
    <row r="87" spans="2:7" ht="15.75" customHeight="1">
      <c r="B87" s="105" t="s">
        <v>221</v>
      </c>
      <c r="C87" s="98"/>
      <c r="D87" s="99"/>
      <c r="E87" s="99"/>
      <c r="F87" s="129"/>
      <c r="G87" s="130">
        <v>215771.75</v>
      </c>
    </row>
    <row r="88" spans="2:7" ht="15.75" customHeight="1">
      <c r="B88" s="131"/>
      <c r="C88" s="132"/>
      <c r="D88" s="114"/>
      <c r="E88" s="115" t="s">
        <v>222</v>
      </c>
      <c r="F88" s="133">
        <v>1078858.75</v>
      </c>
      <c r="G88" s="117">
        <v>1078859</v>
      </c>
    </row>
    <row r="89" spans="2:7" ht="15.75" customHeight="1">
      <c r="B89" s="21"/>
      <c r="C89" s="21"/>
      <c r="D89" s="21"/>
      <c r="E89" s="21"/>
      <c r="F89" s="21"/>
      <c r="G89" s="21"/>
    </row>
    <row r="90" spans="2:7" ht="15.75" customHeight="1">
      <c r="B90" s="21"/>
      <c r="C90" s="21"/>
      <c r="D90" s="21"/>
      <c r="E90" s="21"/>
      <c r="F90" s="21"/>
      <c r="G90" s="21"/>
    </row>
    <row r="91" spans="2:7" ht="15.75" customHeight="1">
      <c r="B91" s="923" t="s">
        <v>242</v>
      </c>
      <c r="C91" s="911"/>
      <c r="D91" s="911"/>
      <c r="E91" s="924"/>
      <c r="F91" s="88"/>
      <c r="G91" s="89" t="s">
        <v>194</v>
      </c>
    </row>
    <row r="92" spans="2:7" ht="15.75" customHeight="1">
      <c r="B92" s="925"/>
      <c r="C92" s="926"/>
      <c r="D92" s="926"/>
      <c r="E92" s="927"/>
      <c r="F92" s="90"/>
      <c r="G92" s="91" t="s">
        <v>195</v>
      </c>
    </row>
    <row r="93" spans="2:7" ht="15.75" customHeight="1">
      <c r="B93" s="92" t="s">
        <v>65</v>
      </c>
      <c r="C93" s="93" t="s">
        <v>23</v>
      </c>
      <c r="D93" s="94" t="s">
        <v>196</v>
      </c>
      <c r="E93" s="94" t="s">
        <v>197</v>
      </c>
      <c r="F93" s="95" t="s">
        <v>198</v>
      </c>
      <c r="G93" s="96" t="s">
        <v>68</v>
      </c>
    </row>
    <row r="94" spans="2:7" ht="15.75" customHeight="1">
      <c r="B94" s="97"/>
      <c r="C94" s="98"/>
      <c r="D94" s="99"/>
      <c r="E94" s="99"/>
      <c r="F94" s="100"/>
      <c r="G94" s="101"/>
    </row>
    <row r="95" spans="2:7" ht="15.75" customHeight="1">
      <c r="B95" s="102" t="s">
        <v>199</v>
      </c>
      <c r="C95" s="98"/>
      <c r="D95" s="99"/>
      <c r="E95" s="99"/>
      <c r="F95" s="100"/>
      <c r="G95" s="101"/>
    </row>
    <row r="96" spans="2:7" ht="15.75" customHeight="1">
      <c r="B96" s="92" t="s">
        <v>87</v>
      </c>
      <c r="C96" s="93" t="s">
        <v>16</v>
      </c>
      <c r="D96" s="103">
        <v>0.05</v>
      </c>
      <c r="E96" s="94">
        <v>0</v>
      </c>
      <c r="F96" s="95">
        <v>62671.665999999997</v>
      </c>
      <c r="G96" s="96">
        <v>3133.58</v>
      </c>
    </row>
    <row r="97" spans="2:7" ht="15.75" customHeight="1">
      <c r="B97" s="97"/>
      <c r="C97" s="98"/>
      <c r="D97" s="99"/>
      <c r="E97" s="99"/>
      <c r="F97" s="100" t="s">
        <v>200</v>
      </c>
      <c r="G97" s="104">
        <v>3133.58</v>
      </c>
    </row>
    <row r="98" spans="2:7" ht="15.75" customHeight="1">
      <c r="B98" s="106" t="s">
        <v>210</v>
      </c>
      <c r="C98" s="98" t="s">
        <v>211</v>
      </c>
      <c r="D98" s="98" t="s">
        <v>212</v>
      </c>
      <c r="E98" s="98" t="s">
        <v>213</v>
      </c>
      <c r="F98" s="107" t="s">
        <v>214</v>
      </c>
      <c r="G98" s="108" t="s">
        <v>215</v>
      </c>
    </row>
    <row r="99" spans="2:7" ht="15.75" customHeight="1">
      <c r="B99" s="134" t="s">
        <v>216</v>
      </c>
      <c r="C99" s="109">
        <v>101630</v>
      </c>
      <c r="D99" s="103">
        <v>1.85</v>
      </c>
      <c r="E99" s="110">
        <v>188015</v>
      </c>
      <c r="F99" s="111">
        <v>3</v>
      </c>
      <c r="G99" s="135">
        <v>62671.665999999997</v>
      </c>
    </row>
    <row r="100" spans="2:7" ht="15.75" customHeight="1">
      <c r="B100" s="97"/>
      <c r="C100" s="98"/>
      <c r="D100" s="99"/>
      <c r="E100" s="99"/>
      <c r="F100" s="100" t="s">
        <v>217</v>
      </c>
      <c r="G100" s="104">
        <v>62671.665999999997</v>
      </c>
    </row>
    <row r="101" spans="2:7" ht="15.75" customHeight="1">
      <c r="B101" s="97"/>
      <c r="C101" s="98"/>
      <c r="D101" s="99"/>
      <c r="E101" s="99"/>
      <c r="F101" s="100"/>
      <c r="G101" s="101"/>
    </row>
    <row r="102" spans="2:7" ht="15.75" customHeight="1">
      <c r="B102" s="112"/>
      <c r="C102" s="113"/>
      <c r="D102" s="114"/>
      <c r="E102" s="115" t="s">
        <v>218</v>
      </c>
      <c r="F102" s="116">
        <v>65805.245999999999</v>
      </c>
      <c r="G102" s="117">
        <v>65805</v>
      </c>
    </row>
    <row r="103" spans="2:7" ht="15.75" customHeight="1">
      <c r="B103" s="118" t="s">
        <v>219</v>
      </c>
      <c r="C103" s="119"/>
      <c r="D103" s="120"/>
      <c r="E103" s="120"/>
      <c r="F103" s="121"/>
      <c r="G103" s="122"/>
    </row>
    <row r="104" spans="2:7" ht="15.75" customHeight="1">
      <c r="B104" s="123" t="s">
        <v>1</v>
      </c>
      <c r="C104" s="124"/>
      <c r="D104" s="125"/>
      <c r="E104" s="126">
        <v>0.15</v>
      </c>
      <c r="F104" s="127"/>
      <c r="G104" s="128">
        <v>9870.75</v>
      </c>
    </row>
    <row r="105" spans="2:7" ht="15.75" customHeight="1">
      <c r="B105" s="123" t="s">
        <v>3</v>
      </c>
      <c r="C105" s="124"/>
      <c r="D105" s="125"/>
      <c r="E105" s="126">
        <v>0.05</v>
      </c>
      <c r="F105" s="127"/>
      <c r="G105" s="128">
        <v>3290.25</v>
      </c>
    </row>
    <row r="106" spans="2:7" ht="15.75" customHeight="1">
      <c r="B106" s="123" t="s">
        <v>2</v>
      </c>
      <c r="C106" s="124"/>
      <c r="D106" s="125"/>
      <c r="E106" s="126">
        <v>0.05</v>
      </c>
      <c r="F106" s="127"/>
      <c r="G106" s="128">
        <v>3290.25</v>
      </c>
    </row>
    <row r="107" spans="2:7" ht="15.75" customHeight="1">
      <c r="B107" s="123" t="s">
        <v>220</v>
      </c>
      <c r="C107" s="124"/>
      <c r="D107" s="125"/>
      <c r="E107" s="126">
        <v>0</v>
      </c>
      <c r="F107" s="127"/>
      <c r="G107" s="128">
        <v>0</v>
      </c>
    </row>
    <row r="108" spans="2:7" ht="15.75" customHeight="1">
      <c r="B108" s="105" t="s">
        <v>221</v>
      </c>
      <c r="C108" s="98"/>
      <c r="D108" s="99"/>
      <c r="E108" s="99"/>
      <c r="F108" s="129"/>
      <c r="G108" s="130">
        <v>16451.25</v>
      </c>
    </row>
    <row r="109" spans="2:7" ht="15.75" customHeight="1">
      <c r="B109" s="131"/>
      <c r="C109" s="132"/>
      <c r="D109" s="114"/>
      <c r="E109" s="115" t="s">
        <v>222</v>
      </c>
      <c r="F109" s="133">
        <v>82256.25</v>
      </c>
      <c r="G109" s="117">
        <v>82256</v>
      </c>
    </row>
    <row r="110" spans="2:7" ht="15.75" customHeight="1">
      <c r="B110" s="21"/>
      <c r="C110" s="21"/>
      <c r="D110" s="21"/>
      <c r="E110" s="21"/>
      <c r="F110" s="21"/>
      <c r="G110" s="21"/>
    </row>
    <row r="111" spans="2:7" ht="15.75" customHeight="1"/>
    <row r="112" spans="2:7" ht="15.75" customHeight="1">
      <c r="B112" s="21"/>
      <c r="C112" s="21"/>
      <c r="D112" s="21"/>
      <c r="E112" s="21"/>
      <c r="F112" s="21"/>
      <c r="G112" s="21"/>
    </row>
    <row r="113" spans="2:7" ht="15.75" customHeight="1">
      <c r="B113" s="923" t="s">
        <v>243</v>
      </c>
      <c r="C113" s="911"/>
      <c r="D113" s="911"/>
      <c r="E113" s="924"/>
      <c r="F113" s="88"/>
      <c r="G113" s="89" t="s">
        <v>244</v>
      </c>
    </row>
    <row r="114" spans="2:7" ht="15.75" customHeight="1">
      <c r="B114" s="925"/>
      <c r="C114" s="926"/>
      <c r="D114" s="926"/>
      <c r="E114" s="927"/>
      <c r="F114" s="90"/>
      <c r="G114" s="91" t="s">
        <v>195</v>
      </c>
    </row>
    <row r="115" spans="2:7" ht="15.75" customHeight="1">
      <c r="B115" s="92" t="s">
        <v>65</v>
      </c>
      <c r="C115" s="93" t="s">
        <v>23</v>
      </c>
      <c r="D115" s="94" t="s">
        <v>196</v>
      </c>
      <c r="E115" s="94" t="s">
        <v>197</v>
      </c>
      <c r="F115" s="95" t="s">
        <v>198</v>
      </c>
      <c r="G115" s="96" t="s">
        <v>68</v>
      </c>
    </row>
    <row r="116" spans="2:7" ht="15.75" customHeight="1">
      <c r="B116" s="97"/>
      <c r="C116" s="98"/>
      <c r="D116" s="99"/>
      <c r="E116" s="99"/>
      <c r="F116" s="100"/>
      <c r="G116" s="101"/>
    </row>
    <row r="117" spans="2:7" ht="15.75" customHeight="1">
      <c r="B117" s="102" t="s">
        <v>199</v>
      </c>
      <c r="C117" s="98"/>
      <c r="D117" s="99"/>
      <c r="E117" s="99"/>
      <c r="F117" s="100"/>
      <c r="G117" s="101"/>
    </row>
    <row r="118" spans="2:7" ht="15.75" customHeight="1">
      <c r="B118" s="92" t="s">
        <v>233</v>
      </c>
      <c r="C118" s="93" t="s">
        <v>160</v>
      </c>
      <c r="D118" s="94">
        <v>1.5</v>
      </c>
      <c r="E118" s="94">
        <v>0</v>
      </c>
      <c r="F118" s="95">
        <v>7000</v>
      </c>
      <c r="G118" s="96">
        <v>10500</v>
      </c>
    </row>
    <row r="119" spans="2:7" ht="15.75" customHeight="1">
      <c r="B119" s="92" t="s">
        <v>87</v>
      </c>
      <c r="C119" s="93" t="s">
        <v>16</v>
      </c>
      <c r="D119" s="103">
        <v>0.05</v>
      </c>
      <c r="E119" s="94">
        <v>0</v>
      </c>
      <c r="F119" s="95">
        <v>51263.591999999997</v>
      </c>
      <c r="G119" s="96">
        <v>2563.17</v>
      </c>
    </row>
    <row r="120" spans="2:7" ht="15.75" customHeight="1">
      <c r="B120" s="97"/>
      <c r="C120" s="98"/>
      <c r="D120" s="99"/>
      <c r="E120" s="99"/>
      <c r="F120" s="100" t="s">
        <v>200</v>
      </c>
      <c r="G120" s="104">
        <v>13063.17</v>
      </c>
    </row>
    <row r="121" spans="2:7" ht="15.75" customHeight="1">
      <c r="B121" s="105" t="s">
        <v>201</v>
      </c>
      <c r="C121" s="98"/>
      <c r="D121" s="99"/>
      <c r="E121" s="99"/>
      <c r="F121" s="100"/>
      <c r="G121" s="101"/>
    </row>
    <row r="122" spans="2:7" ht="15.75" customHeight="1">
      <c r="B122" s="92" t="s">
        <v>203</v>
      </c>
      <c r="C122" s="93" t="s">
        <v>204</v>
      </c>
      <c r="D122" s="94">
        <v>2</v>
      </c>
      <c r="E122" s="94">
        <v>0</v>
      </c>
      <c r="F122" s="95">
        <v>2000</v>
      </c>
      <c r="G122" s="96">
        <v>4000</v>
      </c>
    </row>
    <row r="123" spans="2:7" ht="15.75" customHeight="1">
      <c r="B123" s="92" t="s">
        <v>245</v>
      </c>
      <c r="C123" s="93" t="s">
        <v>160</v>
      </c>
      <c r="D123" s="94">
        <v>1</v>
      </c>
      <c r="E123" s="94">
        <v>0</v>
      </c>
      <c r="F123" s="95">
        <v>31796</v>
      </c>
      <c r="G123" s="96">
        <v>31796</v>
      </c>
    </row>
    <row r="124" spans="2:7" ht="15.75" customHeight="1">
      <c r="B124" s="92" t="s">
        <v>246</v>
      </c>
      <c r="C124" s="93" t="s">
        <v>23</v>
      </c>
      <c r="D124" s="94">
        <v>2.67</v>
      </c>
      <c r="E124" s="94">
        <v>0</v>
      </c>
      <c r="F124" s="95">
        <v>9000</v>
      </c>
      <c r="G124" s="96">
        <v>24030</v>
      </c>
    </row>
    <row r="125" spans="2:7" ht="15.75" customHeight="1">
      <c r="B125" s="97"/>
      <c r="C125" s="98"/>
      <c r="D125" s="99"/>
      <c r="E125" s="99"/>
      <c r="F125" s="100" t="s">
        <v>209</v>
      </c>
      <c r="G125" s="104">
        <v>59826</v>
      </c>
    </row>
    <row r="126" spans="2:7" ht="15.75" customHeight="1">
      <c r="B126" s="106" t="s">
        <v>210</v>
      </c>
      <c r="C126" s="98" t="s">
        <v>211</v>
      </c>
      <c r="D126" s="98" t="s">
        <v>212</v>
      </c>
      <c r="E126" s="98" t="s">
        <v>213</v>
      </c>
      <c r="F126" s="107" t="s">
        <v>214</v>
      </c>
      <c r="G126" s="108" t="s">
        <v>215</v>
      </c>
    </row>
    <row r="127" spans="2:7" ht="15.75" customHeight="1">
      <c r="B127" s="92" t="s">
        <v>247</v>
      </c>
      <c r="C127" s="109">
        <v>73903</v>
      </c>
      <c r="D127" s="103">
        <v>1.85</v>
      </c>
      <c r="E127" s="110">
        <v>136720</v>
      </c>
      <c r="F127" s="111">
        <v>2.6669999999999998</v>
      </c>
      <c r="G127" s="96">
        <v>51263.591999999997</v>
      </c>
    </row>
    <row r="128" spans="2:7" ht="15.75" customHeight="1">
      <c r="B128" s="97"/>
      <c r="C128" s="98"/>
      <c r="D128" s="99"/>
      <c r="E128" s="99"/>
      <c r="F128" s="100" t="s">
        <v>217</v>
      </c>
      <c r="G128" s="104">
        <v>51263.591999999997</v>
      </c>
    </row>
    <row r="129" spans="2:7" ht="15.75" customHeight="1">
      <c r="B129" s="97"/>
      <c r="C129" s="98"/>
      <c r="D129" s="99"/>
      <c r="E129" s="99"/>
      <c r="F129" s="100"/>
      <c r="G129" s="101"/>
    </row>
    <row r="130" spans="2:7" ht="15.75" customHeight="1">
      <c r="B130" s="112"/>
      <c r="C130" s="113"/>
      <c r="D130" s="114"/>
      <c r="E130" s="115" t="s">
        <v>218</v>
      </c>
      <c r="F130" s="116">
        <v>124152.762</v>
      </c>
      <c r="G130" s="117">
        <v>124153</v>
      </c>
    </row>
    <row r="131" spans="2:7" ht="15.75" customHeight="1">
      <c r="B131" s="118" t="s">
        <v>219</v>
      </c>
      <c r="C131" s="119"/>
      <c r="D131" s="120"/>
      <c r="E131" s="120"/>
      <c r="F131" s="121"/>
      <c r="G131" s="122"/>
    </row>
    <row r="132" spans="2:7" ht="15.75" customHeight="1">
      <c r="B132" s="123" t="s">
        <v>1</v>
      </c>
      <c r="C132" s="124"/>
      <c r="D132" s="125"/>
      <c r="E132" s="126">
        <v>0.15</v>
      </c>
      <c r="F132" s="127"/>
      <c r="G132" s="128">
        <v>18622.95</v>
      </c>
    </row>
    <row r="133" spans="2:7" ht="15.75" customHeight="1">
      <c r="B133" s="123" t="s">
        <v>3</v>
      </c>
      <c r="C133" s="124"/>
      <c r="D133" s="125"/>
      <c r="E133" s="126">
        <v>0.05</v>
      </c>
      <c r="F133" s="127"/>
      <c r="G133" s="128">
        <v>6207.65</v>
      </c>
    </row>
    <row r="134" spans="2:7" ht="15.75" customHeight="1">
      <c r="B134" s="123" t="s">
        <v>2</v>
      </c>
      <c r="C134" s="124"/>
      <c r="D134" s="125"/>
      <c r="E134" s="126">
        <v>0.05</v>
      </c>
      <c r="F134" s="127"/>
      <c r="G134" s="128">
        <v>6207.65</v>
      </c>
    </row>
    <row r="135" spans="2:7" ht="15.75" customHeight="1">
      <c r="B135" s="123" t="s">
        <v>220</v>
      </c>
      <c r="C135" s="124"/>
      <c r="D135" s="125"/>
      <c r="E135" s="126">
        <v>0</v>
      </c>
      <c r="F135" s="127"/>
      <c r="G135" s="128">
        <v>0</v>
      </c>
    </row>
    <row r="136" spans="2:7" ht="15.75" customHeight="1">
      <c r="B136" s="105" t="s">
        <v>221</v>
      </c>
      <c r="C136" s="98"/>
      <c r="D136" s="99"/>
      <c r="E136" s="99"/>
      <c r="F136" s="129"/>
      <c r="G136" s="130">
        <v>31038.25</v>
      </c>
    </row>
    <row r="137" spans="2:7" ht="15.75" customHeight="1">
      <c r="B137" s="131"/>
      <c r="C137" s="132"/>
      <c r="D137" s="114"/>
      <c r="E137" s="115" t="s">
        <v>222</v>
      </c>
      <c r="F137" s="133">
        <v>155191.25</v>
      </c>
      <c r="G137" s="117">
        <v>155191</v>
      </c>
    </row>
    <row r="138" spans="2:7" ht="15.75" customHeight="1">
      <c r="B138" s="21"/>
      <c r="C138" s="21"/>
      <c r="D138" s="21"/>
      <c r="E138" s="21"/>
      <c r="F138" s="21"/>
      <c r="G138" s="21"/>
    </row>
    <row r="139" spans="2:7" ht="15.75" customHeight="1">
      <c r="B139" s="21"/>
      <c r="C139" s="21"/>
      <c r="D139" s="21"/>
      <c r="E139" s="21"/>
      <c r="F139" s="21"/>
      <c r="G139" s="21"/>
    </row>
    <row r="140" spans="2:7" ht="15.75" customHeight="1">
      <c r="B140" s="923" t="s">
        <v>248</v>
      </c>
      <c r="C140" s="911"/>
      <c r="D140" s="911"/>
      <c r="E140" s="924"/>
      <c r="F140" s="88"/>
      <c r="G140" s="89" t="s">
        <v>244</v>
      </c>
    </row>
    <row r="141" spans="2:7" ht="15.75" customHeight="1">
      <c r="B141" s="925"/>
      <c r="C141" s="926"/>
      <c r="D141" s="926"/>
      <c r="E141" s="927"/>
      <c r="F141" s="90"/>
      <c r="G141" s="91" t="s">
        <v>195</v>
      </c>
    </row>
    <row r="142" spans="2:7" ht="15.75" customHeight="1">
      <c r="B142" s="92" t="s">
        <v>65</v>
      </c>
      <c r="C142" s="93" t="s">
        <v>23</v>
      </c>
      <c r="D142" s="94" t="s">
        <v>196</v>
      </c>
      <c r="E142" s="94" t="s">
        <v>197</v>
      </c>
      <c r="F142" s="95" t="s">
        <v>198</v>
      </c>
      <c r="G142" s="96" t="s">
        <v>68</v>
      </c>
    </row>
    <row r="143" spans="2:7" ht="15.75" customHeight="1">
      <c r="B143" s="97"/>
      <c r="C143" s="98"/>
      <c r="D143" s="99"/>
      <c r="E143" s="99"/>
      <c r="F143" s="100"/>
      <c r="G143" s="101"/>
    </row>
    <row r="144" spans="2:7" ht="15.75" customHeight="1">
      <c r="B144" s="102" t="s">
        <v>199</v>
      </c>
      <c r="C144" s="98"/>
      <c r="D144" s="99"/>
      <c r="E144" s="99"/>
      <c r="F144" s="100"/>
      <c r="G144" s="101"/>
    </row>
    <row r="145" spans="2:7" ht="15.75" customHeight="1">
      <c r="B145" s="92" t="s">
        <v>87</v>
      </c>
      <c r="C145" s="93" t="s">
        <v>16</v>
      </c>
      <c r="D145" s="103">
        <v>0.05</v>
      </c>
      <c r="E145" s="94">
        <v>0</v>
      </c>
      <c r="F145" s="95">
        <v>9616.7970000000005</v>
      </c>
      <c r="G145" s="96">
        <v>480.83</v>
      </c>
    </row>
    <row r="146" spans="2:7" ht="15.75" customHeight="1">
      <c r="B146" s="97"/>
      <c r="C146" s="98"/>
      <c r="D146" s="99"/>
      <c r="E146" s="99"/>
      <c r="F146" s="100" t="s">
        <v>200</v>
      </c>
      <c r="G146" s="104">
        <v>480.83</v>
      </c>
    </row>
    <row r="147" spans="2:7" ht="15.75" customHeight="1">
      <c r="B147" s="106" t="s">
        <v>210</v>
      </c>
      <c r="C147" s="98" t="s">
        <v>211</v>
      </c>
      <c r="D147" s="98" t="s">
        <v>212</v>
      </c>
      <c r="E147" s="98" t="s">
        <v>213</v>
      </c>
      <c r="F147" s="107" t="s">
        <v>214</v>
      </c>
      <c r="G147" s="108" t="s">
        <v>215</v>
      </c>
    </row>
    <row r="148" spans="2:7" ht="15.75" customHeight="1">
      <c r="B148" s="92" t="s">
        <v>249</v>
      </c>
      <c r="C148" s="109">
        <v>27728</v>
      </c>
      <c r="D148" s="103">
        <v>1.85</v>
      </c>
      <c r="E148" s="110">
        <v>51296</v>
      </c>
      <c r="F148" s="111">
        <v>5.3339999999999996</v>
      </c>
      <c r="G148" s="96">
        <v>9616.7970000000005</v>
      </c>
    </row>
    <row r="149" spans="2:7" ht="15.75" customHeight="1">
      <c r="B149" s="97"/>
      <c r="C149" s="98"/>
      <c r="D149" s="99"/>
      <c r="E149" s="99"/>
      <c r="F149" s="100" t="s">
        <v>217</v>
      </c>
      <c r="G149" s="104">
        <v>9616.7970000000005</v>
      </c>
    </row>
    <row r="150" spans="2:7" ht="15.75" customHeight="1">
      <c r="B150" s="97"/>
      <c r="C150" s="98"/>
      <c r="D150" s="99"/>
      <c r="E150" s="99"/>
      <c r="F150" s="100"/>
      <c r="G150" s="101"/>
    </row>
    <row r="151" spans="2:7" ht="15.75" customHeight="1">
      <c r="B151" s="112"/>
      <c r="C151" s="113"/>
      <c r="D151" s="114"/>
      <c r="E151" s="115" t="s">
        <v>218</v>
      </c>
      <c r="F151" s="116">
        <v>10097.627</v>
      </c>
      <c r="G151" s="117">
        <v>10098</v>
      </c>
    </row>
    <row r="152" spans="2:7" ht="15.75" customHeight="1">
      <c r="B152" s="118" t="s">
        <v>219</v>
      </c>
      <c r="C152" s="119"/>
      <c r="D152" s="120"/>
      <c r="E152" s="120"/>
      <c r="F152" s="121"/>
      <c r="G152" s="122"/>
    </row>
    <row r="153" spans="2:7" ht="15.75" customHeight="1">
      <c r="B153" s="123" t="s">
        <v>1</v>
      </c>
      <c r="C153" s="124"/>
      <c r="D153" s="125"/>
      <c r="E153" s="126">
        <v>0.15</v>
      </c>
      <c r="F153" s="127"/>
      <c r="G153" s="128">
        <v>1514.7</v>
      </c>
    </row>
    <row r="154" spans="2:7" ht="15.75" customHeight="1">
      <c r="B154" s="123" t="s">
        <v>3</v>
      </c>
      <c r="C154" s="124"/>
      <c r="D154" s="125"/>
      <c r="E154" s="126">
        <v>0.05</v>
      </c>
      <c r="F154" s="127"/>
      <c r="G154" s="128">
        <v>504.9</v>
      </c>
    </row>
    <row r="155" spans="2:7" ht="15.75" customHeight="1">
      <c r="B155" s="123" t="s">
        <v>2</v>
      </c>
      <c r="C155" s="124"/>
      <c r="D155" s="125"/>
      <c r="E155" s="126">
        <v>0.05</v>
      </c>
      <c r="F155" s="127"/>
      <c r="G155" s="128">
        <v>504.9</v>
      </c>
    </row>
    <row r="156" spans="2:7" ht="15.75" customHeight="1">
      <c r="B156" s="123" t="s">
        <v>220</v>
      </c>
      <c r="C156" s="124"/>
      <c r="D156" s="125"/>
      <c r="E156" s="126">
        <v>0</v>
      </c>
      <c r="F156" s="127"/>
      <c r="G156" s="128">
        <v>0</v>
      </c>
    </row>
    <row r="157" spans="2:7" ht="15.75" customHeight="1">
      <c r="B157" s="105" t="s">
        <v>221</v>
      </c>
      <c r="C157" s="98"/>
      <c r="D157" s="99"/>
      <c r="E157" s="99"/>
      <c r="F157" s="129"/>
      <c r="G157" s="130">
        <v>2524.5</v>
      </c>
    </row>
    <row r="158" spans="2:7" ht="15.75" customHeight="1">
      <c r="B158" s="131"/>
      <c r="C158" s="132"/>
      <c r="D158" s="114"/>
      <c r="E158" s="115" t="s">
        <v>222</v>
      </c>
      <c r="F158" s="133">
        <v>12622.5</v>
      </c>
      <c r="G158" s="117">
        <v>12623</v>
      </c>
    </row>
    <row r="159" spans="2:7" ht="15.75" customHeight="1">
      <c r="B159" s="21"/>
      <c r="C159" s="21"/>
      <c r="D159" s="21"/>
      <c r="E159" s="21"/>
      <c r="F159" s="21"/>
      <c r="G159" s="21"/>
    </row>
    <row r="160" spans="2:7" ht="15.75" customHeight="1">
      <c r="B160" s="21"/>
      <c r="C160" s="21"/>
      <c r="D160" s="21"/>
      <c r="E160" s="21"/>
      <c r="F160" s="21"/>
      <c r="G160" s="21"/>
    </row>
    <row r="161" spans="2:7" ht="15.75" customHeight="1">
      <c r="B161" s="923" t="s">
        <v>250</v>
      </c>
      <c r="C161" s="911"/>
      <c r="D161" s="911"/>
      <c r="E161" s="924"/>
      <c r="F161" s="88"/>
      <c r="G161" s="89" t="s">
        <v>251</v>
      </c>
    </row>
    <row r="162" spans="2:7" ht="15.75" customHeight="1">
      <c r="B162" s="925"/>
      <c r="C162" s="926"/>
      <c r="D162" s="926"/>
      <c r="E162" s="927"/>
      <c r="F162" s="90"/>
      <c r="G162" s="91" t="s">
        <v>195</v>
      </c>
    </row>
    <row r="163" spans="2:7" ht="15.75" customHeight="1">
      <c r="B163" s="92" t="s">
        <v>65</v>
      </c>
      <c r="C163" s="93" t="s">
        <v>23</v>
      </c>
      <c r="D163" s="94" t="s">
        <v>196</v>
      </c>
      <c r="E163" s="94" t="s">
        <v>197</v>
      </c>
      <c r="F163" s="95" t="s">
        <v>198</v>
      </c>
      <c r="G163" s="96" t="s">
        <v>68</v>
      </c>
    </row>
    <row r="164" spans="2:7" ht="15.75" customHeight="1">
      <c r="B164" s="97"/>
      <c r="C164" s="98"/>
      <c r="D164" s="99"/>
      <c r="E164" s="99"/>
      <c r="F164" s="100"/>
      <c r="G164" s="101"/>
    </row>
    <row r="165" spans="2:7" ht="15.75" customHeight="1">
      <c r="B165" s="102" t="s">
        <v>199</v>
      </c>
      <c r="C165" s="98"/>
      <c r="D165" s="99"/>
      <c r="E165" s="99"/>
      <c r="F165" s="100"/>
      <c r="G165" s="101"/>
    </row>
    <row r="166" spans="2:7" ht="15.75" customHeight="1">
      <c r="B166" s="136" t="s">
        <v>87</v>
      </c>
      <c r="C166" s="93" t="s">
        <v>16</v>
      </c>
      <c r="D166" s="103">
        <v>0.05</v>
      </c>
      <c r="E166" s="94"/>
      <c r="F166" s="95">
        <v>85437</v>
      </c>
      <c r="G166" s="96">
        <v>4271.8500000000004</v>
      </c>
    </row>
    <row r="167" spans="2:7" ht="15.75" customHeight="1">
      <c r="B167" s="97"/>
      <c r="C167" s="98"/>
      <c r="D167" s="99"/>
      <c r="E167" s="99"/>
      <c r="F167" s="100" t="s">
        <v>200</v>
      </c>
      <c r="G167" s="104">
        <v>4271.8500000000004</v>
      </c>
    </row>
    <row r="168" spans="2:7" ht="15.75" customHeight="1">
      <c r="B168" s="105" t="s">
        <v>201</v>
      </c>
      <c r="C168" s="98"/>
      <c r="D168" s="99"/>
      <c r="E168" s="99"/>
      <c r="F168" s="100"/>
      <c r="G168" s="101"/>
    </row>
    <row r="169" spans="2:7" ht="15.75" customHeight="1">
      <c r="B169" s="92" t="s">
        <v>252</v>
      </c>
      <c r="C169" s="93" t="s">
        <v>253</v>
      </c>
      <c r="D169" s="94">
        <v>3.4000000000000002E-2</v>
      </c>
      <c r="E169" s="94">
        <v>0</v>
      </c>
      <c r="F169" s="95">
        <v>36500</v>
      </c>
      <c r="G169" s="96">
        <v>1241</v>
      </c>
    </row>
    <row r="170" spans="2:7" ht="15.75" customHeight="1">
      <c r="B170" s="92" t="s">
        <v>254</v>
      </c>
      <c r="C170" s="93" t="s">
        <v>255</v>
      </c>
      <c r="D170" s="94">
        <v>0.1</v>
      </c>
      <c r="E170" s="94">
        <v>0</v>
      </c>
      <c r="F170" s="95">
        <v>950</v>
      </c>
      <c r="G170" s="96">
        <v>95</v>
      </c>
    </row>
    <row r="171" spans="2:7" ht="15.75" customHeight="1">
      <c r="B171" s="92" t="s">
        <v>256</v>
      </c>
      <c r="C171" s="93" t="s">
        <v>23</v>
      </c>
      <c r="D171" s="94">
        <v>1</v>
      </c>
      <c r="E171" s="94">
        <v>0</v>
      </c>
      <c r="F171" s="95">
        <v>900</v>
      </c>
      <c r="G171" s="96">
        <v>900</v>
      </c>
    </row>
    <row r="172" spans="2:7" ht="15.75" customHeight="1">
      <c r="B172" s="92" t="s">
        <v>257</v>
      </c>
      <c r="C172" s="93" t="s">
        <v>23</v>
      </c>
      <c r="D172" s="94">
        <v>0.183</v>
      </c>
      <c r="E172" s="94">
        <v>0</v>
      </c>
      <c r="F172" s="95">
        <v>87400</v>
      </c>
      <c r="G172" s="96">
        <v>15994.2</v>
      </c>
    </row>
    <row r="173" spans="2:7" ht="15.75" customHeight="1">
      <c r="B173" s="92" t="s">
        <v>258</v>
      </c>
      <c r="C173" s="93" t="s">
        <v>253</v>
      </c>
      <c r="D173" s="94">
        <v>7.0000000000000007E-2</v>
      </c>
      <c r="E173" s="94">
        <v>0</v>
      </c>
      <c r="F173" s="95">
        <v>36200</v>
      </c>
      <c r="G173" s="96">
        <v>2534</v>
      </c>
    </row>
    <row r="174" spans="2:7" ht="15.75" customHeight="1">
      <c r="B174" s="92" t="s">
        <v>259</v>
      </c>
      <c r="C174" s="93" t="s">
        <v>204</v>
      </c>
      <c r="D174" s="94">
        <v>0.1</v>
      </c>
      <c r="E174" s="94">
        <v>0</v>
      </c>
      <c r="F174" s="95">
        <v>2000</v>
      </c>
      <c r="G174" s="96">
        <v>200</v>
      </c>
    </row>
    <row r="175" spans="2:7" ht="15.75" customHeight="1">
      <c r="B175" s="97"/>
      <c r="C175" s="98"/>
      <c r="D175" s="99"/>
      <c r="E175" s="99"/>
      <c r="F175" s="100" t="s">
        <v>209</v>
      </c>
      <c r="G175" s="104">
        <v>20964.2</v>
      </c>
    </row>
    <row r="176" spans="2:7" ht="15.75" customHeight="1">
      <c r="B176" s="106" t="s">
        <v>210</v>
      </c>
      <c r="C176" s="98" t="s">
        <v>211</v>
      </c>
      <c r="D176" s="98" t="s">
        <v>212</v>
      </c>
      <c r="E176" s="98" t="s">
        <v>213</v>
      </c>
      <c r="F176" s="107" t="s">
        <v>214</v>
      </c>
      <c r="G176" s="108" t="s">
        <v>215</v>
      </c>
    </row>
    <row r="177" spans="2:7" ht="15.75" customHeight="1">
      <c r="B177" s="134" t="s">
        <v>260</v>
      </c>
      <c r="C177" s="109">
        <v>138547</v>
      </c>
      <c r="D177" s="103">
        <v>1.85</v>
      </c>
      <c r="E177" s="110">
        <v>256311</v>
      </c>
      <c r="F177" s="137">
        <v>3</v>
      </c>
      <c r="G177" s="135">
        <v>85437</v>
      </c>
    </row>
    <row r="178" spans="2:7" ht="15.75" customHeight="1">
      <c r="B178" s="97"/>
      <c r="C178" s="98"/>
      <c r="D178" s="99"/>
      <c r="E178" s="99"/>
      <c r="F178" s="100" t="s">
        <v>217</v>
      </c>
      <c r="G178" s="104">
        <v>85437</v>
      </c>
    </row>
    <row r="179" spans="2:7" ht="15.75" customHeight="1">
      <c r="B179" s="97"/>
      <c r="C179" s="98"/>
      <c r="D179" s="99"/>
      <c r="E179" s="99"/>
      <c r="F179" s="100"/>
      <c r="G179" s="101"/>
    </row>
    <row r="180" spans="2:7" ht="15.75" customHeight="1">
      <c r="B180" s="112"/>
      <c r="C180" s="113"/>
      <c r="D180" s="114"/>
      <c r="E180" s="115" t="s">
        <v>218</v>
      </c>
      <c r="F180" s="116">
        <v>110673.05</v>
      </c>
      <c r="G180" s="117">
        <v>110673</v>
      </c>
    </row>
    <row r="181" spans="2:7" ht="15.75" customHeight="1">
      <c r="B181" s="118" t="s">
        <v>219</v>
      </c>
      <c r="C181" s="119"/>
      <c r="D181" s="120"/>
      <c r="E181" s="120"/>
      <c r="F181" s="121"/>
      <c r="G181" s="122"/>
    </row>
    <row r="182" spans="2:7" ht="15.75" customHeight="1">
      <c r="B182" s="123" t="s">
        <v>1</v>
      </c>
      <c r="C182" s="124"/>
      <c r="D182" s="125"/>
      <c r="E182" s="138">
        <v>0.15</v>
      </c>
      <c r="F182" s="127"/>
      <c r="G182" s="128">
        <v>16600.95</v>
      </c>
    </row>
    <row r="183" spans="2:7" ht="15.75" customHeight="1">
      <c r="B183" s="123" t="s">
        <v>3</v>
      </c>
      <c r="C183" s="124"/>
      <c r="D183" s="125"/>
      <c r="E183" s="139">
        <v>0.05</v>
      </c>
      <c r="F183" s="127"/>
      <c r="G183" s="128">
        <v>5533.65</v>
      </c>
    </row>
    <row r="184" spans="2:7" ht="15.75" customHeight="1">
      <c r="B184" s="123" t="s">
        <v>2</v>
      </c>
      <c r="C184" s="124"/>
      <c r="D184" s="125"/>
      <c r="E184" s="138">
        <v>0.05</v>
      </c>
      <c r="F184" s="127"/>
      <c r="G184" s="128">
        <v>5533.65</v>
      </c>
    </row>
    <row r="185" spans="2:7" ht="15.75" customHeight="1">
      <c r="B185" s="123" t="s">
        <v>220</v>
      </c>
      <c r="C185" s="124"/>
      <c r="D185" s="125"/>
      <c r="E185" s="138">
        <v>0</v>
      </c>
      <c r="F185" s="127"/>
      <c r="G185" s="128">
        <v>0</v>
      </c>
    </row>
    <row r="186" spans="2:7" ht="15.75" customHeight="1">
      <c r="B186" s="105" t="s">
        <v>221</v>
      </c>
      <c r="C186" s="98"/>
      <c r="D186" s="99"/>
      <c r="E186" s="99"/>
      <c r="F186" s="129"/>
      <c r="G186" s="130">
        <v>27668.25</v>
      </c>
    </row>
    <row r="187" spans="2:7" ht="15.75" customHeight="1">
      <c r="B187" s="131"/>
      <c r="C187" s="132"/>
      <c r="D187" s="114"/>
      <c r="E187" s="115" t="s">
        <v>222</v>
      </c>
      <c r="F187" s="133">
        <v>138341.25</v>
      </c>
      <c r="G187" s="117">
        <v>138341</v>
      </c>
    </row>
    <row r="188" spans="2:7" ht="15.75" customHeight="1">
      <c r="B188" s="21"/>
      <c r="C188" s="21"/>
      <c r="D188" s="21"/>
      <c r="E188" s="21"/>
      <c r="F188" s="21"/>
      <c r="G188" s="21"/>
    </row>
    <row r="189" spans="2:7" ht="15.75" customHeight="1"/>
    <row r="190" spans="2:7" ht="15.75" customHeight="1">
      <c r="B190" s="21"/>
      <c r="C190" s="21"/>
      <c r="D190" s="21"/>
      <c r="E190" s="21"/>
      <c r="F190" s="21"/>
      <c r="G190" s="21"/>
    </row>
    <row r="191" spans="2:7" ht="15.75" customHeight="1">
      <c r="B191" s="923" t="s">
        <v>261</v>
      </c>
      <c r="C191" s="911"/>
      <c r="D191" s="911"/>
      <c r="E191" s="924"/>
      <c r="F191" s="88"/>
      <c r="G191" s="89" t="s">
        <v>262</v>
      </c>
    </row>
    <row r="192" spans="2:7" ht="15.75" customHeight="1">
      <c r="B192" s="925"/>
      <c r="C192" s="926"/>
      <c r="D192" s="926"/>
      <c r="E192" s="927"/>
      <c r="F192" s="90"/>
      <c r="G192" s="91" t="s">
        <v>195</v>
      </c>
    </row>
    <row r="193" spans="2:7" ht="15.75" customHeight="1">
      <c r="B193" s="92" t="s">
        <v>65</v>
      </c>
      <c r="C193" s="93" t="s">
        <v>23</v>
      </c>
      <c r="D193" s="94" t="s">
        <v>196</v>
      </c>
      <c r="E193" s="94" t="s">
        <v>197</v>
      </c>
      <c r="F193" s="95" t="s">
        <v>198</v>
      </c>
      <c r="G193" s="96" t="s">
        <v>68</v>
      </c>
    </row>
    <row r="194" spans="2:7" ht="15.75" customHeight="1">
      <c r="B194" s="97"/>
      <c r="C194" s="98"/>
      <c r="D194" s="99"/>
      <c r="E194" s="99"/>
      <c r="F194" s="100"/>
      <c r="G194" s="101"/>
    </row>
    <row r="195" spans="2:7" ht="15.75" customHeight="1">
      <c r="B195" s="102" t="s">
        <v>199</v>
      </c>
      <c r="C195" s="98"/>
      <c r="D195" s="99"/>
      <c r="E195" s="99"/>
      <c r="F195" s="100"/>
      <c r="G195" s="101"/>
    </row>
    <row r="196" spans="2:7" ht="15.75" customHeight="1">
      <c r="B196" s="92" t="s">
        <v>87</v>
      </c>
      <c r="C196" s="93" t="s">
        <v>16</v>
      </c>
      <c r="D196" s="103">
        <v>0.05</v>
      </c>
      <c r="E196" s="94">
        <v>0</v>
      </c>
      <c r="F196" s="95">
        <v>7689.95</v>
      </c>
      <c r="G196" s="96">
        <v>384.49</v>
      </c>
    </row>
    <row r="197" spans="2:7" ht="15.75" customHeight="1">
      <c r="B197" s="97"/>
      <c r="C197" s="98"/>
      <c r="D197" s="99"/>
      <c r="E197" s="99"/>
      <c r="F197" s="100" t="s">
        <v>200</v>
      </c>
      <c r="G197" s="104">
        <v>384.49</v>
      </c>
    </row>
    <row r="198" spans="2:7" ht="15.75" customHeight="1">
      <c r="B198" s="105" t="s">
        <v>201</v>
      </c>
      <c r="C198" s="98"/>
      <c r="D198" s="99"/>
      <c r="E198" s="99"/>
      <c r="F198" s="100"/>
      <c r="G198" s="101"/>
    </row>
    <row r="199" spans="2:7" ht="15.75" customHeight="1">
      <c r="B199" s="92" t="s">
        <v>259</v>
      </c>
      <c r="C199" s="93" t="s">
        <v>204</v>
      </c>
      <c r="D199" s="94">
        <v>0.1</v>
      </c>
      <c r="E199" s="94">
        <v>0</v>
      </c>
      <c r="F199" s="95">
        <v>2000</v>
      </c>
      <c r="G199" s="96">
        <v>200</v>
      </c>
    </row>
    <row r="200" spans="2:7" ht="15.75" customHeight="1">
      <c r="B200" s="92" t="s">
        <v>263</v>
      </c>
      <c r="C200" s="93" t="s">
        <v>255</v>
      </c>
      <c r="D200" s="94">
        <v>0.2</v>
      </c>
      <c r="E200" s="94">
        <v>0</v>
      </c>
      <c r="F200" s="95">
        <v>950</v>
      </c>
      <c r="G200" s="96">
        <v>190</v>
      </c>
    </row>
    <row r="201" spans="2:7" ht="15.75" customHeight="1">
      <c r="B201" s="92" t="s">
        <v>256</v>
      </c>
      <c r="C201" s="93" t="s">
        <v>23</v>
      </c>
      <c r="D201" s="94">
        <v>3</v>
      </c>
      <c r="E201" s="94">
        <v>0</v>
      </c>
      <c r="F201" s="95">
        <v>900</v>
      </c>
      <c r="G201" s="96">
        <v>2700</v>
      </c>
    </row>
    <row r="202" spans="2:7" ht="15.75" customHeight="1">
      <c r="B202" s="92" t="s">
        <v>227</v>
      </c>
      <c r="C202" s="93" t="s">
        <v>228</v>
      </c>
      <c r="D202" s="94">
        <v>8</v>
      </c>
      <c r="E202" s="94"/>
      <c r="F202" s="95">
        <v>1200</v>
      </c>
      <c r="G202" s="96">
        <v>9600</v>
      </c>
    </row>
    <row r="203" spans="2:7" ht="15.75" customHeight="1">
      <c r="B203" s="92" t="s">
        <v>264</v>
      </c>
      <c r="C203" s="93" t="s">
        <v>23</v>
      </c>
      <c r="D203" s="94">
        <v>0.35</v>
      </c>
      <c r="E203" s="94">
        <v>0</v>
      </c>
      <c r="F203" s="95">
        <v>12000</v>
      </c>
      <c r="G203" s="96">
        <v>4200</v>
      </c>
    </row>
    <row r="204" spans="2:7" ht="15.75" customHeight="1">
      <c r="B204" s="97"/>
      <c r="C204" s="98"/>
      <c r="D204" s="99"/>
      <c r="E204" s="99"/>
      <c r="F204" s="100" t="s">
        <v>209</v>
      </c>
      <c r="G204" s="104">
        <v>16890</v>
      </c>
    </row>
    <row r="205" spans="2:7" ht="15.75" customHeight="1">
      <c r="B205" s="106" t="s">
        <v>210</v>
      </c>
      <c r="C205" s="98" t="s">
        <v>211</v>
      </c>
      <c r="D205" s="98" t="s">
        <v>212</v>
      </c>
      <c r="E205" s="98" t="s">
        <v>213</v>
      </c>
      <c r="F205" s="107" t="s">
        <v>214</v>
      </c>
      <c r="G205" s="108" t="s">
        <v>215</v>
      </c>
    </row>
    <row r="206" spans="2:7" ht="15.75" customHeight="1">
      <c r="B206" s="92" t="s">
        <v>265</v>
      </c>
      <c r="C206" s="109">
        <v>83135</v>
      </c>
      <c r="D206" s="103">
        <v>1.85</v>
      </c>
      <c r="E206" s="110">
        <v>153799</v>
      </c>
      <c r="F206" s="111">
        <v>20</v>
      </c>
      <c r="G206" s="96">
        <v>7689.95</v>
      </c>
    </row>
    <row r="207" spans="2:7" ht="15.75" customHeight="1">
      <c r="B207" s="97"/>
      <c r="C207" s="98"/>
      <c r="D207" s="99"/>
      <c r="E207" s="99"/>
      <c r="F207" s="100" t="s">
        <v>217</v>
      </c>
      <c r="G207" s="104">
        <v>7689.95</v>
      </c>
    </row>
    <row r="208" spans="2:7" ht="15.75" customHeight="1">
      <c r="B208" s="97"/>
      <c r="C208" s="98"/>
      <c r="D208" s="99"/>
      <c r="E208" s="99"/>
      <c r="F208" s="100"/>
      <c r="G208" s="101"/>
    </row>
    <row r="209" spans="2:7" ht="15.75" customHeight="1">
      <c r="B209" s="112"/>
      <c r="C209" s="113"/>
      <c r="D209" s="114"/>
      <c r="E209" s="115" t="s">
        <v>218</v>
      </c>
      <c r="F209" s="116">
        <v>24964.439999999995</v>
      </c>
      <c r="G209" s="117">
        <v>24964</v>
      </c>
    </row>
    <row r="210" spans="2:7" ht="15.75" customHeight="1">
      <c r="B210" s="118" t="s">
        <v>219</v>
      </c>
      <c r="C210" s="119"/>
      <c r="D210" s="120"/>
      <c r="E210" s="120"/>
      <c r="F210" s="121"/>
      <c r="G210" s="122"/>
    </row>
    <row r="211" spans="2:7" ht="15.75" customHeight="1">
      <c r="B211" s="123" t="s">
        <v>1</v>
      </c>
      <c r="C211" s="124"/>
      <c r="D211" s="125"/>
      <c r="E211" s="126">
        <v>0.15</v>
      </c>
      <c r="F211" s="127"/>
      <c r="G211" s="128">
        <v>3744.6</v>
      </c>
    </row>
    <row r="212" spans="2:7" ht="15.75" customHeight="1">
      <c r="B212" s="123" t="s">
        <v>3</v>
      </c>
      <c r="C212" s="124"/>
      <c r="D212" s="125"/>
      <c r="E212" s="126">
        <v>0.05</v>
      </c>
      <c r="F212" s="127"/>
      <c r="G212" s="128">
        <v>1248.2</v>
      </c>
    </row>
    <row r="213" spans="2:7" ht="15.75" customHeight="1">
      <c r="B213" s="123" t="s">
        <v>2</v>
      </c>
      <c r="C213" s="124"/>
      <c r="D213" s="125"/>
      <c r="E213" s="126">
        <v>0.05</v>
      </c>
      <c r="F213" s="127"/>
      <c r="G213" s="128">
        <v>1248.2</v>
      </c>
    </row>
    <row r="214" spans="2:7" ht="15.75" customHeight="1">
      <c r="B214" s="123" t="s">
        <v>220</v>
      </c>
      <c r="C214" s="124"/>
      <c r="D214" s="125"/>
      <c r="E214" s="126">
        <v>0</v>
      </c>
      <c r="F214" s="127"/>
      <c r="G214" s="128">
        <v>0</v>
      </c>
    </row>
    <row r="215" spans="2:7" ht="15.75" customHeight="1">
      <c r="B215" s="105" t="s">
        <v>221</v>
      </c>
      <c r="C215" s="98"/>
      <c r="D215" s="99"/>
      <c r="E215" s="99"/>
      <c r="F215" s="129"/>
      <c r="G215" s="130">
        <v>6241</v>
      </c>
    </row>
    <row r="216" spans="2:7" ht="15.75" customHeight="1">
      <c r="B216" s="131"/>
      <c r="C216" s="132"/>
      <c r="D216" s="114"/>
      <c r="E216" s="115" t="s">
        <v>222</v>
      </c>
      <c r="F216" s="133">
        <v>31205</v>
      </c>
      <c r="G216" s="117">
        <v>31205</v>
      </c>
    </row>
    <row r="217" spans="2:7" ht="15.75" customHeight="1">
      <c r="B217" s="21"/>
      <c r="C217" s="21"/>
      <c r="D217" s="21"/>
      <c r="E217" s="21"/>
      <c r="F217" s="21"/>
      <c r="G217" s="21"/>
    </row>
    <row r="218" spans="2:7" ht="15.75" customHeight="1"/>
    <row r="219" spans="2:7" ht="15.75" customHeight="1">
      <c r="B219" s="21"/>
      <c r="C219" s="21"/>
      <c r="D219" s="21"/>
      <c r="E219" s="21"/>
      <c r="F219" s="21"/>
      <c r="G219" s="21"/>
    </row>
    <row r="220" spans="2:7" ht="15.75" customHeight="1">
      <c r="B220" s="923" t="s">
        <v>266</v>
      </c>
      <c r="C220" s="911"/>
      <c r="D220" s="911"/>
      <c r="E220" s="924"/>
      <c r="F220" s="88"/>
      <c r="G220" s="89" t="s">
        <v>262</v>
      </c>
    </row>
    <row r="221" spans="2:7" ht="15.75" customHeight="1">
      <c r="B221" s="925"/>
      <c r="C221" s="926"/>
      <c r="D221" s="926"/>
      <c r="E221" s="927"/>
      <c r="F221" s="90"/>
      <c r="G221" s="91" t="s">
        <v>195</v>
      </c>
    </row>
    <row r="222" spans="2:7" ht="15.75" customHeight="1">
      <c r="B222" s="92" t="s">
        <v>65</v>
      </c>
      <c r="C222" s="93" t="s">
        <v>23</v>
      </c>
      <c r="D222" s="94" t="s">
        <v>196</v>
      </c>
      <c r="E222" s="94" t="s">
        <v>197</v>
      </c>
      <c r="F222" s="95" t="s">
        <v>198</v>
      </c>
      <c r="G222" s="96" t="s">
        <v>68</v>
      </c>
    </row>
    <row r="223" spans="2:7" ht="15.75" customHeight="1">
      <c r="B223" s="97"/>
      <c r="C223" s="98"/>
      <c r="D223" s="99"/>
      <c r="E223" s="99"/>
      <c r="F223" s="100"/>
      <c r="G223" s="101"/>
    </row>
    <row r="224" spans="2:7" ht="15.75" customHeight="1">
      <c r="B224" s="102" t="s">
        <v>199</v>
      </c>
      <c r="C224" s="98"/>
      <c r="D224" s="99"/>
      <c r="E224" s="99"/>
      <c r="F224" s="100"/>
      <c r="G224" s="101"/>
    </row>
    <row r="225" spans="2:7" ht="15.75" customHeight="1">
      <c r="B225" s="92" t="s">
        <v>87</v>
      </c>
      <c r="C225" s="93" t="s">
        <v>16</v>
      </c>
      <c r="D225" s="103">
        <v>0.05</v>
      </c>
      <c r="E225" s="94">
        <v>0</v>
      </c>
      <c r="F225" s="95">
        <v>7689.95</v>
      </c>
      <c r="G225" s="96">
        <v>384.49</v>
      </c>
    </row>
    <row r="226" spans="2:7" ht="15.75" customHeight="1">
      <c r="B226" s="97"/>
      <c r="C226" s="98"/>
      <c r="D226" s="99"/>
      <c r="E226" s="99"/>
      <c r="F226" s="100" t="s">
        <v>200</v>
      </c>
      <c r="G226" s="104">
        <v>384.49</v>
      </c>
    </row>
    <row r="227" spans="2:7" ht="15.75" customHeight="1">
      <c r="B227" s="105" t="s">
        <v>201</v>
      </c>
      <c r="C227" s="98"/>
      <c r="D227" s="99"/>
      <c r="E227" s="99"/>
      <c r="F227" s="100"/>
      <c r="G227" s="101"/>
    </row>
    <row r="228" spans="2:7" ht="15.75" customHeight="1">
      <c r="B228" s="92" t="s">
        <v>259</v>
      </c>
      <c r="C228" s="93" t="s">
        <v>204</v>
      </c>
      <c r="D228" s="94">
        <v>0.1</v>
      </c>
      <c r="E228" s="94">
        <v>0</v>
      </c>
      <c r="F228" s="95">
        <v>2000</v>
      </c>
      <c r="G228" s="96">
        <v>200</v>
      </c>
    </row>
    <row r="229" spans="2:7" ht="15.75" customHeight="1">
      <c r="B229" s="92" t="s">
        <v>263</v>
      </c>
      <c r="C229" s="93" t="s">
        <v>255</v>
      </c>
      <c r="D229" s="94">
        <v>0.2</v>
      </c>
      <c r="E229" s="94">
        <v>0</v>
      </c>
      <c r="F229" s="95">
        <v>950</v>
      </c>
      <c r="G229" s="96">
        <v>190</v>
      </c>
    </row>
    <row r="230" spans="2:7" ht="15.75" customHeight="1">
      <c r="B230" s="92" t="s">
        <v>264</v>
      </c>
      <c r="C230" s="93" t="s">
        <v>23</v>
      </c>
      <c r="D230" s="94">
        <v>0.35</v>
      </c>
      <c r="E230" s="94">
        <v>0</v>
      </c>
      <c r="F230" s="95">
        <v>12000</v>
      </c>
      <c r="G230" s="96">
        <v>4200</v>
      </c>
    </row>
    <row r="231" spans="2:7" ht="15.75" customHeight="1">
      <c r="B231" s="97"/>
      <c r="C231" s="98"/>
      <c r="D231" s="99"/>
      <c r="E231" s="99"/>
      <c r="F231" s="100" t="s">
        <v>209</v>
      </c>
      <c r="G231" s="104">
        <v>4590</v>
      </c>
    </row>
    <row r="232" spans="2:7" ht="15.75" customHeight="1">
      <c r="B232" s="106" t="s">
        <v>210</v>
      </c>
      <c r="C232" s="98" t="s">
        <v>211</v>
      </c>
      <c r="D232" s="98" t="s">
        <v>212</v>
      </c>
      <c r="E232" s="98" t="s">
        <v>213</v>
      </c>
      <c r="F232" s="107" t="s">
        <v>214</v>
      </c>
      <c r="G232" s="108" t="s">
        <v>215</v>
      </c>
    </row>
    <row r="233" spans="2:7" ht="15.75" customHeight="1">
      <c r="B233" s="92" t="s">
        <v>265</v>
      </c>
      <c r="C233" s="109">
        <v>83135</v>
      </c>
      <c r="D233" s="103">
        <v>1.85</v>
      </c>
      <c r="E233" s="110">
        <v>153799</v>
      </c>
      <c r="F233" s="111">
        <v>20</v>
      </c>
      <c r="G233" s="96">
        <v>7689.95</v>
      </c>
    </row>
    <row r="234" spans="2:7" ht="15.75" customHeight="1">
      <c r="B234" s="97"/>
      <c r="C234" s="98"/>
      <c r="D234" s="99"/>
      <c r="E234" s="99"/>
      <c r="F234" s="100" t="s">
        <v>217</v>
      </c>
      <c r="G234" s="104">
        <v>7689.95</v>
      </c>
    </row>
    <row r="235" spans="2:7" ht="15.75" customHeight="1">
      <c r="B235" s="97"/>
      <c r="C235" s="98"/>
      <c r="D235" s="99"/>
      <c r="E235" s="99"/>
      <c r="F235" s="100"/>
      <c r="G235" s="101"/>
    </row>
    <row r="236" spans="2:7" ht="15.75" customHeight="1">
      <c r="B236" s="112"/>
      <c r="C236" s="113"/>
      <c r="D236" s="114"/>
      <c r="E236" s="115" t="s">
        <v>218</v>
      </c>
      <c r="F236" s="116">
        <v>12664.44</v>
      </c>
      <c r="G236" s="117">
        <v>12664</v>
      </c>
    </row>
    <row r="237" spans="2:7" ht="15.75" customHeight="1">
      <c r="B237" s="118" t="s">
        <v>219</v>
      </c>
      <c r="C237" s="119"/>
      <c r="D237" s="120"/>
      <c r="E237" s="120"/>
      <c r="F237" s="121"/>
      <c r="G237" s="122"/>
    </row>
    <row r="238" spans="2:7" ht="15.75" customHeight="1">
      <c r="B238" s="123" t="s">
        <v>1</v>
      </c>
      <c r="C238" s="124"/>
      <c r="D238" s="125"/>
      <c r="E238" s="126">
        <v>0.15</v>
      </c>
      <c r="F238" s="127"/>
      <c r="G238" s="128">
        <v>1899.6</v>
      </c>
    </row>
    <row r="239" spans="2:7" ht="15.75" customHeight="1">
      <c r="B239" s="123" t="s">
        <v>3</v>
      </c>
      <c r="C239" s="124"/>
      <c r="D239" s="125"/>
      <c r="E239" s="126">
        <v>0.05</v>
      </c>
      <c r="F239" s="127"/>
      <c r="G239" s="128">
        <v>633.20000000000005</v>
      </c>
    </row>
    <row r="240" spans="2:7" ht="15.75" customHeight="1">
      <c r="B240" s="123" t="s">
        <v>2</v>
      </c>
      <c r="C240" s="124"/>
      <c r="D240" s="125"/>
      <c r="E240" s="126">
        <v>0.05</v>
      </c>
      <c r="F240" s="127"/>
      <c r="G240" s="128">
        <v>633.20000000000005</v>
      </c>
    </row>
    <row r="241" spans="2:7" ht="15.75" customHeight="1">
      <c r="B241" s="123" t="s">
        <v>220</v>
      </c>
      <c r="C241" s="124"/>
      <c r="D241" s="125"/>
      <c r="E241" s="126">
        <v>0</v>
      </c>
      <c r="F241" s="127"/>
      <c r="G241" s="128">
        <v>0</v>
      </c>
    </row>
    <row r="242" spans="2:7" ht="15.75" customHeight="1">
      <c r="B242" s="105" t="s">
        <v>221</v>
      </c>
      <c r="C242" s="98"/>
      <c r="D242" s="99"/>
      <c r="E242" s="99"/>
      <c r="F242" s="129"/>
      <c r="G242" s="130">
        <v>3166</v>
      </c>
    </row>
    <row r="243" spans="2:7" ht="15.75" customHeight="1">
      <c r="B243" s="131"/>
      <c r="C243" s="132"/>
      <c r="D243" s="114"/>
      <c r="E243" s="115" t="s">
        <v>222</v>
      </c>
      <c r="F243" s="133">
        <v>15830</v>
      </c>
      <c r="G243" s="117">
        <v>15830</v>
      </c>
    </row>
    <row r="244" spans="2:7" ht="15.75" customHeight="1">
      <c r="B244" s="21"/>
      <c r="C244" s="21"/>
      <c r="D244" s="21"/>
      <c r="E244" s="21"/>
      <c r="F244" s="21"/>
      <c r="G244" s="21"/>
    </row>
    <row r="245" spans="2:7" ht="15.75" customHeight="1">
      <c r="B245" s="21"/>
      <c r="C245" s="21"/>
      <c r="D245" s="21"/>
      <c r="E245" s="21"/>
      <c r="F245" s="21"/>
      <c r="G245" s="21"/>
    </row>
    <row r="246" spans="2:7" ht="15.75" customHeight="1">
      <c r="B246" s="923" t="s">
        <v>267</v>
      </c>
      <c r="C246" s="911"/>
      <c r="D246" s="911"/>
      <c r="E246" s="924"/>
      <c r="F246" s="88"/>
      <c r="G246" s="89" t="s">
        <v>194</v>
      </c>
    </row>
    <row r="247" spans="2:7" ht="15.75" customHeight="1">
      <c r="B247" s="925"/>
      <c r="C247" s="926"/>
      <c r="D247" s="926"/>
      <c r="E247" s="927"/>
      <c r="F247" s="90"/>
      <c r="G247" s="91" t="s">
        <v>195</v>
      </c>
    </row>
    <row r="248" spans="2:7" ht="15.75" customHeight="1">
      <c r="B248" s="92" t="s">
        <v>65</v>
      </c>
      <c r="C248" s="93" t="s">
        <v>23</v>
      </c>
      <c r="D248" s="94" t="s">
        <v>196</v>
      </c>
      <c r="E248" s="94" t="s">
        <v>197</v>
      </c>
      <c r="F248" s="95" t="s">
        <v>198</v>
      </c>
      <c r="G248" s="96" t="s">
        <v>68</v>
      </c>
    </row>
    <row r="249" spans="2:7" ht="15.75" customHeight="1">
      <c r="B249" s="97"/>
      <c r="C249" s="98"/>
      <c r="D249" s="99"/>
      <c r="E249" s="99"/>
      <c r="F249" s="100"/>
      <c r="G249" s="101"/>
    </row>
    <row r="250" spans="2:7" ht="15.75" customHeight="1">
      <c r="B250" s="102" t="s">
        <v>199</v>
      </c>
      <c r="C250" s="98"/>
      <c r="D250" s="99"/>
      <c r="E250" s="99"/>
      <c r="F250" s="100"/>
      <c r="G250" s="101"/>
    </row>
    <row r="251" spans="2:7" ht="15.75" customHeight="1">
      <c r="B251" s="92" t="s">
        <v>87</v>
      </c>
      <c r="C251" s="93" t="s">
        <v>16</v>
      </c>
      <c r="D251" s="140">
        <v>0.6</v>
      </c>
      <c r="E251" s="94">
        <v>0</v>
      </c>
      <c r="F251" s="95">
        <v>18801.5</v>
      </c>
      <c r="G251" s="96">
        <v>11280.9</v>
      </c>
    </row>
    <row r="252" spans="2:7" ht="15.75" customHeight="1">
      <c r="B252" s="97"/>
      <c r="C252" s="98"/>
      <c r="D252" s="99"/>
      <c r="E252" s="99"/>
      <c r="F252" s="100" t="s">
        <v>200</v>
      </c>
      <c r="G252" s="104">
        <v>11280.9</v>
      </c>
    </row>
    <row r="253" spans="2:7" ht="15.75" customHeight="1">
      <c r="B253" s="106" t="s">
        <v>210</v>
      </c>
      <c r="C253" s="98" t="s">
        <v>211</v>
      </c>
      <c r="D253" s="98" t="s">
        <v>212</v>
      </c>
      <c r="E253" s="98" t="s">
        <v>213</v>
      </c>
      <c r="F253" s="107" t="s">
        <v>214</v>
      </c>
      <c r="G253" s="108" t="s">
        <v>215</v>
      </c>
    </row>
    <row r="254" spans="2:7" ht="15.75" customHeight="1">
      <c r="B254" s="134" t="s">
        <v>216</v>
      </c>
      <c r="C254" s="109">
        <v>101630</v>
      </c>
      <c r="D254" s="103">
        <v>1.85</v>
      </c>
      <c r="E254" s="110">
        <v>188015</v>
      </c>
      <c r="F254" s="137">
        <v>10</v>
      </c>
      <c r="G254" s="135">
        <v>18801.5</v>
      </c>
    </row>
    <row r="255" spans="2:7" ht="15.75" customHeight="1">
      <c r="B255" s="97"/>
      <c r="C255" s="98"/>
      <c r="D255" s="99"/>
      <c r="E255" s="99"/>
      <c r="F255" s="100" t="s">
        <v>217</v>
      </c>
      <c r="G255" s="104">
        <v>18801.5</v>
      </c>
    </row>
    <row r="256" spans="2:7" ht="15.75" customHeight="1">
      <c r="B256" s="97"/>
      <c r="C256" s="98"/>
      <c r="D256" s="99"/>
      <c r="E256" s="99"/>
      <c r="F256" s="100"/>
      <c r="G256" s="101"/>
    </row>
    <row r="257" spans="2:7" ht="15.75" customHeight="1">
      <c r="B257" s="112"/>
      <c r="C257" s="113"/>
      <c r="D257" s="114"/>
      <c r="E257" s="115" t="s">
        <v>218</v>
      </c>
      <c r="F257" s="116">
        <v>30082.400000000001</v>
      </c>
      <c r="G257" s="117">
        <v>30082</v>
      </c>
    </row>
    <row r="258" spans="2:7" ht="15.75" customHeight="1">
      <c r="B258" s="118" t="s">
        <v>219</v>
      </c>
      <c r="C258" s="119"/>
      <c r="D258" s="120"/>
      <c r="E258" s="120"/>
      <c r="F258" s="121"/>
      <c r="G258" s="122"/>
    </row>
    <row r="259" spans="2:7" ht="15.75" customHeight="1">
      <c r="B259" s="123" t="s">
        <v>1</v>
      </c>
      <c r="C259" s="124"/>
      <c r="D259" s="125"/>
      <c r="E259" s="126">
        <v>0.15</v>
      </c>
      <c r="F259" s="127"/>
      <c r="G259" s="128">
        <v>4512.3</v>
      </c>
    </row>
    <row r="260" spans="2:7" ht="15.75" customHeight="1">
      <c r="B260" s="123" t="s">
        <v>3</v>
      </c>
      <c r="C260" s="124"/>
      <c r="D260" s="125"/>
      <c r="E260" s="126">
        <v>0.05</v>
      </c>
      <c r="F260" s="127"/>
      <c r="G260" s="128">
        <v>1504.1</v>
      </c>
    </row>
    <row r="261" spans="2:7" ht="15.75" customHeight="1">
      <c r="B261" s="123" t="s">
        <v>2</v>
      </c>
      <c r="C261" s="124"/>
      <c r="D261" s="125"/>
      <c r="E261" s="126">
        <v>0.05</v>
      </c>
      <c r="F261" s="127"/>
      <c r="G261" s="128">
        <v>1504.1</v>
      </c>
    </row>
    <row r="262" spans="2:7" ht="15.75" customHeight="1">
      <c r="B262" s="123" t="s">
        <v>220</v>
      </c>
      <c r="C262" s="124"/>
      <c r="D262" s="125"/>
      <c r="E262" s="126">
        <v>0</v>
      </c>
      <c r="F262" s="127"/>
      <c r="G262" s="128">
        <v>0</v>
      </c>
    </row>
    <row r="263" spans="2:7" ht="15.75" customHeight="1">
      <c r="B263" s="105" t="s">
        <v>221</v>
      </c>
      <c r="C263" s="98"/>
      <c r="D263" s="99"/>
      <c r="E263" s="99"/>
      <c r="F263" s="129"/>
      <c r="G263" s="130">
        <v>7520.5</v>
      </c>
    </row>
    <row r="264" spans="2:7" ht="15.75" customHeight="1">
      <c r="B264" s="131"/>
      <c r="C264" s="132"/>
      <c r="D264" s="114"/>
      <c r="E264" s="115" t="s">
        <v>222</v>
      </c>
      <c r="F264" s="133">
        <v>37602.5</v>
      </c>
      <c r="G264" s="117">
        <v>37603</v>
      </c>
    </row>
    <row r="265" spans="2:7" ht="15.75" customHeight="1">
      <c r="B265" s="21"/>
      <c r="C265" s="21"/>
      <c r="D265" s="21"/>
      <c r="E265" s="21"/>
      <c r="F265" s="21"/>
      <c r="G265" s="21"/>
    </row>
    <row r="266" spans="2:7" ht="15.75" customHeight="1">
      <c r="B266" s="21"/>
      <c r="C266" s="21"/>
      <c r="D266" s="21"/>
      <c r="E266" s="21"/>
      <c r="F266" s="21"/>
      <c r="G266" s="21"/>
    </row>
    <row r="267" spans="2:7" ht="15.75" customHeight="1">
      <c r="B267" s="923" t="s">
        <v>268</v>
      </c>
      <c r="C267" s="911"/>
      <c r="D267" s="911"/>
      <c r="E267" s="924"/>
      <c r="F267" s="88"/>
      <c r="G267" s="89" t="s">
        <v>262</v>
      </c>
    </row>
    <row r="268" spans="2:7" ht="15.75" customHeight="1">
      <c r="B268" s="925"/>
      <c r="C268" s="926"/>
      <c r="D268" s="926"/>
      <c r="E268" s="927"/>
      <c r="F268" s="90"/>
      <c r="G268" s="91" t="s">
        <v>195</v>
      </c>
    </row>
    <row r="269" spans="2:7" ht="15.75" customHeight="1">
      <c r="B269" s="92" t="s">
        <v>65</v>
      </c>
      <c r="C269" s="93" t="s">
        <v>23</v>
      </c>
      <c r="D269" s="94" t="s">
        <v>196</v>
      </c>
      <c r="E269" s="94" t="s">
        <v>197</v>
      </c>
      <c r="F269" s="95" t="s">
        <v>198</v>
      </c>
      <c r="G269" s="96" t="s">
        <v>68</v>
      </c>
    </row>
    <row r="270" spans="2:7" ht="15.75" customHeight="1">
      <c r="B270" s="97"/>
      <c r="C270" s="98"/>
      <c r="D270" s="99"/>
      <c r="E270" s="99"/>
      <c r="F270" s="100"/>
      <c r="G270" s="101"/>
    </row>
    <row r="271" spans="2:7" ht="15.75" customHeight="1">
      <c r="B271" s="102" t="s">
        <v>199</v>
      </c>
      <c r="C271" s="98"/>
      <c r="D271" s="99"/>
      <c r="E271" s="99"/>
      <c r="F271" s="100"/>
      <c r="G271" s="101"/>
    </row>
    <row r="272" spans="2:7" ht="15.75" customHeight="1">
      <c r="B272" s="92" t="s">
        <v>87</v>
      </c>
      <c r="C272" s="93" t="s">
        <v>16</v>
      </c>
      <c r="D272" s="103">
        <v>0.05</v>
      </c>
      <c r="E272" s="94">
        <v>0</v>
      </c>
      <c r="F272" s="95">
        <v>4785.2</v>
      </c>
      <c r="G272" s="96">
        <v>239.26</v>
      </c>
    </row>
    <row r="273" spans="2:7" ht="15.75" customHeight="1">
      <c r="B273" s="97"/>
      <c r="C273" s="98"/>
      <c r="D273" s="99"/>
      <c r="E273" s="99"/>
      <c r="F273" s="100" t="s">
        <v>200</v>
      </c>
      <c r="G273" s="104">
        <v>239.26</v>
      </c>
    </row>
    <row r="274" spans="2:7" ht="15.75" customHeight="1">
      <c r="B274" s="105" t="s">
        <v>201</v>
      </c>
      <c r="C274" s="98"/>
      <c r="D274" s="99"/>
      <c r="E274" s="99"/>
      <c r="F274" s="100"/>
      <c r="G274" s="101"/>
    </row>
    <row r="275" spans="2:7" ht="15.75" customHeight="1">
      <c r="B275" s="92" t="s">
        <v>269</v>
      </c>
      <c r="C275" s="93" t="s">
        <v>23</v>
      </c>
      <c r="D275" s="94">
        <v>6.0000000000000001E-3</v>
      </c>
      <c r="E275" s="94">
        <v>2</v>
      </c>
      <c r="F275" s="95">
        <v>22390</v>
      </c>
      <c r="G275" s="96">
        <v>137.02000000000001</v>
      </c>
    </row>
    <row r="276" spans="2:7" ht="15.75" customHeight="1">
      <c r="B276" s="92" t="s">
        <v>270</v>
      </c>
      <c r="C276" s="93" t="s">
        <v>23</v>
      </c>
      <c r="D276" s="94">
        <v>6.0000000000000001E-3</v>
      </c>
      <c r="E276" s="94">
        <v>2</v>
      </c>
      <c r="F276" s="95">
        <v>48016</v>
      </c>
      <c r="G276" s="96">
        <v>293.85000000000002</v>
      </c>
    </row>
    <row r="277" spans="2:7" ht="15.75" customHeight="1">
      <c r="B277" s="92" t="s">
        <v>271</v>
      </c>
      <c r="C277" s="93" t="s">
        <v>23</v>
      </c>
      <c r="D277" s="94">
        <v>0.33300000000000002</v>
      </c>
      <c r="E277" s="94">
        <v>5</v>
      </c>
      <c r="F277" s="95">
        <v>8867</v>
      </c>
      <c r="G277" s="96">
        <v>3100.34</v>
      </c>
    </row>
    <row r="278" spans="2:7" ht="15.75" customHeight="1">
      <c r="B278" s="97"/>
      <c r="C278" s="98"/>
      <c r="D278" s="99"/>
      <c r="E278" s="99"/>
      <c r="F278" s="100" t="s">
        <v>209</v>
      </c>
      <c r="G278" s="104">
        <v>3531.21</v>
      </c>
    </row>
    <row r="279" spans="2:7" ht="15.75" customHeight="1">
      <c r="B279" s="106" t="s">
        <v>210</v>
      </c>
      <c r="C279" s="98" t="s">
        <v>211</v>
      </c>
      <c r="D279" s="98" t="s">
        <v>212</v>
      </c>
      <c r="E279" s="98" t="s">
        <v>213</v>
      </c>
      <c r="F279" s="107" t="s">
        <v>214</v>
      </c>
      <c r="G279" s="108" t="s">
        <v>215</v>
      </c>
    </row>
    <row r="280" spans="2:7" ht="15.75" customHeight="1">
      <c r="B280" s="92" t="s">
        <v>272</v>
      </c>
      <c r="C280" s="109">
        <v>103464</v>
      </c>
      <c r="D280" s="103">
        <v>1.85</v>
      </c>
      <c r="E280" s="110">
        <v>191408</v>
      </c>
      <c r="F280" s="111">
        <v>40</v>
      </c>
      <c r="G280" s="96">
        <v>4785.2</v>
      </c>
    </row>
    <row r="281" spans="2:7" ht="15.75" customHeight="1">
      <c r="B281" s="97"/>
      <c r="C281" s="98"/>
      <c r="D281" s="99"/>
      <c r="E281" s="99"/>
      <c r="F281" s="100" t="s">
        <v>217</v>
      </c>
      <c r="G281" s="104">
        <v>4785.2</v>
      </c>
    </row>
    <row r="282" spans="2:7" ht="15.75" customHeight="1">
      <c r="B282" s="97"/>
      <c r="C282" s="98"/>
      <c r="D282" s="99"/>
      <c r="E282" s="99"/>
      <c r="F282" s="100"/>
      <c r="G282" s="101"/>
    </row>
    <row r="283" spans="2:7" ht="15.75" customHeight="1">
      <c r="B283" s="112"/>
      <c r="C283" s="113"/>
      <c r="D283" s="114"/>
      <c r="E283" s="115" t="s">
        <v>218</v>
      </c>
      <c r="F283" s="116">
        <v>8555.67</v>
      </c>
      <c r="G283" s="117">
        <v>8556</v>
      </c>
    </row>
    <row r="284" spans="2:7" ht="15.75" customHeight="1">
      <c r="B284" s="118" t="s">
        <v>219</v>
      </c>
      <c r="C284" s="119"/>
      <c r="D284" s="120"/>
      <c r="E284" s="120"/>
      <c r="F284" s="121"/>
      <c r="G284" s="122"/>
    </row>
    <row r="285" spans="2:7" ht="15.75" customHeight="1">
      <c r="B285" s="123" t="s">
        <v>1</v>
      </c>
      <c r="C285" s="124"/>
      <c r="D285" s="125"/>
      <c r="E285" s="126">
        <v>0.15</v>
      </c>
      <c r="F285" s="127"/>
      <c r="G285" s="128">
        <v>1283.4000000000001</v>
      </c>
    </row>
    <row r="286" spans="2:7" ht="15.75" customHeight="1">
      <c r="B286" s="123" t="s">
        <v>3</v>
      </c>
      <c r="C286" s="124"/>
      <c r="D286" s="125"/>
      <c r="E286" s="126">
        <v>0.05</v>
      </c>
      <c r="F286" s="127"/>
      <c r="G286" s="128">
        <v>427.8</v>
      </c>
    </row>
    <row r="287" spans="2:7" ht="15.75" customHeight="1">
      <c r="B287" s="123" t="s">
        <v>2</v>
      </c>
      <c r="C287" s="124"/>
      <c r="D287" s="125"/>
      <c r="E287" s="126">
        <v>0.05</v>
      </c>
      <c r="F287" s="127"/>
      <c r="G287" s="128">
        <v>427.8</v>
      </c>
    </row>
    <row r="288" spans="2:7" ht="15.75" customHeight="1">
      <c r="B288" s="123" t="s">
        <v>220</v>
      </c>
      <c r="C288" s="124"/>
      <c r="D288" s="125"/>
      <c r="E288" s="126">
        <v>0</v>
      </c>
      <c r="F288" s="127"/>
      <c r="G288" s="128">
        <v>0</v>
      </c>
    </row>
    <row r="289" spans="2:7" ht="15.75" customHeight="1">
      <c r="B289" s="105" t="s">
        <v>221</v>
      </c>
      <c r="C289" s="98"/>
      <c r="D289" s="99"/>
      <c r="E289" s="99"/>
      <c r="F289" s="129"/>
      <c r="G289" s="130">
        <v>2139</v>
      </c>
    </row>
    <row r="290" spans="2:7" ht="15.75" customHeight="1">
      <c r="B290" s="131"/>
      <c r="C290" s="132"/>
      <c r="D290" s="114"/>
      <c r="E290" s="115" t="s">
        <v>222</v>
      </c>
      <c r="F290" s="133">
        <v>10695</v>
      </c>
      <c r="G290" s="117">
        <v>10695</v>
      </c>
    </row>
    <row r="291" spans="2:7" ht="15.75" customHeight="1">
      <c r="B291" s="21"/>
      <c r="C291" s="21"/>
      <c r="D291" s="21"/>
      <c r="E291" s="21"/>
      <c r="F291" s="21"/>
      <c r="G291" s="21"/>
    </row>
    <row r="292" spans="2:7" ht="15.75" customHeight="1">
      <c r="B292" s="21"/>
      <c r="C292" s="21"/>
      <c r="D292" s="21"/>
      <c r="E292" s="21"/>
      <c r="F292" s="21"/>
      <c r="G292" s="21"/>
    </row>
    <row r="293" spans="2:7" ht="15.75" customHeight="1">
      <c r="B293" s="923" t="s">
        <v>273</v>
      </c>
      <c r="C293" s="911"/>
      <c r="D293" s="911"/>
      <c r="E293" s="924"/>
      <c r="F293" s="88"/>
      <c r="G293" s="89" t="s">
        <v>232</v>
      </c>
    </row>
    <row r="294" spans="2:7" ht="15.75" customHeight="1">
      <c r="B294" s="925"/>
      <c r="C294" s="926"/>
      <c r="D294" s="926"/>
      <c r="E294" s="927"/>
      <c r="F294" s="90"/>
      <c r="G294" s="91" t="s">
        <v>195</v>
      </c>
    </row>
    <row r="295" spans="2:7" ht="15.75" customHeight="1">
      <c r="B295" s="92" t="s">
        <v>65</v>
      </c>
      <c r="C295" s="93" t="s">
        <v>23</v>
      </c>
      <c r="D295" s="94" t="s">
        <v>196</v>
      </c>
      <c r="E295" s="94" t="s">
        <v>197</v>
      </c>
      <c r="F295" s="95" t="s">
        <v>198</v>
      </c>
      <c r="G295" s="96" t="s">
        <v>68</v>
      </c>
    </row>
    <row r="296" spans="2:7" ht="15.75" customHeight="1">
      <c r="B296" s="97"/>
      <c r="C296" s="98"/>
      <c r="D296" s="99"/>
      <c r="E296" s="99"/>
      <c r="F296" s="100"/>
      <c r="G296" s="101"/>
    </row>
    <row r="297" spans="2:7" ht="15.75" customHeight="1">
      <c r="B297" s="102" t="s">
        <v>199</v>
      </c>
      <c r="C297" s="98"/>
      <c r="D297" s="99"/>
      <c r="E297" s="99"/>
      <c r="F297" s="100"/>
      <c r="G297" s="101"/>
    </row>
    <row r="298" spans="2:7" ht="15.75" customHeight="1">
      <c r="B298" s="92" t="s">
        <v>87</v>
      </c>
      <c r="C298" s="93" t="s">
        <v>16</v>
      </c>
      <c r="D298" s="103">
        <v>0.05</v>
      </c>
      <c r="E298" s="94">
        <v>0</v>
      </c>
      <c r="F298" s="95">
        <v>16747.571</v>
      </c>
      <c r="G298" s="96">
        <v>837.37</v>
      </c>
    </row>
    <row r="299" spans="2:7" ht="15.75" customHeight="1">
      <c r="B299" s="97"/>
      <c r="C299" s="98"/>
      <c r="D299" s="99"/>
      <c r="E299" s="99"/>
      <c r="F299" s="100" t="s">
        <v>200</v>
      </c>
      <c r="G299" s="104">
        <v>837.37</v>
      </c>
    </row>
    <row r="300" spans="2:7" ht="15.75" customHeight="1">
      <c r="B300" s="105" t="s">
        <v>201</v>
      </c>
      <c r="C300" s="98"/>
      <c r="D300" s="99"/>
      <c r="E300" s="99"/>
      <c r="F300" s="100"/>
      <c r="G300" s="101"/>
    </row>
    <row r="301" spans="2:7" ht="15.75" customHeight="1">
      <c r="B301" s="92" t="s">
        <v>274</v>
      </c>
      <c r="C301" s="93" t="s">
        <v>106</v>
      </c>
      <c r="D301" s="94">
        <v>0.2</v>
      </c>
      <c r="E301" s="94">
        <v>0</v>
      </c>
      <c r="F301" s="95">
        <v>5647</v>
      </c>
      <c r="G301" s="96">
        <v>1129.4000000000001</v>
      </c>
    </row>
    <row r="302" spans="2:7" ht="15.75" customHeight="1">
      <c r="B302" s="92" t="s">
        <v>275</v>
      </c>
      <c r="C302" s="93" t="s">
        <v>23</v>
      </c>
      <c r="D302" s="94">
        <v>1</v>
      </c>
      <c r="E302" s="94">
        <v>0</v>
      </c>
      <c r="F302" s="95">
        <v>80000</v>
      </c>
      <c r="G302" s="96">
        <v>80000</v>
      </c>
    </row>
    <row r="303" spans="2:7" ht="15.75" customHeight="1">
      <c r="B303" s="97"/>
      <c r="C303" s="98"/>
      <c r="D303" s="99"/>
      <c r="E303" s="99"/>
      <c r="F303" s="100" t="s">
        <v>209</v>
      </c>
      <c r="G303" s="104">
        <v>81129.399999999994</v>
      </c>
    </row>
    <row r="304" spans="2:7" ht="15.75" customHeight="1">
      <c r="B304" s="106" t="s">
        <v>210</v>
      </c>
      <c r="C304" s="98" t="s">
        <v>211</v>
      </c>
      <c r="D304" s="98" t="s">
        <v>212</v>
      </c>
      <c r="E304" s="98" t="s">
        <v>213</v>
      </c>
      <c r="F304" s="107" t="s">
        <v>214</v>
      </c>
      <c r="G304" s="108" t="s">
        <v>215</v>
      </c>
    </row>
    <row r="305" spans="2:7" ht="15.75" customHeight="1">
      <c r="B305" s="92" t="s">
        <v>272</v>
      </c>
      <c r="C305" s="109">
        <v>103464</v>
      </c>
      <c r="D305" s="103">
        <v>1.85</v>
      </c>
      <c r="E305" s="110">
        <v>191408</v>
      </c>
      <c r="F305" s="111">
        <v>11.429</v>
      </c>
      <c r="G305" s="96">
        <v>16747.571</v>
      </c>
    </row>
    <row r="306" spans="2:7" ht="15.75" customHeight="1">
      <c r="B306" s="97"/>
      <c r="C306" s="98"/>
      <c r="D306" s="99"/>
      <c r="E306" s="99"/>
      <c r="F306" s="100" t="s">
        <v>217</v>
      </c>
      <c r="G306" s="104">
        <v>16747.571</v>
      </c>
    </row>
    <row r="307" spans="2:7" ht="15.75" customHeight="1">
      <c r="B307" s="97"/>
      <c r="C307" s="98"/>
      <c r="D307" s="99"/>
      <c r="E307" s="99"/>
      <c r="F307" s="100"/>
      <c r="G307" s="101"/>
    </row>
    <row r="308" spans="2:7" ht="15.75" customHeight="1">
      <c r="B308" s="112"/>
      <c r="C308" s="113"/>
      <c r="D308" s="114"/>
      <c r="E308" s="115" t="s">
        <v>218</v>
      </c>
      <c r="F308" s="116">
        <v>98714.340999999986</v>
      </c>
      <c r="G308" s="117">
        <v>98714</v>
      </c>
    </row>
    <row r="309" spans="2:7" ht="15.75" customHeight="1">
      <c r="B309" s="118" t="s">
        <v>219</v>
      </c>
      <c r="C309" s="119"/>
      <c r="D309" s="120"/>
      <c r="E309" s="120"/>
      <c r="F309" s="121"/>
      <c r="G309" s="122"/>
    </row>
    <row r="310" spans="2:7" ht="15.75" customHeight="1">
      <c r="B310" s="123" t="s">
        <v>1</v>
      </c>
      <c r="C310" s="124"/>
      <c r="D310" s="125"/>
      <c r="E310" s="126">
        <v>0.15</v>
      </c>
      <c r="F310" s="127"/>
      <c r="G310" s="128">
        <v>14807.1</v>
      </c>
    </row>
    <row r="311" spans="2:7" ht="15.75" customHeight="1">
      <c r="B311" s="123" t="s">
        <v>3</v>
      </c>
      <c r="C311" s="124"/>
      <c r="D311" s="125"/>
      <c r="E311" s="126">
        <v>0.05</v>
      </c>
      <c r="F311" s="127"/>
      <c r="G311" s="128">
        <v>4935.7</v>
      </c>
    </row>
    <row r="312" spans="2:7" ht="15.75" customHeight="1">
      <c r="B312" s="123" t="s">
        <v>2</v>
      </c>
      <c r="C312" s="124"/>
      <c r="D312" s="125"/>
      <c r="E312" s="126">
        <v>0.05</v>
      </c>
      <c r="F312" s="127"/>
      <c r="G312" s="128">
        <v>4935.7</v>
      </c>
    </row>
    <row r="313" spans="2:7" ht="15.75" customHeight="1">
      <c r="B313" s="123" t="s">
        <v>220</v>
      </c>
      <c r="C313" s="124"/>
      <c r="D313" s="125"/>
      <c r="E313" s="126">
        <v>0</v>
      </c>
      <c r="F313" s="127"/>
      <c r="G313" s="128">
        <v>0</v>
      </c>
    </row>
    <row r="314" spans="2:7" ht="15.75" customHeight="1">
      <c r="B314" s="105" t="s">
        <v>221</v>
      </c>
      <c r="C314" s="98"/>
      <c r="D314" s="99"/>
      <c r="E314" s="99"/>
      <c r="F314" s="129"/>
      <c r="G314" s="130">
        <v>24678.5</v>
      </c>
    </row>
    <row r="315" spans="2:7" ht="15.75" customHeight="1">
      <c r="B315" s="131"/>
      <c r="C315" s="132"/>
      <c r="D315" s="114"/>
      <c r="E315" s="115" t="s">
        <v>222</v>
      </c>
      <c r="F315" s="133">
        <v>123392.5</v>
      </c>
      <c r="G315" s="117">
        <v>123393</v>
      </c>
    </row>
    <row r="316" spans="2:7" ht="15.75" customHeight="1">
      <c r="B316" s="21"/>
      <c r="C316" s="21"/>
      <c r="D316" s="21"/>
      <c r="E316" s="21"/>
      <c r="F316" s="21"/>
      <c r="G316" s="21"/>
    </row>
    <row r="317" spans="2:7" ht="15.75" customHeight="1">
      <c r="B317" s="21"/>
      <c r="C317" s="21"/>
      <c r="D317" s="21"/>
      <c r="E317" s="21"/>
      <c r="F317" s="21"/>
      <c r="G317" s="21"/>
    </row>
    <row r="318" spans="2:7" ht="15.75" customHeight="1">
      <c r="B318" s="923" t="s">
        <v>276</v>
      </c>
      <c r="C318" s="911"/>
      <c r="D318" s="911"/>
      <c r="E318" s="924"/>
      <c r="F318" s="88"/>
      <c r="G318" s="89" t="s">
        <v>232</v>
      </c>
    </row>
    <row r="319" spans="2:7" ht="15.75" customHeight="1">
      <c r="B319" s="925"/>
      <c r="C319" s="926"/>
      <c r="D319" s="926"/>
      <c r="E319" s="927"/>
      <c r="F319" s="90"/>
      <c r="G319" s="91" t="s">
        <v>195</v>
      </c>
    </row>
    <row r="320" spans="2:7" ht="15.75" customHeight="1">
      <c r="B320" s="92" t="s">
        <v>65</v>
      </c>
      <c r="C320" s="93" t="s">
        <v>23</v>
      </c>
      <c r="D320" s="94" t="s">
        <v>196</v>
      </c>
      <c r="E320" s="94" t="s">
        <v>197</v>
      </c>
      <c r="F320" s="95" t="s">
        <v>198</v>
      </c>
      <c r="G320" s="96" t="s">
        <v>68</v>
      </c>
    </row>
    <row r="321" spans="2:7" ht="15.75" customHeight="1">
      <c r="B321" s="97"/>
      <c r="C321" s="98"/>
      <c r="D321" s="99"/>
      <c r="E321" s="99"/>
      <c r="F321" s="100"/>
      <c r="G321" s="101"/>
    </row>
    <row r="322" spans="2:7" ht="15.75" customHeight="1">
      <c r="B322" s="102" t="s">
        <v>199</v>
      </c>
      <c r="C322" s="98"/>
      <c r="D322" s="99"/>
      <c r="E322" s="99"/>
      <c r="F322" s="100"/>
      <c r="G322" s="101"/>
    </row>
    <row r="323" spans="2:7" ht="15.75" customHeight="1">
      <c r="B323" s="92" t="s">
        <v>87</v>
      </c>
      <c r="C323" s="93" t="s">
        <v>16</v>
      </c>
      <c r="D323" s="103">
        <v>0.05</v>
      </c>
      <c r="E323" s="94">
        <v>0</v>
      </c>
      <c r="F323" s="95">
        <v>14354.882</v>
      </c>
      <c r="G323" s="96">
        <v>717.74</v>
      </c>
    </row>
    <row r="324" spans="2:7" ht="15.75" customHeight="1">
      <c r="B324" s="97"/>
      <c r="C324" s="98"/>
      <c r="D324" s="99"/>
      <c r="E324" s="99"/>
      <c r="F324" s="100" t="s">
        <v>200</v>
      </c>
      <c r="G324" s="104">
        <v>717.74</v>
      </c>
    </row>
    <row r="325" spans="2:7" ht="15.75" customHeight="1">
      <c r="B325" s="105" t="s">
        <v>201</v>
      </c>
      <c r="C325" s="98"/>
      <c r="D325" s="99"/>
      <c r="E325" s="99"/>
      <c r="F325" s="100"/>
      <c r="G325" s="101"/>
    </row>
    <row r="326" spans="2:7" ht="15.75" customHeight="1">
      <c r="B326" s="92" t="s">
        <v>277</v>
      </c>
      <c r="C326" s="93" t="s">
        <v>23</v>
      </c>
      <c r="D326" s="94">
        <v>2</v>
      </c>
      <c r="E326" s="94">
        <v>0</v>
      </c>
      <c r="F326" s="95">
        <v>150</v>
      </c>
      <c r="G326" s="96">
        <v>300</v>
      </c>
    </row>
    <row r="327" spans="2:7" ht="15.75" customHeight="1">
      <c r="B327" s="92" t="s">
        <v>278</v>
      </c>
      <c r="C327" s="93" t="s">
        <v>23</v>
      </c>
      <c r="D327" s="94">
        <v>1</v>
      </c>
      <c r="E327" s="94">
        <v>0</v>
      </c>
      <c r="F327" s="95">
        <v>204</v>
      </c>
      <c r="G327" s="96">
        <v>204</v>
      </c>
    </row>
    <row r="328" spans="2:7" ht="15.75" customHeight="1">
      <c r="B328" s="92" t="s">
        <v>269</v>
      </c>
      <c r="C328" s="93" t="s">
        <v>23</v>
      </c>
      <c r="D328" s="94">
        <v>3.0000000000000001E-3</v>
      </c>
      <c r="E328" s="94">
        <v>5</v>
      </c>
      <c r="F328" s="95">
        <v>22390</v>
      </c>
      <c r="G328" s="96">
        <v>70.52</v>
      </c>
    </row>
    <row r="329" spans="2:7" ht="15.75" customHeight="1">
      <c r="B329" s="92" t="s">
        <v>270</v>
      </c>
      <c r="C329" s="93" t="s">
        <v>23</v>
      </c>
      <c r="D329" s="94">
        <v>3.0000000000000001E-3</v>
      </c>
      <c r="E329" s="94">
        <v>5</v>
      </c>
      <c r="F329" s="95">
        <v>48016</v>
      </c>
      <c r="G329" s="96">
        <v>151.25</v>
      </c>
    </row>
    <row r="330" spans="2:7" ht="15.75" customHeight="1">
      <c r="B330" s="92" t="s">
        <v>279</v>
      </c>
      <c r="C330" s="93" t="s">
        <v>23</v>
      </c>
      <c r="D330" s="94">
        <v>2</v>
      </c>
      <c r="E330" s="94">
        <v>0</v>
      </c>
      <c r="F330" s="95">
        <v>2473</v>
      </c>
      <c r="G330" s="96">
        <v>4946</v>
      </c>
    </row>
    <row r="331" spans="2:7" ht="15.75" customHeight="1">
      <c r="B331" s="92" t="s">
        <v>280</v>
      </c>
      <c r="C331" s="93" t="s">
        <v>23</v>
      </c>
      <c r="D331" s="94">
        <v>1</v>
      </c>
      <c r="E331" s="94">
        <v>0</v>
      </c>
      <c r="F331" s="95">
        <v>900</v>
      </c>
      <c r="G331" s="96">
        <v>900</v>
      </c>
    </row>
    <row r="332" spans="2:7" ht="15.75" customHeight="1">
      <c r="B332" s="92" t="s">
        <v>274</v>
      </c>
      <c r="C332" s="93" t="s">
        <v>106</v>
      </c>
      <c r="D332" s="94">
        <v>0.1</v>
      </c>
      <c r="E332" s="94">
        <v>0</v>
      </c>
      <c r="F332" s="95">
        <v>5647</v>
      </c>
      <c r="G332" s="96">
        <v>564.70000000000005</v>
      </c>
    </row>
    <row r="333" spans="2:7" ht="15.75" customHeight="1">
      <c r="B333" s="97"/>
      <c r="C333" s="98"/>
      <c r="D333" s="99"/>
      <c r="E333" s="99"/>
      <c r="F333" s="100" t="s">
        <v>209</v>
      </c>
      <c r="G333" s="104">
        <v>7136.47</v>
      </c>
    </row>
    <row r="334" spans="2:7" ht="15.75" customHeight="1">
      <c r="B334" s="106" t="s">
        <v>210</v>
      </c>
      <c r="C334" s="98" t="s">
        <v>211</v>
      </c>
      <c r="D334" s="98" t="s">
        <v>212</v>
      </c>
      <c r="E334" s="98" t="s">
        <v>213</v>
      </c>
      <c r="F334" s="107" t="s">
        <v>214</v>
      </c>
      <c r="G334" s="108" t="s">
        <v>215</v>
      </c>
    </row>
    <row r="335" spans="2:7" ht="15.75" customHeight="1">
      <c r="B335" s="92" t="s">
        <v>272</v>
      </c>
      <c r="C335" s="109">
        <v>103464</v>
      </c>
      <c r="D335" s="103">
        <v>1.85</v>
      </c>
      <c r="E335" s="110">
        <v>191408</v>
      </c>
      <c r="F335" s="111">
        <v>13.334</v>
      </c>
      <c r="G335" s="96">
        <v>14354.882</v>
      </c>
    </row>
    <row r="336" spans="2:7" ht="15.75" customHeight="1">
      <c r="B336" s="97"/>
      <c r="C336" s="98"/>
      <c r="D336" s="99"/>
      <c r="E336" s="99"/>
      <c r="F336" s="100" t="s">
        <v>217</v>
      </c>
      <c r="G336" s="104">
        <v>14354.882</v>
      </c>
    </row>
    <row r="337" spans="2:7" ht="15.75" customHeight="1">
      <c r="B337" s="97"/>
      <c r="C337" s="98"/>
      <c r="D337" s="99"/>
      <c r="E337" s="99"/>
      <c r="F337" s="100"/>
      <c r="G337" s="101"/>
    </row>
    <row r="338" spans="2:7" ht="15.75" customHeight="1">
      <c r="B338" s="112"/>
      <c r="C338" s="113"/>
      <c r="D338" s="114"/>
      <c r="E338" s="115" t="s">
        <v>218</v>
      </c>
      <c r="F338" s="116">
        <v>22209.092000000001</v>
      </c>
      <c r="G338" s="117">
        <v>22209</v>
      </c>
    </row>
    <row r="339" spans="2:7" ht="15.75" customHeight="1">
      <c r="B339" s="118" t="s">
        <v>219</v>
      </c>
      <c r="C339" s="119"/>
      <c r="D339" s="120"/>
      <c r="E339" s="120"/>
      <c r="F339" s="121"/>
      <c r="G339" s="122"/>
    </row>
    <row r="340" spans="2:7" ht="15.75" customHeight="1">
      <c r="B340" s="123" t="s">
        <v>1</v>
      </c>
      <c r="C340" s="124"/>
      <c r="D340" s="125"/>
      <c r="E340" s="126">
        <v>0.15</v>
      </c>
      <c r="F340" s="127"/>
      <c r="G340" s="128">
        <v>3331.35</v>
      </c>
    </row>
    <row r="341" spans="2:7" ht="15.75" customHeight="1">
      <c r="B341" s="123" t="s">
        <v>3</v>
      </c>
      <c r="C341" s="124"/>
      <c r="D341" s="125"/>
      <c r="E341" s="126">
        <v>0.05</v>
      </c>
      <c r="F341" s="127"/>
      <c r="G341" s="128">
        <v>1110.45</v>
      </c>
    </row>
    <row r="342" spans="2:7" ht="15.75" customHeight="1">
      <c r="B342" s="123" t="s">
        <v>2</v>
      </c>
      <c r="C342" s="124"/>
      <c r="D342" s="125"/>
      <c r="E342" s="126">
        <v>0.05</v>
      </c>
      <c r="F342" s="127"/>
      <c r="G342" s="128">
        <v>1110.45</v>
      </c>
    </row>
    <row r="343" spans="2:7" ht="15.75" customHeight="1">
      <c r="B343" s="123" t="s">
        <v>220</v>
      </c>
      <c r="C343" s="124"/>
      <c r="D343" s="125"/>
      <c r="E343" s="126">
        <v>0</v>
      </c>
      <c r="F343" s="127"/>
      <c r="G343" s="128">
        <v>0</v>
      </c>
    </row>
    <row r="344" spans="2:7" ht="15.75" customHeight="1">
      <c r="B344" s="105" t="s">
        <v>221</v>
      </c>
      <c r="C344" s="98"/>
      <c r="D344" s="99"/>
      <c r="E344" s="99"/>
      <c r="F344" s="129"/>
      <c r="G344" s="130">
        <v>5552.25</v>
      </c>
    </row>
    <row r="345" spans="2:7" ht="15.75" customHeight="1">
      <c r="B345" s="131"/>
      <c r="C345" s="132"/>
      <c r="D345" s="114"/>
      <c r="E345" s="115" t="s">
        <v>222</v>
      </c>
      <c r="F345" s="133">
        <v>27761.25</v>
      </c>
      <c r="G345" s="117">
        <v>27761</v>
      </c>
    </row>
    <row r="346" spans="2:7" ht="15.75" customHeight="1">
      <c r="B346" s="21"/>
      <c r="C346" s="21"/>
      <c r="D346" s="21"/>
      <c r="E346" s="21"/>
      <c r="F346" s="21"/>
      <c r="G346" s="21"/>
    </row>
    <row r="347" spans="2:7" ht="15.75" customHeight="1">
      <c r="B347" s="21"/>
      <c r="C347" s="21"/>
      <c r="D347" s="21"/>
      <c r="E347" s="21"/>
      <c r="F347" s="21"/>
      <c r="G347" s="21"/>
    </row>
    <row r="348" spans="2:7" ht="15.75" customHeight="1">
      <c r="B348" s="923" t="s">
        <v>281</v>
      </c>
      <c r="C348" s="911"/>
      <c r="D348" s="911"/>
      <c r="E348" s="924"/>
      <c r="F348" s="88"/>
      <c r="G348" s="89" t="s">
        <v>282</v>
      </c>
    </row>
    <row r="349" spans="2:7" ht="15.75" customHeight="1">
      <c r="B349" s="925"/>
      <c r="C349" s="926"/>
      <c r="D349" s="926"/>
      <c r="E349" s="927"/>
      <c r="F349" s="90"/>
      <c r="G349" s="91" t="s">
        <v>195</v>
      </c>
    </row>
    <row r="350" spans="2:7" ht="15.75" customHeight="1">
      <c r="B350" s="92" t="s">
        <v>65</v>
      </c>
      <c r="C350" s="93" t="s">
        <v>23</v>
      </c>
      <c r="D350" s="93" t="s">
        <v>196</v>
      </c>
      <c r="E350" s="93" t="s">
        <v>197</v>
      </c>
      <c r="F350" s="141" t="s">
        <v>198</v>
      </c>
      <c r="G350" s="142" t="s">
        <v>68</v>
      </c>
    </row>
    <row r="351" spans="2:7" ht="15.75" customHeight="1">
      <c r="B351" s="97"/>
      <c r="C351" s="98"/>
      <c r="D351" s="99"/>
      <c r="E351" s="99"/>
      <c r="F351" s="100"/>
      <c r="G351" s="143"/>
    </row>
    <row r="352" spans="2:7" ht="15.75" customHeight="1">
      <c r="B352" s="105" t="s">
        <v>199</v>
      </c>
      <c r="C352" s="98"/>
      <c r="D352" s="99"/>
      <c r="E352" s="99"/>
      <c r="F352" s="100"/>
      <c r="G352" s="143"/>
    </row>
    <row r="353" spans="2:7" ht="15.75" customHeight="1">
      <c r="B353" s="97"/>
      <c r="C353" s="98"/>
      <c r="D353" s="99"/>
      <c r="E353" s="99"/>
      <c r="F353" s="100" t="s">
        <v>283</v>
      </c>
      <c r="G353" s="144">
        <v>300000</v>
      </c>
    </row>
    <row r="354" spans="2:7" ht="15.75" customHeight="1">
      <c r="B354" s="105" t="s">
        <v>201</v>
      </c>
      <c r="C354" s="98"/>
      <c r="D354" s="99"/>
      <c r="E354" s="99"/>
      <c r="F354" s="100"/>
      <c r="G354" s="143"/>
    </row>
    <row r="355" spans="2:7" ht="15.75" customHeight="1">
      <c r="B355" s="97"/>
      <c r="C355" s="98"/>
      <c r="D355" s="99"/>
      <c r="E355" s="99"/>
      <c r="F355" s="100" t="s">
        <v>209</v>
      </c>
      <c r="G355" s="144">
        <v>0</v>
      </c>
    </row>
    <row r="356" spans="2:7" ht="15.75" customHeight="1">
      <c r="B356" s="105" t="s">
        <v>210</v>
      </c>
      <c r="C356" s="98"/>
      <c r="D356" s="99"/>
      <c r="E356" s="99"/>
      <c r="F356" s="100"/>
      <c r="G356" s="143"/>
    </row>
    <row r="357" spans="2:7" ht="15.75" customHeight="1">
      <c r="B357" s="97"/>
      <c r="C357" s="98"/>
      <c r="D357" s="99"/>
      <c r="E357" s="99"/>
      <c r="F357" s="100" t="s">
        <v>284</v>
      </c>
      <c r="G357" s="144">
        <v>0</v>
      </c>
    </row>
    <row r="358" spans="2:7" ht="15.75" customHeight="1">
      <c r="B358" s="97"/>
      <c r="C358" s="98"/>
      <c r="D358" s="99"/>
      <c r="E358" s="99"/>
      <c r="F358" s="100"/>
      <c r="G358" s="143"/>
    </row>
    <row r="359" spans="2:7" ht="15.75" customHeight="1">
      <c r="B359" s="112"/>
      <c r="C359" s="113"/>
      <c r="D359" s="114"/>
      <c r="E359" s="115" t="s">
        <v>218</v>
      </c>
      <c r="F359" s="133">
        <v>150000</v>
      </c>
      <c r="G359" s="117">
        <v>150000</v>
      </c>
    </row>
    <row r="360" spans="2:7" ht="15.75" customHeight="1">
      <c r="B360" s="145" t="s">
        <v>219</v>
      </c>
      <c r="C360" s="146"/>
      <c r="D360" s="147"/>
      <c r="E360" s="147"/>
      <c r="F360" s="148"/>
      <c r="G360" s="149"/>
    </row>
    <row r="361" spans="2:7" ht="15.75" customHeight="1">
      <c r="B361" s="123" t="s">
        <v>1</v>
      </c>
      <c r="C361" s="124"/>
      <c r="D361" s="150"/>
      <c r="E361" s="138">
        <v>0.15</v>
      </c>
      <c r="F361" s="151"/>
      <c r="G361" s="152">
        <v>22500</v>
      </c>
    </row>
    <row r="362" spans="2:7" ht="15.75" customHeight="1">
      <c r="B362" s="123" t="s">
        <v>3</v>
      </c>
      <c r="C362" s="124"/>
      <c r="D362" s="150"/>
      <c r="E362" s="138">
        <v>0.05</v>
      </c>
      <c r="F362" s="151"/>
      <c r="G362" s="152">
        <v>7500</v>
      </c>
    </row>
    <row r="363" spans="2:7" ht="15.75" customHeight="1">
      <c r="B363" s="123" t="s">
        <v>2</v>
      </c>
      <c r="C363" s="124"/>
      <c r="D363" s="150"/>
      <c r="E363" s="138">
        <v>0.05</v>
      </c>
      <c r="F363" s="151"/>
      <c r="G363" s="152">
        <v>7500</v>
      </c>
    </row>
    <row r="364" spans="2:7" ht="15.75" customHeight="1">
      <c r="B364" s="123" t="s">
        <v>220</v>
      </c>
      <c r="C364" s="124"/>
      <c r="D364" s="150"/>
      <c r="E364" s="138">
        <v>0</v>
      </c>
      <c r="F364" s="151"/>
      <c r="G364" s="152">
        <v>0</v>
      </c>
    </row>
    <row r="365" spans="2:7" ht="15.75" customHeight="1">
      <c r="B365" s="153" t="s">
        <v>285</v>
      </c>
      <c r="C365" s="98"/>
      <c r="D365" s="99"/>
      <c r="E365" s="99"/>
      <c r="F365" s="129"/>
      <c r="G365" s="154">
        <v>37500</v>
      </c>
    </row>
    <row r="366" spans="2:7" ht="15.75" customHeight="1">
      <c r="B366" s="131"/>
      <c r="C366" s="132"/>
      <c r="D366" s="114"/>
      <c r="E366" s="115" t="s">
        <v>222</v>
      </c>
      <c r="F366" s="133">
        <v>187500</v>
      </c>
      <c r="G366" s="117">
        <v>187500</v>
      </c>
    </row>
    <row r="367" spans="2:7" ht="15.75" customHeight="1">
      <c r="B367" s="21"/>
      <c r="C367" s="21"/>
      <c r="D367" s="21"/>
      <c r="E367" s="21"/>
      <c r="F367" s="21"/>
      <c r="G367" s="21"/>
    </row>
    <row r="368" spans="2:7" ht="15.75" customHeight="1">
      <c r="B368" s="21"/>
      <c r="C368" s="21"/>
      <c r="D368" s="21"/>
      <c r="E368" s="21"/>
      <c r="F368" s="21"/>
      <c r="G368" s="21"/>
    </row>
    <row r="369" spans="2:7" ht="15.75" customHeight="1">
      <c r="B369" s="923" t="s">
        <v>286</v>
      </c>
      <c r="C369" s="911"/>
      <c r="D369" s="911"/>
      <c r="E369" s="924"/>
      <c r="F369" s="88"/>
      <c r="G369" s="89" t="s">
        <v>287</v>
      </c>
    </row>
    <row r="370" spans="2:7" ht="15.75" customHeight="1">
      <c r="B370" s="925"/>
      <c r="C370" s="926"/>
      <c r="D370" s="926"/>
      <c r="E370" s="927"/>
      <c r="F370" s="90"/>
      <c r="G370" s="91" t="s">
        <v>195</v>
      </c>
    </row>
    <row r="371" spans="2:7" ht="15.75" customHeight="1">
      <c r="B371" s="92" t="s">
        <v>65</v>
      </c>
      <c r="C371" s="93" t="s">
        <v>23</v>
      </c>
      <c r="D371" s="93" t="s">
        <v>196</v>
      </c>
      <c r="E371" s="93" t="s">
        <v>197</v>
      </c>
      <c r="F371" s="141" t="s">
        <v>198</v>
      </c>
      <c r="G371" s="142" t="s">
        <v>68</v>
      </c>
    </row>
    <row r="372" spans="2:7" ht="15.75" customHeight="1">
      <c r="B372" s="97"/>
      <c r="C372" s="98"/>
      <c r="D372" s="99"/>
      <c r="E372" s="99"/>
      <c r="F372" s="100"/>
      <c r="G372" s="143"/>
    </row>
    <row r="373" spans="2:7" ht="15.75" customHeight="1">
      <c r="B373" s="105" t="s">
        <v>199</v>
      </c>
      <c r="C373" s="98"/>
      <c r="D373" s="99"/>
      <c r="E373" s="99"/>
      <c r="F373" s="100"/>
      <c r="G373" s="143"/>
    </row>
    <row r="374" spans="2:7" ht="15.75" customHeight="1">
      <c r="B374" s="97"/>
      <c r="C374" s="98"/>
      <c r="D374" s="99"/>
      <c r="E374" s="99"/>
      <c r="F374" s="100" t="s">
        <v>283</v>
      </c>
      <c r="G374" s="144">
        <v>450000</v>
      </c>
    </row>
    <row r="375" spans="2:7" ht="15.75" customHeight="1">
      <c r="B375" s="105" t="s">
        <v>201</v>
      </c>
      <c r="C375" s="98"/>
      <c r="D375" s="99"/>
      <c r="E375" s="99"/>
      <c r="F375" s="100"/>
      <c r="G375" s="143"/>
    </row>
    <row r="376" spans="2:7" ht="15.75" customHeight="1">
      <c r="B376" s="97"/>
      <c r="C376" s="98"/>
      <c r="D376" s="99"/>
      <c r="E376" s="99"/>
      <c r="F376" s="100" t="s">
        <v>209</v>
      </c>
      <c r="G376" s="144">
        <v>0</v>
      </c>
    </row>
    <row r="377" spans="2:7" ht="15.75" customHeight="1">
      <c r="B377" s="105" t="s">
        <v>210</v>
      </c>
      <c r="C377" s="98"/>
      <c r="D377" s="99"/>
      <c r="E377" s="99"/>
      <c r="F377" s="100"/>
      <c r="G377" s="143"/>
    </row>
    <row r="378" spans="2:7" ht="15.75" customHeight="1">
      <c r="B378" s="97"/>
      <c r="C378" s="98"/>
      <c r="D378" s="99"/>
      <c r="E378" s="99"/>
      <c r="F378" s="100" t="s">
        <v>284</v>
      </c>
      <c r="G378" s="144">
        <v>0</v>
      </c>
    </row>
    <row r="379" spans="2:7" ht="15.75" customHeight="1">
      <c r="B379" s="97"/>
      <c r="C379" s="98"/>
      <c r="D379" s="99"/>
      <c r="E379" s="99"/>
      <c r="F379" s="100"/>
      <c r="G379" s="143"/>
    </row>
    <row r="380" spans="2:7" ht="15.75" customHeight="1">
      <c r="B380" s="112"/>
      <c r="C380" s="113"/>
      <c r="D380" s="114"/>
      <c r="E380" s="115" t="s">
        <v>218</v>
      </c>
      <c r="F380" s="133">
        <v>225000</v>
      </c>
      <c r="G380" s="117">
        <v>225000</v>
      </c>
    </row>
    <row r="381" spans="2:7" ht="15.75" customHeight="1">
      <c r="B381" s="145" t="s">
        <v>219</v>
      </c>
      <c r="C381" s="146"/>
      <c r="D381" s="147"/>
      <c r="E381" s="147"/>
      <c r="F381" s="148"/>
      <c r="G381" s="149"/>
    </row>
    <row r="382" spans="2:7" ht="15.75" customHeight="1">
      <c r="B382" s="123" t="s">
        <v>1</v>
      </c>
      <c r="C382" s="124"/>
      <c r="D382" s="150"/>
      <c r="E382" s="138">
        <v>0.15</v>
      </c>
      <c r="F382" s="151"/>
      <c r="G382" s="152">
        <v>33750</v>
      </c>
    </row>
    <row r="383" spans="2:7" ht="15.75" customHeight="1">
      <c r="B383" s="123" t="s">
        <v>3</v>
      </c>
      <c r="C383" s="124"/>
      <c r="D383" s="150"/>
      <c r="E383" s="138">
        <v>0.05</v>
      </c>
      <c r="F383" s="151"/>
      <c r="G383" s="152">
        <v>11250</v>
      </c>
    </row>
    <row r="384" spans="2:7" ht="15.75" customHeight="1">
      <c r="B384" s="123" t="s">
        <v>2</v>
      </c>
      <c r="C384" s="124"/>
      <c r="D384" s="150"/>
      <c r="E384" s="138">
        <v>0.05</v>
      </c>
      <c r="F384" s="151"/>
      <c r="G384" s="152">
        <v>11250</v>
      </c>
    </row>
    <row r="385" spans="2:7" ht="15.75" customHeight="1">
      <c r="B385" s="123" t="s">
        <v>220</v>
      </c>
      <c r="C385" s="124"/>
      <c r="D385" s="150"/>
      <c r="E385" s="138">
        <v>0</v>
      </c>
      <c r="F385" s="151"/>
      <c r="G385" s="152">
        <v>0</v>
      </c>
    </row>
    <row r="386" spans="2:7" ht="15.75" customHeight="1">
      <c r="B386" s="153" t="s">
        <v>285</v>
      </c>
      <c r="C386" s="98"/>
      <c r="D386" s="99"/>
      <c r="E386" s="99"/>
      <c r="F386" s="129"/>
      <c r="G386" s="154">
        <v>56250</v>
      </c>
    </row>
    <row r="387" spans="2:7" ht="15.75" customHeight="1">
      <c r="B387" s="131"/>
      <c r="C387" s="132"/>
      <c r="D387" s="114"/>
      <c r="E387" s="115" t="s">
        <v>222</v>
      </c>
      <c r="F387" s="133">
        <v>281250</v>
      </c>
      <c r="G387" s="117">
        <v>281250</v>
      </c>
    </row>
    <row r="388" spans="2:7" ht="15.75" customHeight="1">
      <c r="B388" s="21"/>
      <c r="C388" s="21"/>
      <c r="D388" s="21"/>
      <c r="E388" s="21"/>
      <c r="F388" s="21"/>
      <c r="G388" s="21"/>
    </row>
    <row r="389" spans="2:7" ht="15.75" customHeight="1">
      <c r="B389" s="21"/>
      <c r="C389" s="21"/>
      <c r="D389" s="21"/>
      <c r="E389" s="21"/>
      <c r="F389" s="21"/>
      <c r="G389" s="21"/>
    </row>
    <row r="390" spans="2:7" ht="15.75" customHeight="1">
      <c r="B390" s="923" t="s">
        <v>288</v>
      </c>
      <c r="C390" s="911"/>
      <c r="D390" s="911"/>
      <c r="E390" s="924"/>
      <c r="F390" s="88"/>
      <c r="G390" s="89" t="s">
        <v>287</v>
      </c>
    </row>
    <row r="391" spans="2:7" ht="15.75" customHeight="1">
      <c r="B391" s="925"/>
      <c r="C391" s="926"/>
      <c r="D391" s="926"/>
      <c r="E391" s="927"/>
      <c r="F391" s="90"/>
      <c r="G391" s="91" t="s">
        <v>195</v>
      </c>
    </row>
    <row r="392" spans="2:7" ht="15.75" customHeight="1">
      <c r="B392" s="92" t="s">
        <v>65</v>
      </c>
      <c r="C392" s="93" t="s">
        <v>23</v>
      </c>
      <c r="D392" s="93" t="s">
        <v>196</v>
      </c>
      <c r="E392" s="93" t="s">
        <v>197</v>
      </c>
      <c r="F392" s="141" t="s">
        <v>198</v>
      </c>
      <c r="G392" s="142" t="s">
        <v>68</v>
      </c>
    </row>
    <row r="393" spans="2:7" ht="15.75" customHeight="1">
      <c r="B393" s="97"/>
      <c r="C393" s="98"/>
      <c r="D393" s="99"/>
      <c r="E393" s="99"/>
      <c r="F393" s="100"/>
      <c r="G393" s="143"/>
    </row>
    <row r="394" spans="2:7" ht="15.75" customHeight="1">
      <c r="B394" s="105" t="s">
        <v>201</v>
      </c>
      <c r="C394" s="98"/>
      <c r="D394" s="99"/>
      <c r="E394" s="99"/>
      <c r="F394" s="100"/>
      <c r="G394" s="143"/>
    </row>
    <row r="395" spans="2:7" ht="15.75" customHeight="1">
      <c r="B395" s="92" t="s">
        <v>289</v>
      </c>
      <c r="C395" s="93" t="s">
        <v>290</v>
      </c>
      <c r="D395" s="94">
        <v>1</v>
      </c>
      <c r="E395" s="94">
        <v>0</v>
      </c>
      <c r="F395" s="95">
        <v>9020</v>
      </c>
      <c r="G395" s="144">
        <v>9020</v>
      </c>
    </row>
    <row r="396" spans="2:7" ht="15.75" customHeight="1">
      <c r="B396" s="97"/>
      <c r="C396" s="98"/>
      <c r="D396" s="99"/>
      <c r="E396" s="99"/>
      <c r="F396" s="100" t="s">
        <v>209</v>
      </c>
      <c r="G396" s="155">
        <v>9020</v>
      </c>
    </row>
    <row r="397" spans="2:7" ht="15.75" customHeight="1">
      <c r="B397" s="105" t="s">
        <v>210</v>
      </c>
      <c r="C397" s="98"/>
      <c r="D397" s="99"/>
      <c r="E397" s="99"/>
      <c r="F397" s="100"/>
      <c r="G397" s="143"/>
    </row>
    <row r="398" spans="2:7" ht="15.75" customHeight="1">
      <c r="B398" s="92" t="s">
        <v>265</v>
      </c>
      <c r="C398" s="109">
        <v>83135</v>
      </c>
      <c r="D398" s="103">
        <v>1.85</v>
      </c>
      <c r="E398" s="110">
        <v>153799</v>
      </c>
      <c r="F398" s="111">
        <v>2</v>
      </c>
      <c r="G398" s="144">
        <v>76899.5</v>
      </c>
    </row>
    <row r="399" spans="2:7" ht="15.75" customHeight="1">
      <c r="B399" s="97"/>
      <c r="C399" s="98"/>
      <c r="D399" s="99"/>
      <c r="E399" s="99"/>
      <c r="F399" s="100" t="s">
        <v>284</v>
      </c>
      <c r="G399" s="155">
        <v>76899.5</v>
      </c>
    </row>
    <row r="400" spans="2:7" ht="15.75" customHeight="1">
      <c r="B400" s="105" t="s">
        <v>199</v>
      </c>
      <c r="C400" s="98"/>
      <c r="D400" s="99"/>
      <c r="E400" s="99"/>
      <c r="F400" s="100"/>
      <c r="G400" s="143"/>
    </row>
    <row r="401" spans="2:7" ht="15.75" customHeight="1">
      <c r="B401" s="92" t="s">
        <v>87</v>
      </c>
      <c r="C401" s="93" t="s">
        <v>16</v>
      </c>
      <c r="D401" s="103">
        <v>0.05</v>
      </c>
      <c r="E401" s="94"/>
      <c r="F401" s="95">
        <v>76899.5</v>
      </c>
      <c r="G401" s="144">
        <v>3844.97</v>
      </c>
    </row>
    <row r="402" spans="2:7" ht="15.75" customHeight="1">
      <c r="B402" s="97"/>
      <c r="C402" s="98"/>
      <c r="D402" s="99"/>
      <c r="E402" s="99"/>
      <c r="F402" s="100" t="s">
        <v>283</v>
      </c>
      <c r="G402" s="155">
        <v>3844.97</v>
      </c>
    </row>
    <row r="403" spans="2:7" ht="15.75" customHeight="1">
      <c r="B403" s="97"/>
      <c r="C403" s="98"/>
      <c r="D403" s="99"/>
      <c r="E403" s="99"/>
      <c r="F403" s="100"/>
      <c r="G403" s="143"/>
    </row>
    <row r="404" spans="2:7" ht="15.75" customHeight="1">
      <c r="B404" s="112"/>
      <c r="C404" s="113"/>
      <c r="D404" s="114"/>
      <c r="E404" s="115" t="s">
        <v>218</v>
      </c>
      <c r="F404" s="133">
        <v>89764.47</v>
      </c>
      <c r="G404" s="117">
        <v>89764</v>
      </c>
    </row>
    <row r="405" spans="2:7" ht="15.75" customHeight="1"/>
    <row r="406" spans="2:7" ht="15.75" customHeight="1"/>
    <row r="407" spans="2:7" ht="15.75" customHeight="1"/>
    <row r="408" spans="2:7" ht="15.75" customHeight="1"/>
    <row r="409" spans="2:7" ht="15.75" customHeight="1"/>
    <row r="410" spans="2:7" ht="15.75" customHeight="1"/>
    <row r="411" spans="2:7" ht="15.75" customHeight="1"/>
    <row r="412" spans="2:7" ht="15.75" customHeight="1"/>
    <row r="413" spans="2:7" ht="15.75" customHeight="1"/>
    <row r="414" spans="2:7" ht="15.75" customHeight="1"/>
    <row r="415" spans="2:7" ht="15.75" customHeight="1"/>
    <row r="416" spans="2:7"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B348:E349"/>
    <mergeCell ref="B369:E370"/>
    <mergeCell ref="B390:E391"/>
    <mergeCell ref="B91:E92"/>
    <mergeCell ref="B113:E114"/>
    <mergeCell ref="B140:E141"/>
    <mergeCell ref="B161:E162"/>
    <mergeCell ref="B191:E192"/>
    <mergeCell ref="B220:E221"/>
    <mergeCell ref="B246:E247"/>
    <mergeCell ref="B34:E35"/>
    <mergeCell ref="B58:E59"/>
    <mergeCell ref="B267:E268"/>
    <mergeCell ref="B293:E294"/>
    <mergeCell ref="B318:E319"/>
    <mergeCell ref="B2:D3"/>
    <mergeCell ref="E2:G3"/>
    <mergeCell ref="B4:E5"/>
    <mergeCell ref="F5:G5"/>
    <mergeCell ref="B7:E8"/>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J1000"/>
  <sheetViews>
    <sheetView workbookViewId="0"/>
  </sheetViews>
  <sheetFormatPr baseColWidth="10" defaultColWidth="14.42578125" defaultRowHeight="15" customHeight="1"/>
  <cols>
    <col min="1" max="2" width="10.7109375" customWidth="1"/>
    <col min="3" max="3" width="27.42578125" customWidth="1"/>
    <col min="4" max="4" width="30.28515625" customWidth="1"/>
    <col min="5" max="5" width="10.7109375" customWidth="1"/>
    <col min="6" max="6" width="3" hidden="1" customWidth="1"/>
    <col min="7" max="8" width="10.7109375" customWidth="1"/>
    <col min="9" max="9" width="13.140625" customWidth="1"/>
    <col min="10" max="10" width="18.42578125" customWidth="1"/>
    <col min="11" max="26" width="10.7109375" customWidth="1"/>
  </cols>
  <sheetData>
    <row r="1" spans="2:10">
      <c r="I1" s="11"/>
      <c r="J1" s="11"/>
    </row>
    <row r="2" spans="2:10" ht="18">
      <c r="B2" s="156"/>
      <c r="C2" s="157"/>
      <c r="D2" s="910" t="s">
        <v>190</v>
      </c>
      <c r="E2" s="912"/>
      <c r="F2" s="158"/>
      <c r="G2" s="159"/>
      <c r="H2" s="928" t="s">
        <v>291</v>
      </c>
      <c r="I2" s="911"/>
      <c r="J2" s="915"/>
    </row>
    <row r="3" spans="2:10" ht="18">
      <c r="B3" s="160"/>
      <c r="C3" s="157"/>
      <c r="D3" s="913"/>
      <c r="E3" s="807"/>
      <c r="F3" s="161"/>
      <c r="G3" s="162"/>
      <c r="H3" s="806"/>
      <c r="I3" s="806"/>
      <c r="J3" s="916"/>
    </row>
    <row r="4" spans="2:10">
      <c r="B4" s="160"/>
      <c r="C4" s="157"/>
      <c r="D4" s="929" t="s">
        <v>192</v>
      </c>
      <c r="E4" s="803"/>
      <c r="F4" s="803"/>
      <c r="G4" s="803"/>
      <c r="H4" s="803"/>
      <c r="I4" s="163" t="s">
        <v>10</v>
      </c>
      <c r="J4" s="164">
        <v>42108</v>
      </c>
    </row>
    <row r="5" spans="2:10">
      <c r="B5" s="165"/>
      <c r="C5" s="157"/>
      <c r="D5" s="918"/>
      <c r="E5" s="919"/>
      <c r="F5" s="919"/>
      <c r="G5" s="919"/>
      <c r="H5" s="919"/>
      <c r="I5" s="930">
        <v>0</v>
      </c>
      <c r="J5" s="931"/>
    </row>
    <row r="6" spans="2:10">
      <c r="B6" s="21"/>
      <c r="C6" s="21"/>
      <c r="D6" s="21"/>
      <c r="E6" s="21"/>
      <c r="F6" s="21"/>
      <c r="G6" s="21"/>
      <c r="H6" s="21"/>
      <c r="I6" s="166"/>
      <c r="J6" s="166"/>
    </row>
    <row r="7" spans="2:10">
      <c r="B7" s="167" t="s">
        <v>292</v>
      </c>
      <c r="C7" s="167" t="s">
        <v>293</v>
      </c>
      <c r="D7" s="168" t="s">
        <v>65</v>
      </c>
      <c r="E7" s="169" t="s">
        <v>23</v>
      </c>
      <c r="F7" s="170"/>
      <c r="G7" s="171"/>
      <c r="H7" s="168" t="s">
        <v>294</v>
      </c>
      <c r="I7" s="172" t="s">
        <v>196</v>
      </c>
      <c r="J7" s="172" t="s">
        <v>295</v>
      </c>
    </row>
    <row r="8" spans="2:10" ht="16.5">
      <c r="B8" s="173" t="s">
        <v>296</v>
      </c>
      <c r="C8" s="21"/>
      <c r="D8" s="174" t="s">
        <v>201</v>
      </c>
      <c r="E8" s="21"/>
      <c r="F8" s="21"/>
      <c r="G8" s="21"/>
      <c r="H8" s="21"/>
      <c r="I8" s="166"/>
      <c r="J8" s="175">
        <v>3811911.9057499999</v>
      </c>
    </row>
    <row r="9" spans="2:10">
      <c r="B9" s="176" t="s">
        <v>292</v>
      </c>
      <c r="C9" s="176" t="s">
        <v>293</v>
      </c>
      <c r="D9" s="177" t="s">
        <v>65</v>
      </c>
      <c r="E9" s="178" t="s">
        <v>23</v>
      </c>
      <c r="F9" s="179"/>
      <c r="G9" s="180"/>
      <c r="H9" s="177" t="s">
        <v>196</v>
      </c>
      <c r="I9" s="181" t="s">
        <v>294</v>
      </c>
      <c r="J9" s="181" t="s">
        <v>295</v>
      </c>
    </row>
    <row r="10" spans="2:10">
      <c r="B10" s="182">
        <v>100075</v>
      </c>
      <c r="C10" s="183" t="s">
        <v>297</v>
      </c>
      <c r="D10" s="183" t="s">
        <v>274</v>
      </c>
      <c r="E10" s="184" t="s">
        <v>106</v>
      </c>
      <c r="F10" s="185" t="s">
        <v>298</v>
      </c>
      <c r="G10" s="182" t="s">
        <v>299</v>
      </c>
      <c r="H10" s="186">
        <v>2.2999999999999998</v>
      </c>
      <c r="I10" s="187">
        <v>5647</v>
      </c>
      <c r="J10" s="188">
        <v>12988.099999999999</v>
      </c>
    </row>
    <row r="11" spans="2:10">
      <c r="B11" s="182">
        <v>100203</v>
      </c>
      <c r="C11" s="183" t="s">
        <v>300</v>
      </c>
      <c r="D11" s="183" t="s">
        <v>235</v>
      </c>
      <c r="E11" s="184" t="s">
        <v>23</v>
      </c>
      <c r="F11" s="185" t="s">
        <v>301</v>
      </c>
      <c r="G11" s="182" t="s">
        <v>299</v>
      </c>
      <c r="H11" s="186">
        <v>3</v>
      </c>
      <c r="I11" s="187">
        <v>2100</v>
      </c>
      <c r="J11" s="188">
        <v>6300</v>
      </c>
    </row>
    <row r="12" spans="2:10">
      <c r="B12" s="182">
        <v>100443</v>
      </c>
      <c r="C12" s="183" t="s">
        <v>297</v>
      </c>
      <c r="D12" s="183" t="s">
        <v>280</v>
      </c>
      <c r="E12" s="184" t="s">
        <v>23</v>
      </c>
      <c r="F12" s="185" t="s">
        <v>302</v>
      </c>
      <c r="G12" s="182" t="s">
        <v>299</v>
      </c>
      <c r="H12" s="186">
        <v>3</v>
      </c>
      <c r="I12" s="187">
        <v>900</v>
      </c>
      <c r="J12" s="188">
        <v>2700</v>
      </c>
    </row>
    <row r="13" spans="2:10">
      <c r="B13" s="182">
        <v>100486</v>
      </c>
      <c r="C13" s="183" t="s">
        <v>303</v>
      </c>
      <c r="D13" s="183" t="s">
        <v>236</v>
      </c>
      <c r="E13" s="184" t="s">
        <v>23</v>
      </c>
      <c r="F13" s="185" t="s">
        <v>304</v>
      </c>
      <c r="G13" s="182" t="s">
        <v>299</v>
      </c>
      <c r="H13" s="186">
        <v>1</v>
      </c>
      <c r="I13" s="187">
        <v>18328</v>
      </c>
      <c r="J13" s="188">
        <v>18328</v>
      </c>
    </row>
    <row r="14" spans="2:10">
      <c r="B14" s="182">
        <v>100821</v>
      </c>
      <c r="C14" s="183" t="s">
        <v>297</v>
      </c>
      <c r="D14" s="183" t="s">
        <v>278</v>
      </c>
      <c r="E14" s="184" t="s">
        <v>23</v>
      </c>
      <c r="F14" s="185" t="s">
        <v>305</v>
      </c>
      <c r="G14" s="182" t="s">
        <v>299</v>
      </c>
      <c r="H14" s="186">
        <v>3</v>
      </c>
      <c r="I14" s="187">
        <v>204</v>
      </c>
      <c r="J14" s="188">
        <v>612</v>
      </c>
    </row>
    <row r="15" spans="2:10">
      <c r="B15" s="182">
        <v>100930</v>
      </c>
      <c r="C15" s="183" t="s">
        <v>306</v>
      </c>
      <c r="D15" s="183" t="s">
        <v>237</v>
      </c>
      <c r="E15" s="184" t="s">
        <v>23</v>
      </c>
      <c r="F15" s="185" t="s">
        <v>307</v>
      </c>
      <c r="G15" s="182" t="s">
        <v>299</v>
      </c>
      <c r="H15" s="186">
        <v>8</v>
      </c>
      <c r="I15" s="187">
        <v>353</v>
      </c>
      <c r="J15" s="188">
        <v>2824</v>
      </c>
    </row>
    <row r="16" spans="2:10">
      <c r="B16" s="182">
        <v>100977</v>
      </c>
      <c r="C16" s="183" t="s">
        <v>308</v>
      </c>
      <c r="D16" s="183" t="s">
        <v>238</v>
      </c>
      <c r="E16" s="184" t="s">
        <v>23</v>
      </c>
      <c r="F16" s="185" t="s">
        <v>309</v>
      </c>
      <c r="G16" s="182" t="s">
        <v>299</v>
      </c>
      <c r="H16" s="186">
        <v>12</v>
      </c>
      <c r="I16" s="187">
        <v>2400</v>
      </c>
      <c r="J16" s="188">
        <v>28800</v>
      </c>
    </row>
    <row r="17" spans="2:10">
      <c r="B17" s="182">
        <v>101093</v>
      </c>
      <c r="C17" s="183" t="s">
        <v>297</v>
      </c>
      <c r="D17" s="183" t="s">
        <v>275</v>
      </c>
      <c r="E17" s="184" t="s">
        <v>23</v>
      </c>
      <c r="F17" s="185" t="s">
        <v>310</v>
      </c>
      <c r="G17" s="182" t="s">
        <v>299</v>
      </c>
      <c r="H17" s="186">
        <v>10</v>
      </c>
      <c r="I17" s="187">
        <v>80000</v>
      </c>
      <c r="J17" s="188">
        <v>800000</v>
      </c>
    </row>
    <row r="18" spans="2:10">
      <c r="B18" s="182">
        <v>101114</v>
      </c>
      <c r="C18" s="183" t="s">
        <v>311</v>
      </c>
      <c r="D18" s="183" t="s">
        <v>254</v>
      </c>
      <c r="E18" s="184" t="s">
        <v>255</v>
      </c>
      <c r="F18" s="185" t="s">
        <v>312</v>
      </c>
      <c r="G18" s="182" t="s">
        <v>299</v>
      </c>
      <c r="H18" s="186">
        <v>4</v>
      </c>
      <c r="I18" s="187">
        <v>950</v>
      </c>
      <c r="J18" s="188">
        <v>3800</v>
      </c>
    </row>
    <row r="19" spans="2:10">
      <c r="B19" s="182">
        <v>101128</v>
      </c>
      <c r="C19" s="183" t="s">
        <v>311</v>
      </c>
      <c r="D19" s="183" t="s">
        <v>269</v>
      </c>
      <c r="E19" s="184" t="s">
        <v>23</v>
      </c>
      <c r="F19" s="185" t="s">
        <v>313</v>
      </c>
      <c r="G19" s="182" t="s">
        <v>299</v>
      </c>
      <c r="H19" s="186">
        <v>0.10125000000000001</v>
      </c>
      <c r="I19" s="187">
        <v>22390</v>
      </c>
      <c r="J19" s="188">
        <v>2266.9875000000002</v>
      </c>
    </row>
    <row r="20" spans="2:10">
      <c r="B20" s="182">
        <v>101221</v>
      </c>
      <c r="C20" s="183" t="s">
        <v>314</v>
      </c>
      <c r="D20" s="183" t="s">
        <v>207</v>
      </c>
      <c r="E20" s="184" t="s">
        <v>208</v>
      </c>
      <c r="F20" s="185" t="s">
        <v>315</v>
      </c>
      <c r="G20" s="182" t="s">
        <v>299</v>
      </c>
      <c r="H20" s="186">
        <v>0.75</v>
      </c>
      <c r="I20" s="187">
        <v>7000</v>
      </c>
      <c r="J20" s="188">
        <v>5250</v>
      </c>
    </row>
    <row r="21" spans="2:10" ht="15.75" customHeight="1">
      <c r="B21" s="182">
        <v>101365</v>
      </c>
      <c r="C21" s="183" t="s">
        <v>311</v>
      </c>
      <c r="D21" s="183" t="s">
        <v>205</v>
      </c>
      <c r="E21" s="184" t="s">
        <v>206</v>
      </c>
      <c r="F21" s="185" t="s">
        <v>316</v>
      </c>
      <c r="G21" s="182" t="s">
        <v>299</v>
      </c>
      <c r="H21" s="186">
        <v>9</v>
      </c>
      <c r="I21" s="187">
        <v>2500</v>
      </c>
      <c r="J21" s="188">
        <v>22500</v>
      </c>
    </row>
    <row r="22" spans="2:10" ht="15.75" customHeight="1">
      <c r="B22" s="182">
        <v>101446</v>
      </c>
      <c r="C22" s="183" t="s">
        <v>303</v>
      </c>
      <c r="D22" s="183" t="s">
        <v>241</v>
      </c>
      <c r="E22" s="184" t="s">
        <v>23</v>
      </c>
      <c r="F22" s="185" t="s">
        <v>317</v>
      </c>
      <c r="G22" s="182" t="s">
        <v>299</v>
      </c>
      <c r="H22" s="186">
        <v>1</v>
      </c>
      <c r="I22" s="187">
        <v>2750</v>
      </c>
      <c r="J22" s="188">
        <v>2750</v>
      </c>
    </row>
    <row r="23" spans="2:10" ht="15.75" customHeight="1">
      <c r="B23" s="182">
        <v>101509</v>
      </c>
      <c r="C23" s="183" t="s">
        <v>318</v>
      </c>
      <c r="D23" s="183" t="s">
        <v>203</v>
      </c>
      <c r="E23" s="184" t="s">
        <v>204</v>
      </c>
      <c r="F23" s="185" t="s">
        <v>319</v>
      </c>
      <c r="G23" s="182" t="s">
        <v>299</v>
      </c>
      <c r="H23" s="186">
        <v>26</v>
      </c>
      <c r="I23" s="187">
        <v>2000</v>
      </c>
      <c r="J23" s="188">
        <v>52000</v>
      </c>
    </row>
    <row r="24" spans="2:10" ht="15.75" customHeight="1">
      <c r="B24" s="182">
        <v>101512</v>
      </c>
      <c r="C24" s="183" t="s">
        <v>318</v>
      </c>
      <c r="D24" s="183" t="s">
        <v>259</v>
      </c>
      <c r="E24" s="184" t="s">
        <v>204</v>
      </c>
      <c r="F24" s="185" t="s">
        <v>320</v>
      </c>
      <c r="G24" s="182" t="s">
        <v>299</v>
      </c>
      <c r="H24" s="186">
        <v>14</v>
      </c>
      <c r="I24" s="187">
        <v>2000</v>
      </c>
      <c r="J24" s="188">
        <v>28000</v>
      </c>
    </row>
    <row r="25" spans="2:10" ht="15.75" customHeight="1">
      <c r="B25" s="182">
        <v>101635</v>
      </c>
      <c r="C25" s="183" t="s">
        <v>321</v>
      </c>
      <c r="D25" s="183" t="s">
        <v>234</v>
      </c>
      <c r="E25" s="184" t="s">
        <v>160</v>
      </c>
      <c r="F25" s="185" t="s">
        <v>322</v>
      </c>
      <c r="G25" s="182" t="s">
        <v>299</v>
      </c>
      <c r="H25" s="186">
        <v>1.17</v>
      </c>
      <c r="I25" s="187">
        <v>19000</v>
      </c>
      <c r="J25" s="188">
        <v>22230</v>
      </c>
    </row>
    <row r="26" spans="2:10" ht="15.75" customHeight="1">
      <c r="B26" s="182">
        <v>101659</v>
      </c>
      <c r="C26" s="183" t="s">
        <v>311</v>
      </c>
      <c r="D26" s="183" t="s">
        <v>270</v>
      </c>
      <c r="E26" s="184" t="s">
        <v>23</v>
      </c>
      <c r="F26" s="185" t="s">
        <v>323</v>
      </c>
      <c r="G26" s="182" t="s">
        <v>299</v>
      </c>
      <c r="H26" s="186">
        <v>0.10125000000000001</v>
      </c>
      <c r="I26" s="187">
        <v>48016</v>
      </c>
      <c r="J26" s="188">
        <v>4861.62</v>
      </c>
    </row>
    <row r="27" spans="2:10" ht="15.75" customHeight="1">
      <c r="B27" s="182">
        <v>101717</v>
      </c>
      <c r="C27" s="183" t="s">
        <v>308</v>
      </c>
      <c r="D27" s="183" t="s">
        <v>239</v>
      </c>
      <c r="E27" s="184" t="s">
        <v>23</v>
      </c>
      <c r="F27" s="185" t="s">
        <v>324</v>
      </c>
      <c r="G27" s="182" t="s">
        <v>299</v>
      </c>
      <c r="H27" s="186">
        <v>44</v>
      </c>
      <c r="I27" s="187">
        <v>8000</v>
      </c>
      <c r="J27" s="188">
        <v>352000</v>
      </c>
    </row>
    <row r="28" spans="2:10" ht="15.75" customHeight="1">
      <c r="B28" s="182">
        <v>101718</v>
      </c>
      <c r="C28" s="183" t="s">
        <v>308</v>
      </c>
      <c r="D28" s="183" t="s">
        <v>246</v>
      </c>
      <c r="E28" s="184" t="s">
        <v>23</v>
      </c>
      <c r="F28" s="185" t="s">
        <v>325</v>
      </c>
      <c r="G28" s="182" t="s">
        <v>299</v>
      </c>
      <c r="H28" s="186">
        <v>26.7</v>
      </c>
      <c r="I28" s="187">
        <v>9000</v>
      </c>
      <c r="J28" s="188">
        <v>240300</v>
      </c>
    </row>
    <row r="29" spans="2:10" ht="15.75" customHeight="1">
      <c r="B29" s="182">
        <v>101889</v>
      </c>
      <c r="C29" s="183" t="s">
        <v>306</v>
      </c>
      <c r="D29" s="183" t="s">
        <v>240</v>
      </c>
      <c r="E29" s="184" t="s">
        <v>23</v>
      </c>
      <c r="F29" s="185" t="s">
        <v>326</v>
      </c>
      <c r="G29" s="182" t="s">
        <v>299</v>
      </c>
      <c r="H29" s="186">
        <v>8</v>
      </c>
      <c r="I29" s="187">
        <v>24200</v>
      </c>
      <c r="J29" s="188">
        <v>193600</v>
      </c>
    </row>
    <row r="30" spans="2:10" ht="15.75" customHeight="1">
      <c r="B30" s="182">
        <v>101897</v>
      </c>
      <c r="C30" s="183" t="s">
        <v>297</v>
      </c>
      <c r="D30" s="183" t="s">
        <v>277</v>
      </c>
      <c r="E30" s="184" t="s">
        <v>23</v>
      </c>
      <c r="F30" s="185" t="s">
        <v>327</v>
      </c>
      <c r="G30" s="182" t="s">
        <v>299</v>
      </c>
      <c r="H30" s="186">
        <v>6</v>
      </c>
      <c r="I30" s="187">
        <v>150</v>
      </c>
      <c r="J30" s="188">
        <v>900</v>
      </c>
    </row>
    <row r="31" spans="2:10" ht="15.75" customHeight="1">
      <c r="B31" s="182">
        <v>101909</v>
      </c>
      <c r="C31" s="183" t="s">
        <v>328</v>
      </c>
      <c r="D31" s="183" t="s">
        <v>252</v>
      </c>
      <c r="E31" s="184" t="s">
        <v>253</v>
      </c>
      <c r="F31" s="185" t="s">
        <v>329</v>
      </c>
      <c r="G31" s="182" t="s">
        <v>299</v>
      </c>
      <c r="H31" s="186">
        <v>1.36</v>
      </c>
      <c r="I31" s="187">
        <v>36500</v>
      </c>
      <c r="J31" s="188">
        <v>49640</v>
      </c>
    </row>
    <row r="32" spans="2:10" ht="15.75" customHeight="1">
      <c r="B32" s="182">
        <v>102144</v>
      </c>
      <c r="C32" s="183" t="s">
        <v>297</v>
      </c>
      <c r="D32" s="183" t="s">
        <v>279</v>
      </c>
      <c r="E32" s="184" t="s">
        <v>23</v>
      </c>
      <c r="F32" s="185" t="s">
        <v>330</v>
      </c>
      <c r="G32" s="182" t="s">
        <v>299</v>
      </c>
      <c r="H32" s="186">
        <v>6</v>
      </c>
      <c r="I32" s="187">
        <v>2473</v>
      </c>
      <c r="J32" s="188">
        <v>14838</v>
      </c>
    </row>
    <row r="33" spans="2:10" ht="15.75" customHeight="1">
      <c r="B33" s="182">
        <v>102147</v>
      </c>
      <c r="C33" s="183" t="s">
        <v>297</v>
      </c>
      <c r="D33" s="183" t="s">
        <v>271</v>
      </c>
      <c r="E33" s="184" t="s">
        <v>23</v>
      </c>
      <c r="F33" s="185" t="s">
        <v>331</v>
      </c>
      <c r="G33" s="182" t="s">
        <v>299</v>
      </c>
      <c r="H33" s="186">
        <v>5.2447499999999998</v>
      </c>
      <c r="I33" s="187">
        <v>8867</v>
      </c>
      <c r="J33" s="188">
        <v>46505.198250000001</v>
      </c>
    </row>
    <row r="34" spans="2:10" ht="15.75" customHeight="1">
      <c r="B34" s="182">
        <v>103197</v>
      </c>
      <c r="C34" s="183" t="s">
        <v>308</v>
      </c>
      <c r="D34" s="183" t="s">
        <v>264</v>
      </c>
      <c r="E34" s="184" t="s">
        <v>23</v>
      </c>
      <c r="F34" s="185" t="s">
        <v>332</v>
      </c>
      <c r="G34" s="182" t="s">
        <v>299</v>
      </c>
      <c r="H34" s="186">
        <v>35</v>
      </c>
      <c r="I34" s="187">
        <v>12000</v>
      </c>
      <c r="J34" s="188">
        <v>420000</v>
      </c>
    </row>
    <row r="35" spans="2:10" ht="15.75" customHeight="1">
      <c r="B35" s="182">
        <v>105069</v>
      </c>
      <c r="C35" s="183" t="s">
        <v>328</v>
      </c>
      <c r="D35" s="183" t="s">
        <v>258</v>
      </c>
      <c r="E35" s="184" t="s">
        <v>253</v>
      </c>
      <c r="F35" s="185" t="s">
        <v>333</v>
      </c>
      <c r="G35" s="182" t="s">
        <v>299</v>
      </c>
      <c r="H35" s="186">
        <v>2.8000000000000003</v>
      </c>
      <c r="I35" s="187">
        <v>36200</v>
      </c>
      <c r="J35" s="188">
        <v>101360.00000000001</v>
      </c>
    </row>
    <row r="36" spans="2:10" ht="15.75" customHeight="1">
      <c r="B36" s="182">
        <v>105084</v>
      </c>
      <c r="C36" s="183" t="s">
        <v>311</v>
      </c>
      <c r="D36" s="183" t="s">
        <v>263</v>
      </c>
      <c r="E36" s="184" t="s">
        <v>255</v>
      </c>
      <c r="F36" s="185" t="s">
        <v>334</v>
      </c>
      <c r="G36" s="182" t="s">
        <v>299</v>
      </c>
      <c r="H36" s="186">
        <v>20</v>
      </c>
      <c r="I36" s="187">
        <v>950</v>
      </c>
      <c r="J36" s="188">
        <v>19000</v>
      </c>
    </row>
    <row r="37" spans="2:10" ht="15.75" customHeight="1">
      <c r="B37" s="182">
        <v>105176</v>
      </c>
      <c r="C37" s="183" t="s">
        <v>308</v>
      </c>
      <c r="D37" s="183" t="s">
        <v>257</v>
      </c>
      <c r="E37" s="184" t="s">
        <v>23</v>
      </c>
      <c r="F37" s="185" t="s">
        <v>335</v>
      </c>
      <c r="G37" s="182" t="s">
        <v>299</v>
      </c>
      <c r="H37" s="186">
        <v>7.32</v>
      </c>
      <c r="I37" s="187">
        <v>87400</v>
      </c>
      <c r="J37" s="188">
        <v>639768</v>
      </c>
    </row>
    <row r="38" spans="2:10" ht="15.75" customHeight="1">
      <c r="B38" s="182">
        <v>106140</v>
      </c>
      <c r="C38" s="183" t="s">
        <v>328</v>
      </c>
      <c r="D38" s="183" t="s">
        <v>289</v>
      </c>
      <c r="E38" s="184" t="s">
        <v>290</v>
      </c>
      <c r="F38" s="185" t="s">
        <v>336</v>
      </c>
      <c r="G38" s="182" t="s">
        <v>299</v>
      </c>
      <c r="H38" s="186">
        <v>4</v>
      </c>
      <c r="I38" s="187">
        <v>9020</v>
      </c>
      <c r="J38" s="188">
        <v>36080</v>
      </c>
    </row>
    <row r="39" spans="2:10" ht="15.75" customHeight="1">
      <c r="B39" s="182">
        <v>108007</v>
      </c>
      <c r="C39" s="183"/>
      <c r="D39" s="183" t="s">
        <v>245</v>
      </c>
      <c r="E39" s="184" t="s">
        <v>160</v>
      </c>
      <c r="F39" s="185" t="s">
        <v>337</v>
      </c>
      <c r="G39" s="182" t="s">
        <v>299</v>
      </c>
      <c r="H39" s="186">
        <v>10</v>
      </c>
      <c r="I39" s="187">
        <v>31796</v>
      </c>
      <c r="J39" s="188">
        <v>317960</v>
      </c>
    </row>
    <row r="40" spans="2:10" ht="15.75" customHeight="1">
      <c r="B40" s="182">
        <v>109069</v>
      </c>
      <c r="C40" s="183"/>
      <c r="D40" s="183" t="s">
        <v>202</v>
      </c>
      <c r="E40" s="184" t="s">
        <v>23</v>
      </c>
      <c r="F40" s="185" t="s">
        <v>338</v>
      </c>
      <c r="G40" s="182" t="s">
        <v>299</v>
      </c>
      <c r="H40" s="186">
        <v>16.5</v>
      </c>
      <c r="I40" s="187">
        <v>3500</v>
      </c>
      <c r="J40" s="188">
        <v>57750</v>
      </c>
    </row>
    <row r="41" spans="2:10" ht="15.75" customHeight="1">
      <c r="B41" s="182">
        <v>109122</v>
      </c>
      <c r="C41" s="183"/>
      <c r="D41" s="183" t="s">
        <v>256</v>
      </c>
      <c r="E41" s="184" t="s">
        <v>23</v>
      </c>
      <c r="F41" s="185" t="s">
        <v>339</v>
      </c>
      <c r="G41" s="182" t="s">
        <v>299</v>
      </c>
      <c r="H41" s="186">
        <v>340</v>
      </c>
      <c r="I41" s="187">
        <v>900</v>
      </c>
      <c r="J41" s="188">
        <v>306000</v>
      </c>
    </row>
    <row r="42" spans="2:10" ht="15.75" customHeight="1">
      <c r="B42" s="21"/>
      <c r="C42" s="21"/>
      <c r="D42" s="21"/>
      <c r="E42" s="21"/>
      <c r="F42" s="21"/>
      <c r="G42" s="21"/>
      <c r="H42" s="21"/>
      <c r="I42" s="166"/>
      <c r="J42" s="166"/>
    </row>
    <row r="43" spans="2:10" ht="15.75" customHeight="1">
      <c r="B43" s="21"/>
      <c r="C43" s="21"/>
      <c r="D43" s="21"/>
      <c r="E43" s="21"/>
      <c r="F43" s="21"/>
      <c r="G43" s="21"/>
      <c r="H43" s="21"/>
      <c r="I43" s="166"/>
      <c r="J43" s="166"/>
    </row>
    <row r="44" spans="2:10" ht="15.75" customHeight="1">
      <c r="B44" s="173" t="s">
        <v>340</v>
      </c>
      <c r="C44" s="21"/>
      <c r="D44" s="174" t="s">
        <v>210</v>
      </c>
      <c r="E44" s="21"/>
      <c r="F44" s="21"/>
      <c r="G44" s="21"/>
      <c r="H44" s="21"/>
      <c r="I44" s="166"/>
      <c r="J44" s="175">
        <v>13939312.328082949</v>
      </c>
    </row>
    <row r="45" spans="2:10" ht="15.75" customHeight="1">
      <c r="B45" s="176" t="s">
        <v>292</v>
      </c>
      <c r="C45" s="176" t="s">
        <v>293</v>
      </c>
      <c r="D45" s="177" t="s">
        <v>65</v>
      </c>
      <c r="E45" s="178" t="s">
        <v>23</v>
      </c>
      <c r="F45" s="179"/>
      <c r="G45" s="180"/>
      <c r="H45" s="177" t="s">
        <v>196</v>
      </c>
      <c r="I45" s="181" t="s">
        <v>294</v>
      </c>
      <c r="J45" s="181" t="s">
        <v>295</v>
      </c>
    </row>
    <row r="46" spans="2:10" ht="15.75" customHeight="1">
      <c r="B46" s="182">
        <v>200006</v>
      </c>
      <c r="C46" s="183" t="s">
        <v>210</v>
      </c>
      <c r="D46" s="183" t="s">
        <v>249</v>
      </c>
      <c r="E46" s="184" t="s">
        <v>341</v>
      </c>
      <c r="F46" s="185" t="s">
        <v>342</v>
      </c>
      <c r="G46" s="182" t="s">
        <v>343</v>
      </c>
      <c r="H46" s="186">
        <v>4.6869141357330335</v>
      </c>
      <c r="I46" s="187">
        <v>51296</v>
      </c>
      <c r="J46" s="188">
        <v>240419.9475065617</v>
      </c>
    </row>
    <row r="47" spans="2:10" ht="15.75" customHeight="1">
      <c r="B47" s="182">
        <v>200007</v>
      </c>
      <c r="C47" s="183" t="s">
        <v>210</v>
      </c>
      <c r="D47" s="183" t="s">
        <v>247</v>
      </c>
      <c r="E47" s="184" t="s">
        <v>341</v>
      </c>
      <c r="F47" s="185" t="s">
        <v>344</v>
      </c>
      <c r="G47" s="182" t="s">
        <v>343</v>
      </c>
      <c r="H47" s="186">
        <v>3.7495313085864268</v>
      </c>
      <c r="I47" s="187">
        <v>136720</v>
      </c>
      <c r="J47" s="188">
        <v>512635.92050993629</v>
      </c>
    </row>
    <row r="48" spans="2:10" ht="15.75" customHeight="1">
      <c r="B48" s="182">
        <v>200009</v>
      </c>
      <c r="C48" s="183" t="s">
        <v>210</v>
      </c>
      <c r="D48" s="183" t="s">
        <v>216</v>
      </c>
      <c r="E48" s="184" t="s">
        <v>341</v>
      </c>
      <c r="F48" s="185" t="s">
        <v>345</v>
      </c>
      <c r="G48" s="182" t="s">
        <v>343</v>
      </c>
      <c r="H48" s="186">
        <v>30.583195538416291</v>
      </c>
      <c r="I48" s="187">
        <v>188015</v>
      </c>
      <c r="J48" s="188">
        <v>5750099.5091553386</v>
      </c>
    </row>
    <row r="49" spans="2:10" ht="15.75" customHeight="1">
      <c r="B49" s="182">
        <v>200013</v>
      </c>
      <c r="C49" s="183" t="s">
        <v>210</v>
      </c>
      <c r="D49" s="183" t="s">
        <v>230</v>
      </c>
      <c r="E49" s="184" t="s">
        <v>341</v>
      </c>
      <c r="F49" s="185" t="s">
        <v>346</v>
      </c>
      <c r="G49" s="182" t="s">
        <v>343</v>
      </c>
      <c r="H49" s="186">
        <v>7.779276008712789</v>
      </c>
      <c r="I49" s="187">
        <v>341904</v>
      </c>
      <c r="J49" s="188">
        <v>2659765.5844829376</v>
      </c>
    </row>
    <row r="50" spans="2:10" ht="15.75" customHeight="1">
      <c r="B50" s="182">
        <v>200015</v>
      </c>
      <c r="C50" s="183" t="s">
        <v>210</v>
      </c>
      <c r="D50" s="183" t="s">
        <v>265</v>
      </c>
      <c r="E50" s="184" t="s">
        <v>341</v>
      </c>
      <c r="F50" s="185" t="s">
        <v>347</v>
      </c>
      <c r="G50" s="182" t="s">
        <v>343</v>
      </c>
      <c r="H50" s="186">
        <v>7</v>
      </c>
      <c r="I50" s="187">
        <v>153799</v>
      </c>
      <c r="J50" s="188">
        <v>1076593</v>
      </c>
    </row>
    <row r="51" spans="2:10" ht="15.75" customHeight="1">
      <c r="B51" s="182">
        <v>200018</v>
      </c>
      <c r="C51" s="183" t="s">
        <v>210</v>
      </c>
      <c r="D51" s="183" t="s">
        <v>272</v>
      </c>
      <c r="E51" s="184" t="s">
        <v>341</v>
      </c>
      <c r="F51" s="185" t="s">
        <v>348</v>
      </c>
      <c r="G51" s="182" t="s">
        <v>343</v>
      </c>
      <c r="H51" s="186">
        <v>1.4749559392928946</v>
      </c>
      <c r="I51" s="187">
        <v>191408</v>
      </c>
      <c r="J51" s="188">
        <v>282318.36642817437</v>
      </c>
    </row>
    <row r="52" spans="2:10" ht="15.75" customHeight="1">
      <c r="B52" s="182">
        <v>200033</v>
      </c>
      <c r="C52" s="183" t="s">
        <v>210</v>
      </c>
      <c r="D52" s="183" t="s">
        <v>260</v>
      </c>
      <c r="E52" s="184" t="s">
        <v>341</v>
      </c>
      <c r="F52" s="185" t="s">
        <v>349</v>
      </c>
      <c r="G52" s="182" t="s">
        <v>343</v>
      </c>
      <c r="H52" s="186">
        <v>13.333333333333334</v>
      </c>
      <c r="I52" s="187">
        <v>256311</v>
      </c>
      <c r="J52" s="188">
        <v>3417480</v>
      </c>
    </row>
    <row r="53" spans="2:10" ht="15.75" customHeight="1">
      <c r="B53" s="21"/>
      <c r="C53" s="21"/>
      <c r="D53" s="21"/>
      <c r="E53" s="21"/>
      <c r="F53" s="21"/>
      <c r="G53" s="21"/>
      <c r="H53" s="21"/>
      <c r="I53" s="166"/>
      <c r="J53" s="166"/>
    </row>
    <row r="54" spans="2:10" ht="15.75" customHeight="1">
      <c r="B54" s="21"/>
      <c r="C54" s="21"/>
      <c r="D54" s="21"/>
      <c r="E54" s="21"/>
      <c r="F54" s="21"/>
      <c r="G54" s="21"/>
      <c r="H54" s="21"/>
      <c r="I54" s="166"/>
      <c r="J54" s="166"/>
    </row>
    <row r="55" spans="2:10" ht="15.75" customHeight="1">
      <c r="B55" s="173" t="s">
        <v>350</v>
      </c>
      <c r="C55" s="21"/>
      <c r="D55" s="174" t="s">
        <v>199</v>
      </c>
      <c r="E55" s="21"/>
      <c r="F55" s="21"/>
      <c r="G55" s="21"/>
      <c r="H55" s="21"/>
      <c r="I55" s="166"/>
      <c r="J55" s="175">
        <v>4103880.17</v>
      </c>
    </row>
    <row r="56" spans="2:10" ht="15.75" customHeight="1">
      <c r="B56" s="176" t="s">
        <v>292</v>
      </c>
      <c r="C56" s="176" t="s">
        <v>293</v>
      </c>
      <c r="D56" s="177" t="s">
        <v>65</v>
      </c>
      <c r="E56" s="178" t="s">
        <v>23</v>
      </c>
      <c r="F56" s="179"/>
      <c r="G56" s="180"/>
      <c r="H56" s="177" t="s">
        <v>196</v>
      </c>
      <c r="I56" s="181" t="s">
        <v>294</v>
      </c>
      <c r="J56" s="181" t="s">
        <v>295</v>
      </c>
    </row>
    <row r="57" spans="2:10" ht="15.75" customHeight="1">
      <c r="B57" s="182">
        <v>300002</v>
      </c>
      <c r="C57" s="183" t="s">
        <v>199</v>
      </c>
      <c r="D57" s="183" t="s">
        <v>227</v>
      </c>
      <c r="E57" s="184" t="s">
        <v>228</v>
      </c>
      <c r="F57" s="185" t="s">
        <v>351</v>
      </c>
      <c r="G57" s="182" t="s">
        <v>352</v>
      </c>
      <c r="H57" s="186">
        <v>845</v>
      </c>
      <c r="I57" s="187">
        <v>1200</v>
      </c>
      <c r="J57" s="188">
        <v>1014000</v>
      </c>
    </row>
    <row r="58" spans="2:10" ht="15.75" customHeight="1">
      <c r="B58" s="182">
        <v>300026</v>
      </c>
      <c r="C58" s="183" t="s">
        <v>199</v>
      </c>
      <c r="D58" s="183" t="s">
        <v>87</v>
      </c>
      <c r="E58" s="184" t="s">
        <v>353</v>
      </c>
      <c r="F58" s="185" t="s">
        <v>354</v>
      </c>
      <c r="G58" s="182"/>
      <c r="H58" s="186"/>
      <c r="I58" s="187"/>
      <c r="J58" s="188">
        <v>2632140.17</v>
      </c>
    </row>
    <row r="59" spans="2:10" ht="15.75" customHeight="1">
      <c r="B59" s="182">
        <v>300050</v>
      </c>
      <c r="C59" s="183" t="s">
        <v>199</v>
      </c>
      <c r="D59" s="183" t="s">
        <v>229</v>
      </c>
      <c r="E59" s="184" t="s">
        <v>172</v>
      </c>
      <c r="F59" s="185" t="s">
        <v>355</v>
      </c>
      <c r="G59" s="182" t="s">
        <v>352</v>
      </c>
      <c r="H59" s="186">
        <v>30</v>
      </c>
      <c r="I59" s="187">
        <v>520</v>
      </c>
      <c r="J59" s="188">
        <v>15600</v>
      </c>
    </row>
    <row r="60" spans="2:10" ht="15.75" customHeight="1">
      <c r="B60" s="182">
        <v>300052</v>
      </c>
      <c r="C60" s="183" t="s">
        <v>199</v>
      </c>
      <c r="D60" s="183" t="s">
        <v>226</v>
      </c>
      <c r="E60" s="184" t="s">
        <v>172</v>
      </c>
      <c r="F60" s="185" t="s">
        <v>356</v>
      </c>
      <c r="G60" s="182" t="s">
        <v>352</v>
      </c>
      <c r="H60" s="186">
        <v>45</v>
      </c>
      <c r="I60" s="187">
        <v>60</v>
      </c>
      <c r="J60" s="188">
        <v>2700</v>
      </c>
    </row>
    <row r="61" spans="2:10" ht="15.75" customHeight="1">
      <c r="B61" s="182">
        <v>300059</v>
      </c>
      <c r="C61" s="183" t="s">
        <v>199</v>
      </c>
      <c r="D61" s="183" t="s">
        <v>224</v>
      </c>
      <c r="E61" s="184" t="s">
        <v>225</v>
      </c>
      <c r="F61" s="185" t="s">
        <v>357</v>
      </c>
      <c r="G61" s="182" t="s">
        <v>352</v>
      </c>
      <c r="H61" s="186">
        <v>7.5</v>
      </c>
      <c r="I61" s="187">
        <v>43500</v>
      </c>
      <c r="J61" s="188">
        <v>326250</v>
      </c>
    </row>
    <row r="62" spans="2:10" ht="15.75" customHeight="1">
      <c r="B62" s="182">
        <v>307002</v>
      </c>
      <c r="C62" s="183" t="s">
        <v>199</v>
      </c>
      <c r="D62" s="183" t="s">
        <v>233</v>
      </c>
      <c r="E62" s="184" t="s">
        <v>160</v>
      </c>
      <c r="F62" s="185" t="s">
        <v>358</v>
      </c>
      <c r="G62" s="182" t="s">
        <v>352</v>
      </c>
      <c r="H62" s="186">
        <v>16.170000000000002</v>
      </c>
      <c r="I62" s="187">
        <v>7000</v>
      </c>
      <c r="J62" s="188">
        <v>113190.00000000001</v>
      </c>
    </row>
    <row r="63" spans="2:10" ht="15.75" customHeight="1">
      <c r="I63" s="11"/>
      <c r="J63" s="11"/>
    </row>
    <row r="64" spans="2:10" ht="15.75" customHeight="1">
      <c r="I64" s="11"/>
      <c r="J64" s="11"/>
    </row>
    <row r="65" spans="2:10" ht="15.75" customHeight="1">
      <c r="I65" s="11"/>
      <c r="J65" s="11"/>
    </row>
    <row r="66" spans="2:10" ht="15.75" customHeight="1">
      <c r="B66" s="189"/>
      <c r="C66" s="190"/>
      <c r="D66" s="189"/>
      <c r="E66" s="191"/>
      <c r="F66" s="191"/>
      <c r="G66" s="191"/>
      <c r="H66" s="192"/>
      <c r="I66" s="193" t="s">
        <v>359</v>
      </c>
      <c r="J66" s="194">
        <v>21855104.403832953</v>
      </c>
    </row>
    <row r="67" spans="2:10" ht="15.75" customHeight="1">
      <c r="I67" s="11"/>
      <c r="J67" s="11"/>
    </row>
    <row r="68" spans="2:10" ht="15.75" customHeight="1">
      <c r="I68" s="11"/>
      <c r="J68" s="11"/>
    </row>
    <row r="69" spans="2:10" ht="15.75" customHeight="1">
      <c r="I69" s="11"/>
      <c r="J69" s="11"/>
    </row>
    <row r="70" spans="2:10" ht="15.75" customHeight="1">
      <c r="I70" s="11"/>
      <c r="J70" s="11"/>
    </row>
    <row r="71" spans="2:10" ht="15.75" customHeight="1">
      <c r="I71" s="11"/>
      <c r="J71" s="11"/>
    </row>
    <row r="72" spans="2:10" ht="15.75" customHeight="1">
      <c r="I72" s="11"/>
      <c r="J72" s="11"/>
    </row>
    <row r="73" spans="2:10" ht="15.75" customHeight="1">
      <c r="I73" s="11"/>
      <c r="J73" s="11"/>
    </row>
    <row r="74" spans="2:10" ht="15.75" customHeight="1">
      <c r="I74" s="11"/>
      <c r="J74" s="11"/>
    </row>
    <row r="75" spans="2:10" ht="15.75" customHeight="1">
      <c r="I75" s="11"/>
      <c r="J75" s="11"/>
    </row>
    <row r="76" spans="2:10" ht="15.75" customHeight="1">
      <c r="I76" s="11"/>
      <c r="J76" s="11"/>
    </row>
    <row r="77" spans="2:10" ht="15.75" customHeight="1">
      <c r="I77" s="11"/>
      <c r="J77" s="11"/>
    </row>
    <row r="78" spans="2:10" ht="15.75" customHeight="1">
      <c r="I78" s="11"/>
      <c r="J78" s="11"/>
    </row>
    <row r="79" spans="2:10" ht="15.75" customHeight="1">
      <c r="I79" s="11"/>
      <c r="J79" s="11"/>
    </row>
    <row r="80" spans="2:10" ht="15.75" customHeight="1">
      <c r="I80" s="11"/>
      <c r="J80" s="11"/>
    </row>
    <row r="81" spans="9:10" ht="15.75" customHeight="1">
      <c r="I81" s="11"/>
      <c r="J81" s="11"/>
    </row>
    <row r="82" spans="9:10" ht="15.75" customHeight="1">
      <c r="I82" s="11"/>
      <c r="J82" s="11"/>
    </row>
    <row r="83" spans="9:10" ht="15.75" customHeight="1">
      <c r="I83" s="11"/>
      <c r="J83" s="11"/>
    </row>
    <row r="84" spans="9:10" ht="15.75" customHeight="1">
      <c r="I84" s="11"/>
      <c r="J84" s="11"/>
    </row>
    <row r="85" spans="9:10" ht="15.75" customHeight="1">
      <c r="I85" s="11"/>
      <c r="J85" s="11"/>
    </row>
    <row r="86" spans="9:10" ht="15.75" customHeight="1">
      <c r="I86" s="11"/>
      <c r="J86" s="11"/>
    </row>
    <row r="87" spans="9:10" ht="15.75" customHeight="1">
      <c r="I87" s="11"/>
      <c r="J87" s="11"/>
    </row>
    <row r="88" spans="9:10" ht="15.75" customHeight="1">
      <c r="I88" s="11"/>
      <c r="J88" s="11"/>
    </row>
    <row r="89" spans="9:10" ht="15.75" customHeight="1">
      <c r="I89" s="11"/>
      <c r="J89" s="11"/>
    </row>
    <row r="90" spans="9:10" ht="15.75" customHeight="1">
      <c r="I90" s="11"/>
      <c r="J90" s="11"/>
    </row>
    <row r="91" spans="9:10" ht="15.75" customHeight="1">
      <c r="I91" s="11"/>
      <c r="J91" s="11"/>
    </row>
    <row r="92" spans="9:10" ht="15.75" customHeight="1">
      <c r="I92" s="11"/>
      <c r="J92" s="11"/>
    </row>
    <row r="93" spans="9:10" ht="15.75" customHeight="1">
      <c r="I93" s="11"/>
      <c r="J93" s="11"/>
    </row>
    <row r="94" spans="9:10" ht="15.75" customHeight="1">
      <c r="I94" s="11"/>
      <c r="J94" s="11"/>
    </row>
    <row r="95" spans="9:10" ht="15.75" customHeight="1">
      <c r="I95" s="11"/>
      <c r="J95" s="11"/>
    </row>
    <row r="96" spans="9:10" ht="15.75" customHeight="1">
      <c r="I96" s="11"/>
      <c r="J96" s="11"/>
    </row>
    <row r="97" spans="9:10" ht="15.75" customHeight="1">
      <c r="I97" s="11"/>
      <c r="J97" s="11"/>
    </row>
    <row r="98" spans="9:10" ht="15.75" customHeight="1">
      <c r="I98" s="11"/>
      <c r="J98" s="11"/>
    </row>
    <row r="99" spans="9:10" ht="15.75" customHeight="1">
      <c r="I99" s="11"/>
      <c r="J99" s="11"/>
    </row>
    <row r="100" spans="9:10" ht="15.75" customHeight="1">
      <c r="I100" s="11"/>
      <c r="J100" s="11"/>
    </row>
    <row r="101" spans="9:10" ht="15.75" customHeight="1">
      <c r="I101" s="11"/>
      <c r="J101" s="11"/>
    </row>
    <row r="102" spans="9:10" ht="15.75" customHeight="1">
      <c r="I102" s="11"/>
      <c r="J102" s="11"/>
    </row>
    <row r="103" spans="9:10" ht="15.75" customHeight="1">
      <c r="I103" s="11"/>
      <c r="J103" s="11"/>
    </row>
    <row r="104" spans="9:10" ht="15.75" customHeight="1">
      <c r="I104" s="11"/>
      <c r="J104" s="11"/>
    </row>
    <row r="105" spans="9:10" ht="15.75" customHeight="1">
      <c r="I105" s="11"/>
      <c r="J105" s="11"/>
    </row>
    <row r="106" spans="9:10" ht="15.75" customHeight="1">
      <c r="I106" s="11"/>
      <c r="J106" s="11"/>
    </row>
    <row r="107" spans="9:10" ht="15.75" customHeight="1">
      <c r="I107" s="11"/>
      <c r="J107" s="11"/>
    </row>
    <row r="108" spans="9:10" ht="15.75" customHeight="1">
      <c r="I108" s="11"/>
      <c r="J108" s="11"/>
    </row>
    <row r="109" spans="9:10" ht="15.75" customHeight="1">
      <c r="I109" s="11"/>
      <c r="J109" s="11"/>
    </row>
    <row r="110" spans="9:10" ht="15.75" customHeight="1">
      <c r="I110" s="11"/>
      <c r="J110" s="11"/>
    </row>
    <row r="111" spans="9:10" ht="15.75" customHeight="1">
      <c r="I111" s="11"/>
      <c r="J111" s="11"/>
    </row>
    <row r="112" spans="9:10" ht="15.75" customHeight="1">
      <c r="I112" s="11"/>
      <c r="J112" s="11"/>
    </row>
    <row r="113" spans="9:10" ht="15.75" customHeight="1">
      <c r="I113" s="11"/>
      <c r="J113" s="11"/>
    </row>
    <row r="114" spans="9:10" ht="15.75" customHeight="1">
      <c r="I114" s="11"/>
      <c r="J114" s="11"/>
    </row>
    <row r="115" spans="9:10" ht="15.75" customHeight="1">
      <c r="I115" s="11"/>
      <c r="J115" s="11"/>
    </row>
    <row r="116" spans="9:10" ht="15.75" customHeight="1">
      <c r="I116" s="11"/>
      <c r="J116" s="11"/>
    </row>
    <row r="117" spans="9:10" ht="15.75" customHeight="1">
      <c r="I117" s="11"/>
      <c r="J117" s="11"/>
    </row>
    <row r="118" spans="9:10" ht="15.75" customHeight="1">
      <c r="I118" s="11"/>
      <c r="J118" s="11"/>
    </row>
    <row r="119" spans="9:10" ht="15.75" customHeight="1">
      <c r="I119" s="11"/>
      <c r="J119" s="11"/>
    </row>
    <row r="120" spans="9:10" ht="15.75" customHeight="1">
      <c r="I120" s="11"/>
      <c r="J120" s="11"/>
    </row>
    <row r="121" spans="9:10" ht="15.75" customHeight="1">
      <c r="I121" s="11"/>
      <c r="J121" s="11"/>
    </row>
    <row r="122" spans="9:10" ht="15.75" customHeight="1">
      <c r="I122" s="11"/>
      <c r="J122" s="11"/>
    </row>
    <row r="123" spans="9:10" ht="15.75" customHeight="1">
      <c r="I123" s="11"/>
      <c r="J123" s="11"/>
    </row>
    <row r="124" spans="9:10" ht="15.75" customHeight="1">
      <c r="I124" s="11"/>
      <c r="J124" s="11"/>
    </row>
    <row r="125" spans="9:10" ht="15.75" customHeight="1">
      <c r="I125" s="11"/>
      <c r="J125" s="11"/>
    </row>
    <row r="126" spans="9:10" ht="15.75" customHeight="1">
      <c r="I126" s="11"/>
      <c r="J126" s="11"/>
    </row>
    <row r="127" spans="9:10" ht="15.75" customHeight="1">
      <c r="I127" s="11"/>
      <c r="J127" s="11"/>
    </row>
    <row r="128" spans="9:10" ht="15.75" customHeight="1">
      <c r="I128" s="11"/>
      <c r="J128" s="11"/>
    </row>
    <row r="129" spans="9:10" ht="15.75" customHeight="1">
      <c r="I129" s="11"/>
      <c r="J129" s="11"/>
    </row>
    <row r="130" spans="9:10" ht="15.75" customHeight="1">
      <c r="I130" s="11"/>
      <c r="J130" s="11"/>
    </row>
    <row r="131" spans="9:10" ht="15.75" customHeight="1">
      <c r="I131" s="11"/>
      <c r="J131" s="11"/>
    </row>
    <row r="132" spans="9:10" ht="15.75" customHeight="1">
      <c r="I132" s="11"/>
      <c r="J132" s="11"/>
    </row>
    <row r="133" spans="9:10" ht="15.75" customHeight="1">
      <c r="I133" s="11"/>
      <c r="J133" s="11"/>
    </row>
    <row r="134" spans="9:10" ht="15.75" customHeight="1">
      <c r="I134" s="11"/>
      <c r="J134" s="11"/>
    </row>
    <row r="135" spans="9:10" ht="15.75" customHeight="1">
      <c r="I135" s="11"/>
      <c r="J135" s="11"/>
    </row>
    <row r="136" spans="9:10" ht="15.75" customHeight="1">
      <c r="I136" s="11"/>
      <c r="J136" s="11"/>
    </row>
    <row r="137" spans="9:10" ht="15.75" customHeight="1">
      <c r="I137" s="11"/>
      <c r="J137" s="11"/>
    </row>
    <row r="138" spans="9:10" ht="15.75" customHeight="1">
      <c r="I138" s="11"/>
      <c r="J138" s="11"/>
    </row>
    <row r="139" spans="9:10" ht="15.75" customHeight="1">
      <c r="I139" s="11"/>
      <c r="J139" s="11"/>
    </row>
    <row r="140" spans="9:10" ht="15.75" customHeight="1">
      <c r="I140" s="11"/>
      <c r="J140" s="11"/>
    </row>
    <row r="141" spans="9:10" ht="15.75" customHeight="1">
      <c r="I141" s="11"/>
      <c r="J141" s="11"/>
    </row>
    <row r="142" spans="9:10" ht="15.75" customHeight="1">
      <c r="I142" s="11"/>
      <c r="J142" s="11"/>
    </row>
    <row r="143" spans="9:10" ht="15.75" customHeight="1">
      <c r="I143" s="11"/>
      <c r="J143" s="11"/>
    </row>
    <row r="144" spans="9:10" ht="15.75" customHeight="1">
      <c r="I144" s="11"/>
      <c r="J144" s="11"/>
    </row>
    <row r="145" spans="9:10" ht="15.75" customHeight="1">
      <c r="I145" s="11"/>
      <c r="J145" s="11"/>
    </row>
    <row r="146" spans="9:10" ht="15.75" customHeight="1">
      <c r="I146" s="11"/>
      <c r="J146" s="11"/>
    </row>
    <row r="147" spans="9:10" ht="15.75" customHeight="1">
      <c r="I147" s="11"/>
      <c r="J147" s="11"/>
    </row>
    <row r="148" spans="9:10" ht="15.75" customHeight="1">
      <c r="I148" s="11"/>
      <c r="J148" s="11"/>
    </row>
    <row r="149" spans="9:10" ht="15.75" customHeight="1">
      <c r="I149" s="11"/>
      <c r="J149" s="11"/>
    </row>
    <row r="150" spans="9:10" ht="15.75" customHeight="1">
      <c r="I150" s="11"/>
      <c r="J150" s="11"/>
    </row>
    <row r="151" spans="9:10" ht="15.75" customHeight="1">
      <c r="I151" s="11"/>
      <c r="J151" s="11"/>
    </row>
    <row r="152" spans="9:10" ht="15.75" customHeight="1">
      <c r="I152" s="11"/>
      <c r="J152" s="11"/>
    </row>
    <row r="153" spans="9:10" ht="15.75" customHeight="1">
      <c r="I153" s="11"/>
      <c r="J153" s="11"/>
    </row>
    <row r="154" spans="9:10" ht="15.75" customHeight="1">
      <c r="I154" s="11"/>
      <c r="J154" s="11"/>
    </row>
    <row r="155" spans="9:10" ht="15.75" customHeight="1">
      <c r="I155" s="11"/>
      <c r="J155" s="11"/>
    </row>
    <row r="156" spans="9:10" ht="15.75" customHeight="1">
      <c r="I156" s="11"/>
      <c r="J156" s="11"/>
    </row>
    <row r="157" spans="9:10" ht="15.75" customHeight="1">
      <c r="I157" s="11"/>
      <c r="J157" s="11"/>
    </row>
    <row r="158" spans="9:10" ht="15.75" customHeight="1">
      <c r="I158" s="11"/>
      <c r="J158" s="11"/>
    </row>
    <row r="159" spans="9:10" ht="15.75" customHeight="1">
      <c r="I159" s="11"/>
      <c r="J159" s="11"/>
    </row>
    <row r="160" spans="9:10" ht="15.75" customHeight="1">
      <c r="I160" s="11"/>
      <c r="J160" s="11"/>
    </row>
    <row r="161" spans="9:10" ht="15.75" customHeight="1">
      <c r="I161" s="11"/>
      <c r="J161" s="11"/>
    </row>
    <row r="162" spans="9:10" ht="15.75" customHeight="1">
      <c r="I162" s="11"/>
      <c r="J162" s="11"/>
    </row>
    <row r="163" spans="9:10" ht="15.75" customHeight="1">
      <c r="I163" s="11"/>
      <c r="J163" s="11"/>
    </row>
    <row r="164" spans="9:10" ht="15.75" customHeight="1">
      <c r="I164" s="11"/>
      <c r="J164" s="11"/>
    </row>
    <row r="165" spans="9:10" ht="15.75" customHeight="1">
      <c r="I165" s="11"/>
      <c r="J165" s="11"/>
    </row>
    <row r="166" spans="9:10" ht="15.75" customHeight="1">
      <c r="I166" s="11"/>
      <c r="J166" s="11"/>
    </row>
    <row r="167" spans="9:10" ht="15.75" customHeight="1">
      <c r="I167" s="11"/>
      <c r="J167" s="11"/>
    </row>
    <row r="168" spans="9:10" ht="15.75" customHeight="1">
      <c r="I168" s="11"/>
      <c r="J168" s="11"/>
    </row>
    <row r="169" spans="9:10" ht="15.75" customHeight="1">
      <c r="I169" s="11"/>
      <c r="J169" s="11"/>
    </row>
    <row r="170" spans="9:10" ht="15.75" customHeight="1">
      <c r="I170" s="11"/>
      <c r="J170" s="11"/>
    </row>
    <row r="171" spans="9:10" ht="15.75" customHeight="1">
      <c r="I171" s="11"/>
      <c r="J171" s="11"/>
    </row>
    <row r="172" spans="9:10" ht="15.75" customHeight="1">
      <c r="I172" s="11"/>
      <c r="J172" s="11"/>
    </row>
    <row r="173" spans="9:10" ht="15.75" customHeight="1">
      <c r="I173" s="11"/>
      <c r="J173" s="11"/>
    </row>
    <row r="174" spans="9:10" ht="15.75" customHeight="1">
      <c r="I174" s="11"/>
      <c r="J174" s="11"/>
    </row>
    <row r="175" spans="9:10" ht="15.75" customHeight="1">
      <c r="I175" s="11"/>
      <c r="J175" s="11"/>
    </row>
    <row r="176" spans="9:10" ht="15.75" customHeight="1">
      <c r="I176" s="11"/>
      <c r="J176" s="11"/>
    </row>
    <row r="177" spans="9:10" ht="15.75" customHeight="1">
      <c r="I177" s="11"/>
      <c r="J177" s="11"/>
    </row>
    <row r="178" spans="9:10" ht="15.75" customHeight="1">
      <c r="I178" s="11"/>
      <c r="J178" s="11"/>
    </row>
    <row r="179" spans="9:10" ht="15.75" customHeight="1">
      <c r="I179" s="11"/>
      <c r="J179" s="11"/>
    </row>
    <row r="180" spans="9:10" ht="15.75" customHeight="1">
      <c r="I180" s="11"/>
      <c r="J180" s="11"/>
    </row>
    <row r="181" spans="9:10" ht="15.75" customHeight="1">
      <c r="I181" s="11"/>
      <c r="J181" s="11"/>
    </row>
    <row r="182" spans="9:10" ht="15.75" customHeight="1">
      <c r="I182" s="11"/>
      <c r="J182" s="11"/>
    </row>
    <row r="183" spans="9:10" ht="15.75" customHeight="1">
      <c r="I183" s="11"/>
      <c r="J183" s="11"/>
    </row>
    <row r="184" spans="9:10" ht="15.75" customHeight="1">
      <c r="I184" s="11"/>
      <c r="J184" s="11"/>
    </row>
    <row r="185" spans="9:10" ht="15.75" customHeight="1">
      <c r="I185" s="11"/>
      <c r="J185" s="11"/>
    </row>
    <row r="186" spans="9:10" ht="15.75" customHeight="1">
      <c r="I186" s="11"/>
      <c r="J186" s="11"/>
    </row>
    <row r="187" spans="9:10" ht="15.75" customHeight="1">
      <c r="I187" s="11"/>
      <c r="J187" s="11"/>
    </row>
    <row r="188" spans="9:10" ht="15.75" customHeight="1">
      <c r="I188" s="11"/>
      <c r="J188" s="11"/>
    </row>
    <row r="189" spans="9:10" ht="15.75" customHeight="1">
      <c r="I189" s="11"/>
      <c r="J189" s="11"/>
    </row>
    <row r="190" spans="9:10" ht="15.75" customHeight="1">
      <c r="I190" s="11"/>
      <c r="J190" s="11"/>
    </row>
    <row r="191" spans="9:10" ht="15.75" customHeight="1">
      <c r="I191" s="11"/>
      <c r="J191" s="11"/>
    </row>
    <row r="192" spans="9:10" ht="15.75" customHeight="1">
      <c r="I192" s="11"/>
      <c r="J192" s="11"/>
    </row>
    <row r="193" spans="9:10" ht="15.75" customHeight="1">
      <c r="I193" s="11"/>
      <c r="J193" s="11"/>
    </row>
    <row r="194" spans="9:10" ht="15.75" customHeight="1">
      <c r="I194" s="11"/>
      <c r="J194" s="11"/>
    </row>
    <row r="195" spans="9:10" ht="15.75" customHeight="1">
      <c r="I195" s="11"/>
      <c r="J195" s="11"/>
    </row>
    <row r="196" spans="9:10" ht="15.75" customHeight="1">
      <c r="I196" s="11"/>
      <c r="J196" s="11"/>
    </row>
    <row r="197" spans="9:10" ht="15.75" customHeight="1">
      <c r="I197" s="11"/>
      <c r="J197" s="11"/>
    </row>
    <row r="198" spans="9:10" ht="15.75" customHeight="1">
      <c r="I198" s="11"/>
      <c r="J198" s="11"/>
    </row>
    <row r="199" spans="9:10" ht="15.75" customHeight="1">
      <c r="I199" s="11"/>
      <c r="J199" s="11"/>
    </row>
    <row r="200" spans="9:10" ht="15.75" customHeight="1">
      <c r="I200" s="11"/>
      <c r="J200" s="11"/>
    </row>
    <row r="201" spans="9:10" ht="15.75" customHeight="1">
      <c r="I201" s="11"/>
      <c r="J201" s="11"/>
    </row>
    <row r="202" spans="9:10" ht="15.75" customHeight="1">
      <c r="I202" s="11"/>
      <c r="J202" s="11"/>
    </row>
    <row r="203" spans="9:10" ht="15.75" customHeight="1">
      <c r="I203" s="11"/>
      <c r="J203" s="11"/>
    </row>
    <row r="204" spans="9:10" ht="15.75" customHeight="1">
      <c r="I204" s="11"/>
      <c r="J204" s="11"/>
    </row>
    <row r="205" spans="9:10" ht="15.75" customHeight="1">
      <c r="I205" s="11"/>
      <c r="J205" s="11"/>
    </row>
    <row r="206" spans="9:10" ht="15.75" customHeight="1">
      <c r="I206" s="11"/>
      <c r="J206" s="11"/>
    </row>
    <row r="207" spans="9:10" ht="15.75" customHeight="1">
      <c r="I207" s="11"/>
      <c r="J207" s="11"/>
    </row>
    <row r="208" spans="9:10" ht="15.75" customHeight="1">
      <c r="I208" s="11"/>
      <c r="J208" s="11"/>
    </row>
    <row r="209" spans="9:10" ht="15.75" customHeight="1">
      <c r="I209" s="11"/>
      <c r="J209" s="11"/>
    </row>
    <row r="210" spans="9:10" ht="15.75" customHeight="1">
      <c r="I210" s="11"/>
      <c r="J210" s="11"/>
    </row>
    <row r="211" spans="9:10" ht="15.75" customHeight="1">
      <c r="I211" s="11"/>
      <c r="J211" s="11"/>
    </row>
    <row r="212" spans="9:10" ht="15.75" customHeight="1">
      <c r="I212" s="11"/>
      <c r="J212" s="11"/>
    </row>
    <row r="213" spans="9:10" ht="15.75" customHeight="1">
      <c r="I213" s="11"/>
      <c r="J213" s="11"/>
    </row>
    <row r="214" spans="9:10" ht="15.75" customHeight="1">
      <c r="I214" s="11"/>
      <c r="J214" s="11"/>
    </row>
    <row r="215" spans="9:10" ht="15.75" customHeight="1">
      <c r="I215" s="11"/>
      <c r="J215" s="11"/>
    </row>
    <row r="216" spans="9:10" ht="15.75" customHeight="1">
      <c r="I216" s="11"/>
      <c r="J216" s="11"/>
    </row>
    <row r="217" spans="9:10" ht="15.75" customHeight="1">
      <c r="I217" s="11"/>
      <c r="J217" s="11"/>
    </row>
    <row r="218" spans="9:10" ht="15.75" customHeight="1">
      <c r="I218" s="11"/>
      <c r="J218" s="11"/>
    </row>
    <row r="219" spans="9:10" ht="15.75" customHeight="1">
      <c r="I219" s="11"/>
      <c r="J219" s="11"/>
    </row>
    <row r="220" spans="9:10" ht="15.75" customHeight="1">
      <c r="I220" s="11"/>
      <c r="J220" s="11"/>
    </row>
    <row r="221" spans="9:10" ht="15.75" customHeight="1">
      <c r="I221" s="11"/>
      <c r="J221" s="11"/>
    </row>
    <row r="222" spans="9:10" ht="15.75" customHeight="1">
      <c r="I222" s="11"/>
      <c r="J222" s="11"/>
    </row>
    <row r="223" spans="9:10" ht="15.75" customHeight="1">
      <c r="I223" s="11"/>
      <c r="J223" s="11"/>
    </row>
    <row r="224" spans="9:10" ht="15.75" customHeight="1">
      <c r="I224" s="11"/>
      <c r="J224" s="11"/>
    </row>
    <row r="225" spans="9:10" ht="15.75" customHeight="1">
      <c r="I225" s="11"/>
      <c r="J225" s="11"/>
    </row>
    <row r="226" spans="9:10" ht="15.75" customHeight="1">
      <c r="I226" s="11"/>
      <c r="J226" s="11"/>
    </row>
    <row r="227" spans="9:10" ht="15.75" customHeight="1">
      <c r="I227" s="11"/>
      <c r="J227" s="11"/>
    </row>
    <row r="228" spans="9:10" ht="15.75" customHeight="1">
      <c r="I228" s="11"/>
      <c r="J228" s="11"/>
    </row>
    <row r="229" spans="9:10" ht="15.75" customHeight="1">
      <c r="I229" s="11"/>
      <c r="J229" s="11"/>
    </row>
    <row r="230" spans="9:10" ht="15.75" customHeight="1">
      <c r="I230" s="11"/>
      <c r="J230" s="11"/>
    </row>
    <row r="231" spans="9:10" ht="15.75" customHeight="1">
      <c r="I231" s="11"/>
      <c r="J231" s="11"/>
    </row>
    <row r="232" spans="9:10" ht="15.75" customHeight="1">
      <c r="I232" s="11"/>
      <c r="J232" s="11"/>
    </row>
    <row r="233" spans="9:10" ht="15.75" customHeight="1">
      <c r="I233" s="11"/>
      <c r="J233" s="11"/>
    </row>
    <row r="234" spans="9:10" ht="15.75" customHeight="1">
      <c r="I234" s="11"/>
      <c r="J234" s="11"/>
    </row>
    <row r="235" spans="9:10" ht="15.75" customHeight="1">
      <c r="I235" s="11"/>
      <c r="J235" s="11"/>
    </row>
    <row r="236" spans="9:10" ht="15.75" customHeight="1">
      <c r="I236" s="11"/>
      <c r="J236" s="11"/>
    </row>
    <row r="237" spans="9:10" ht="15.75" customHeight="1">
      <c r="I237" s="11"/>
      <c r="J237" s="11"/>
    </row>
    <row r="238" spans="9:10" ht="15.75" customHeight="1">
      <c r="I238" s="11"/>
      <c r="J238" s="11"/>
    </row>
    <row r="239" spans="9:10" ht="15.75" customHeight="1">
      <c r="I239" s="11"/>
      <c r="J239" s="11"/>
    </row>
    <row r="240" spans="9:10" ht="15.75" customHeight="1">
      <c r="I240" s="11"/>
      <c r="J240" s="11"/>
    </row>
    <row r="241" spans="9:10" ht="15.75" customHeight="1">
      <c r="I241" s="11"/>
      <c r="J241" s="11"/>
    </row>
    <row r="242" spans="9:10" ht="15.75" customHeight="1">
      <c r="I242" s="11"/>
      <c r="J242" s="11"/>
    </row>
    <row r="243" spans="9:10" ht="15.75" customHeight="1">
      <c r="I243" s="11"/>
      <c r="J243" s="11"/>
    </row>
    <row r="244" spans="9:10" ht="15.75" customHeight="1">
      <c r="I244" s="11"/>
      <c r="J244" s="11"/>
    </row>
    <row r="245" spans="9:10" ht="15.75" customHeight="1">
      <c r="I245" s="11"/>
      <c r="J245" s="11"/>
    </row>
    <row r="246" spans="9:10" ht="15.75" customHeight="1">
      <c r="I246" s="11"/>
      <c r="J246" s="11"/>
    </row>
    <row r="247" spans="9:10" ht="15.75" customHeight="1">
      <c r="I247" s="11"/>
      <c r="J247" s="11"/>
    </row>
    <row r="248" spans="9:10" ht="15.75" customHeight="1">
      <c r="I248" s="11"/>
      <c r="J248" s="11"/>
    </row>
    <row r="249" spans="9:10" ht="15.75" customHeight="1">
      <c r="I249" s="11"/>
      <c r="J249" s="11"/>
    </row>
    <row r="250" spans="9:10" ht="15.75" customHeight="1">
      <c r="I250" s="11"/>
      <c r="J250" s="11"/>
    </row>
    <row r="251" spans="9:10" ht="15.75" customHeight="1">
      <c r="I251" s="11"/>
      <c r="J251" s="11"/>
    </row>
    <row r="252" spans="9:10" ht="15.75" customHeight="1">
      <c r="I252" s="11"/>
      <c r="J252" s="11"/>
    </row>
    <row r="253" spans="9:10" ht="15.75" customHeight="1">
      <c r="I253" s="11"/>
      <c r="J253" s="11"/>
    </row>
    <row r="254" spans="9:10" ht="15.75" customHeight="1">
      <c r="I254" s="11"/>
      <c r="J254" s="11"/>
    </row>
    <row r="255" spans="9:10" ht="15.75" customHeight="1">
      <c r="I255" s="11"/>
      <c r="J255" s="11"/>
    </row>
    <row r="256" spans="9:10" ht="15.75" customHeight="1">
      <c r="I256" s="11"/>
      <c r="J256" s="11"/>
    </row>
    <row r="257" spans="9:10" ht="15.75" customHeight="1">
      <c r="I257" s="11"/>
      <c r="J257" s="11"/>
    </row>
    <row r="258" spans="9:10" ht="15.75" customHeight="1">
      <c r="I258" s="11"/>
      <c r="J258" s="11"/>
    </row>
    <row r="259" spans="9:10" ht="15.75" customHeight="1">
      <c r="I259" s="11"/>
      <c r="J259" s="11"/>
    </row>
    <row r="260" spans="9:10" ht="15.75" customHeight="1">
      <c r="I260" s="11"/>
      <c r="J260" s="11"/>
    </row>
    <row r="261" spans="9:10" ht="15.75" customHeight="1">
      <c r="I261" s="11"/>
      <c r="J261" s="11"/>
    </row>
    <row r="262" spans="9:10" ht="15.75" customHeight="1">
      <c r="I262" s="11"/>
      <c r="J262" s="11"/>
    </row>
    <row r="263" spans="9:10" ht="15.75" customHeight="1">
      <c r="I263" s="11"/>
      <c r="J263" s="11"/>
    </row>
    <row r="264" spans="9:10" ht="15.75" customHeight="1">
      <c r="I264" s="11"/>
      <c r="J264" s="11"/>
    </row>
    <row r="265" spans="9:10" ht="15.75" customHeight="1">
      <c r="I265" s="11"/>
      <c r="J265" s="11"/>
    </row>
    <row r="266" spans="9:10" ht="15.75" customHeight="1">
      <c r="I266" s="11"/>
      <c r="J266" s="11"/>
    </row>
    <row r="267" spans="9:10" ht="15.75" customHeight="1">
      <c r="I267" s="11"/>
      <c r="J267" s="11"/>
    </row>
    <row r="268" spans="9:10" ht="15.75" customHeight="1">
      <c r="I268" s="11"/>
      <c r="J268" s="11"/>
    </row>
    <row r="269" spans="9:10" ht="15.75" customHeight="1">
      <c r="I269" s="11"/>
      <c r="J269" s="11"/>
    </row>
    <row r="270" spans="9:10" ht="15.75" customHeight="1">
      <c r="I270" s="11"/>
      <c r="J270" s="11"/>
    </row>
    <row r="271" spans="9:10" ht="15.75" customHeight="1">
      <c r="I271" s="11"/>
      <c r="J271" s="11"/>
    </row>
    <row r="272" spans="9:10" ht="15.75" customHeight="1">
      <c r="I272" s="11"/>
      <c r="J272" s="11"/>
    </row>
    <row r="273" spans="9:10" ht="15.75" customHeight="1">
      <c r="I273" s="11"/>
      <c r="J273" s="11"/>
    </row>
    <row r="274" spans="9:10" ht="15.75" customHeight="1">
      <c r="I274" s="11"/>
      <c r="J274" s="11"/>
    </row>
    <row r="275" spans="9:10" ht="15.75" customHeight="1">
      <c r="I275" s="11"/>
      <c r="J275" s="11"/>
    </row>
    <row r="276" spans="9:10" ht="15.75" customHeight="1">
      <c r="I276" s="11"/>
      <c r="J276" s="11"/>
    </row>
    <row r="277" spans="9:10" ht="15.75" customHeight="1">
      <c r="I277" s="11"/>
      <c r="J277" s="11"/>
    </row>
    <row r="278" spans="9:10" ht="15.75" customHeight="1">
      <c r="I278" s="11"/>
      <c r="J278" s="11"/>
    </row>
    <row r="279" spans="9:10" ht="15.75" customHeight="1">
      <c r="I279" s="11"/>
      <c r="J279" s="11"/>
    </row>
    <row r="280" spans="9:10" ht="15.75" customHeight="1">
      <c r="I280" s="11"/>
      <c r="J280" s="11"/>
    </row>
    <row r="281" spans="9:10" ht="15.75" customHeight="1">
      <c r="I281" s="11"/>
      <c r="J281" s="11"/>
    </row>
    <row r="282" spans="9:10" ht="15.75" customHeight="1">
      <c r="I282" s="11"/>
      <c r="J282" s="11"/>
    </row>
    <row r="283" spans="9:10" ht="15.75" customHeight="1">
      <c r="I283" s="11"/>
      <c r="J283" s="11"/>
    </row>
    <row r="284" spans="9:10" ht="15.75" customHeight="1">
      <c r="I284" s="11"/>
      <c r="J284" s="11"/>
    </row>
    <row r="285" spans="9:10" ht="15.75" customHeight="1">
      <c r="I285" s="11"/>
      <c r="J285" s="11"/>
    </row>
    <row r="286" spans="9:10" ht="15.75" customHeight="1">
      <c r="I286" s="11"/>
      <c r="J286" s="11"/>
    </row>
    <row r="287" spans="9:10" ht="15.75" customHeight="1">
      <c r="I287" s="11"/>
      <c r="J287" s="11"/>
    </row>
    <row r="288" spans="9:10" ht="15.75" customHeight="1">
      <c r="I288" s="11"/>
      <c r="J288" s="11"/>
    </row>
    <row r="289" spans="9:10" ht="15.75" customHeight="1">
      <c r="I289" s="11"/>
      <c r="J289" s="11"/>
    </row>
    <row r="290" spans="9:10" ht="15.75" customHeight="1">
      <c r="I290" s="11"/>
      <c r="J290" s="11"/>
    </row>
    <row r="291" spans="9:10" ht="15.75" customHeight="1">
      <c r="I291" s="11"/>
      <c r="J291" s="11"/>
    </row>
    <row r="292" spans="9:10" ht="15.75" customHeight="1">
      <c r="I292" s="11"/>
      <c r="J292" s="11"/>
    </row>
    <row r="293" spans="9:10" ht="15.75" customHeight="1">
      <c r="I293" s="11"/>
      <c r="J293" s="11"/>
    </row>
    <row r="294" spans="9:10" ht="15.75" customHeight="1">
      <c r="I294" s="11"/>
      <c r="J294" s="11"/>
    </row>
    <row r="295" spans="9:10" ht="15.75" customHeight="1">
      <c r="I295" s="11"/>
      <c r="J295" s="11"/>
    </row>
    <row r="296" spans="9:10" ht="15.75" customHeight="1">
      <c r="I296" s="11"/>
      <c r="J296" s="11"/>
    </row>
    <row r="297" spans="9:10" ht="15.75" customHeight="1">
      <c r="I297" s="11"/>
      <c r="J297" s="11"/>
    </row>
    <row r="298" spans="9:10" ht="15.75" customHeight="1">
      <c r="I298" s="11"/>
      <c r="J298" s="11"/>
    </row>
    <row r="299" spans="9:10" ht="15.75" customHeight="1">
      <c r="I299" s="11"/>
      <c r="J299" s="11"/>
    </row>
    <row r="300" spans="9:10" ht="15.75" customHeight="1">
      <c r="I300" s="11"/>
      <c r="J300" s="11"/>
    </row>
    <row r="301" spans="9:10" ht="15.75" customHeight="1">
      <c r="I301" s="11"/>
      <c r="J301" s="11"/>
    </row>
    <row r="302" spans="9:10" ht="15.75" customHeight="1">
      <c r="I302" s="11"/>
      <c r="J302" s="11"/>
    </row>
    <row r="303" spans="9:10" ht="15.75" customHeight="1">
      <c r="I303" s="11"/>
      <c r="J303" s="11"/>
    </row>
    <row r="304" spans="9:10" ht="15.75" customHeight="1">
      <c r="I304" s="11"/>
      <c r="J304" s="11"/>
    </row>
    <row r="305" spans="9:10" ht="15.75" customHeight="1">
      <c r="I305" s="11"/>
      <c r="J305" s="11"/>
    </row>
    <row r="306" spans="9:10" ht="15.75" customHeight="1">
      <c r="I306" s="11"/>
      <c r="J306" s="11"/>
    </row>
    <row r="307" spans="9:10" ht="15.75" customHeight="1">
      <c r="I307" s="11"/>
      <c r="J307" s="11"/>
    </row>
    <row r="308" spans="9:10" ht="15.75" customHeight="1">
      <c r="I308" s="11"/>
      <c r="J308" s="11"/>
    </row>
    <row r="309" spans="9:10" ht="15.75" customHeight="1">
      <c r="I309" s="11"/>
      <c r="J309" s="11"/>
    </row>
    <row r="310" spans="9:10" ht="15.75" customHeight="1">
      <c r="I310" s="11"/>
      <c r="J310" s="11"/>
    </row>
    <row r="311" spans="9:10" ht="15.75" customHeight="1">
      <c r="I311" s="11"/>
      <c r="J311" s="11"/>
    </row>
    <row r="312" spans="9:10" ht="15.75" customHeight="1">
      <c r="I312" s="11"/>
      <c r="J312" s="11"/>
    </row>
    <row r="313" spans="9:10" ht="15.75" customHeight="1">
      <c r="I313" s="11"/>
      <c r="J313" s="11"/>
    </row>
    <row r="314" spans="9:10" ht="15.75" customHeight="1">
      <c r="I314" s="11"/>
      <c r="J314" s="11"/>
    </row>
    <row r="315" spans="9:10" ht="15.75" customHeight="1">
      <c r="I315" s="11"/>
      <c r="J315" s="11"/>
    </row>
    <row r="316" spans="9:10" ht="15.75" customHeight="1">
      <c r="I316" s="11"/>
      <c r="J316" s="11"/>
    </row>
    <row r="317" spans="9:10" ht="15.75" customHeight="1">
      <c r="I317" s="11"/>
      <c r="J317" s="11"/>
    </row>
    <row r="318" spans="9:10" ht="15.75" customHeight="1">
      <c r="I318" s="11"/>
      <c r="J318" s="11"/>
    </row>
    <row r="319" spans="9:10" ht="15.75" customHeight="1">
      <c r="I319" s="11"/>
      <c r="J319" s="11"/>
    </row>
    <row r="320" spans="9:10" ht="15.75" customHeight="1">
      <c r="I320" s="11"/>
      <c r="J320" s="11"/>
    </row>
    <row r="321" spans="9:10" ht="15.75" customHeight="1">
      <c r="I321" s="11"/>
      <c r="J321" s="11"/>
    </row>
    <row r="322" spans="9:10" ht="15.75" customHeight="1">
      <c r="I322" s="11"/>
      <c r="J322" s="11"/>
    </row>
    <row r="323" spans="9:10" ht="15.75" customHeight="1">
      <c r="I323" s="11"/>
      <c r="J323" s="11"/>
    </row>
    <row r="324" spans="9:10" ht="15.75" customHeight="1">
      <c r="I324" s="11"/>
      <c r="J324" s="11"/>
    </row>
    <row r="325" spans="9:10" ht="15.75" customHeight="1">
      <c r="I325" s="11"/>
      <c r="J325" s="11"/>
    </row>
    <row r="326" spans="9:10" ht="15.75" customHeight="1">
      <c r="I326" s="11"/>
      <c r="J326" s="11"/>
    </row>
    <row r="327" spans="9:10" ht="15.75" customHeight="1">
      <c r="I327" s="11"/>
      <c r="J327" s="11"/>
    </row>
    <row r="328" spans="9:10" ht="15.75" customHeight="1">
      <c r="I328" s="11"/>
      <c r="J328" s="11"/>
    </row>
    <row r="329" spans="9:10" ht="15.75" customHeight="1">
      <c r="I329" s="11"/>
      <c r="J329" s="11"/>
    </row>
    <row r="330" spans="9:10" ht="15.75" customHeight="1">
      <c r="I330" s="11"/>
      <c r="J330" s="11"/>
    </row>
    <row r="331" spans="9:10" ht="15.75" customHeight="1">
      <c r="I331" s="11"/>
      <c r="J331" s="11"/>
    </row>
    <row r="332" spans="9:10" ht="15.75" customHeight="1">
      <c r="I332" s="11"/>
      <c r="J332" s="11"/>
    </row>
    <row r="333" spans="9:10" ht="15.75" customHeight="1">
      <c r="I333" s="11"/>
      <c r="J333" s="11"/>
    </row>
    <row r="334" spans="9:10" ht="15.75" customHeight="1">
      <c r="I334" s="11"/>
      <c r="J334" s="11"/>
    </row>
    <row r="335" spans="9:10" ht="15.75" customHeight="1">
      <c r="I335" s="11"/>
      <c r="J335" s="11"/>
    </row>
    <row r="336" spans="9:10" ht="15.75" customHeight="1">
      <c r="I336" s="11"/>
      <c r="J336" s="11"/>
    </row>
    <row r="337" spans="9:10" ht="15.75" customHeight="1">
      <c r="I337" s="11"/>
      <c r="J337" s="11"/>
    </row>
    <row r="338" spans="9:10" ht="15.75" customHeight="1">
      <c r="I338" s="11"/>
      <c r="J338" s="11"/>
    </row>
    <row r="339" spans="9:10" ht="15.75" customHeight="1">
      <c r="I339" s="11"/>
      <c r="J339" s="11"/>
    </row>
    <row r="340" spans="9:10" ht="15.75" customHeight="1">
      <c r="I340" s="11"/>
      <c r="J340" s="11"/>
    </row>
    <row r="341" spans="9:10" ht="15.75" customHeight="1">
      <c r="I341" s="11"/>
      <c r="J341" s="11"/>
    </row>
    <row r="342" spans="9:10" ht="15.75" customHeight="1">
      <c r="I342" s="11"/>
      <c r="J342" s="11"/>
    </row>
    <row r="343" spans="9:10" ht="15.75" customHeight="1">
      <c r="I343" s="11"/>
      <c r="J343" s="11"/>
    </row>
    <row r="344" spans="9:10" ht="15.75" customHeight="1">
      <c r="I344" s="11"/>
      <c r="J344" s="11"/>
    </row>
    <row r="345" spans="9:10" ht="15.75" customHeight="1">
      <c r="I345" s="11"/>
      <c r="J345" s="11"/>
    </row>
    <row r="346" spans="9:10" ht="15.75" customHeight="1">
      <c r="I346" s="11"/>
      <c r="J346" s="11"/>
    </row>
    <row r="347" spans="9:10" ht="15.75" customHeight="1">
      <c r="I347" s="11"/>
      <c r="J347" s="11"/>
    </row>
    <row r="348" spans="9:10" ht="15.75" customHeight="1">
      <c r="I348" s="11"/>
      <c r="J348" s="11"/>
    </row>
    <row r="349" spans="9:10" ht="15.75" customHeight="1">
      <c r="I349" s="11"/>
      <c r="J349" s="11"/>
    </row>
    <row r="350" spans="9:10" ht="15.75" customHeight="1">
      <c r="I350" s="11"/>
      <c r="J350" s="11"/>
    </row>
    <row r="351" spans="9:10" ht="15.75" customHeight="1">
      <c r="I351" s="11"/>
      <c r="J351" s="11"/>
    </row>
    <row r="352" spans="9:10" ht="15.75" customHeight="1">
      <c r="I352" s="11"/>
      <c r="J352" s="11"/>
    </row>
    <row r="353" spans="9:10" ht="15.75" customHeight="1">
      <c r="I353" s="11"/>
      <c r="J353" s="11"/>
    </row>
    <row r="354" spans="9:10" ht="15.75" customHeight="1">
      <c r="I354" s="11"/>
      <c r="J354" s="11"/>
    </row>
    <row r="355" spans="9:10" ht="15.75" customHeight="1">
      <c r="I355" s="11"/>
      <c r="J355" s="11"/>
    </row>
    <row r="356" spans="9:10" ht="15.75" customHeight="1">
      <c r="I356" s="11"/>
      <c r="J356" s="11"/>
    </row>
    <row r="357" spans="9:10" ht="15.75" customHeight="1">
      <c r="I357" s="11"/>
      <c r="J357" s="11"/>
    </row>
    <row r="358" spans="9:10" ht="15.75" customHeight="1">
      <c r="I358" s="11"/>
      <c r="J358" s="11"/>
    </row>
    <row r="359" spans="9:10" ht="15.75" customHeight="1">
      <c r="I359" s="11"/>
      <c r="J359" s="11"/>
    </row>
    <row r="360" spans="9:10" ht="15.75" customHeight="1">
      <c r="I360" s="11"/>
      <c r="J360" s="11"/>
    </row>
    <row r="361" spans="9:10" ht="15.75" customHeight="1">
      <c r="I361" s="11"/>
      <c r="J361" s="11"/>
    </row>
    <row r="362" spans="9:10" ht="15.75" customHeight="1">
      <c r="I362" s="11"/>
      <c r="J362" s="11"/>
    </row>
    <row r="363" spans="9:10" ht="15.75" customHeight="1">
      <c r="I363" s="11"/>
      <c r="J363" s="11"/>
    </row>
    <row r="364" spans="9:10" ht="15.75" customHeight="1">
      <c r="I364" s="11"/>
      <c r="J364" s="11"/>
    </row>
    <row r="365" spans="9:10" ht="15.75" customHeight="1">
      <c r="I365" s="11"/>
      <c r="J365" s="11"/>
    </row>
    <row r="366" spans="9:10" ht="15.75" customHeight="1">
      <c r="I366" s="11"/>
      <c r="J366" s="11"/>
    </row>
    <row r="367" spans="9:10" ht="15.75" customHeight="1">
      <c r="I367" s="11"/>
      <c r="J367" s="11"/>
    </row>
    <row r="368" spans="9:10" ht="15.75" customHeight="1">
      <c r="I368" s="11"/>
      <c r="J368" s="11"/>
    </row>
    <row r="369" spans="9:10" ht="15.75" customHeight="1">
      <c r="I369" s="11"/>
      <c r="J369" s="11"/>
    </row>
    <row r="370" spans="9:10" ht="15.75" customHeight="1">
      <c r="I370" s="11"/>
      <c r="J370" s="11"/>
    </row>
    <row r="371" spans="9:10" ht="15.75" customHeight="1">
      <c r="I371" s="11"/>
      <c r="J371" s="11"/>
    </row>
    <row r="372" spans="9:10" ht="15.75" customHeight="1">
      <c r="I372" s="11"/>
      <c r="J372" s="11"/>
    </row>
    <row r="373" spans="9:10" ht="15.75" customHeight="1">
      <c r="I373" s="11"/>
      <c r="J373" s="11"/>
    </row>
    <row r="374" spans="9:10" ht="15.75" customHeight="1">
      <c r="I374" s="11"/>
      <c r="J374" s="11"/>
    </row>
    <row r="375" spans="9:10" ht="15.75" customHeight="1">
      <c r="I375" s="11"/>
      <c r="J375" s="11"/>
    </row>
    <row r="376" spans="9:10" ht="15.75" customHeight="1">
      <c r="I376" s="11"/>
      <c r="J376" s="11"/>
    </row>
    <row r="377" spans="9:10" ht="15.75" customHeight="1">
      <c r="I377" s="11"/>
      <c r="J377" s="11"/>
    </row>
    <row r="378" spans="9:10" ht="15.75" customHeight="1">
      <c r="I378" s="11"/>
      <c r="J378" s="11"/>
    </row>
    <row r="379" spans="9:10" ht="15.75" customHeight="1">
      <c r="I379" s="11"/>
      <c r="J379" s="11"/>
    </row>
    <row r="380" spans="9:10" ht="15.75" customHeight="1">
      <c r="I380" s="11"/>
      <c r="J380" s="11"/>
    </row>
    <row r="381" spans="9:10" ht="15.75" customHeight="1">
      <c r="I381" s="11"/>
      <c r="J381" s="11"/>
    </row>
    <row r="382" spans="9:10" ht="15.75" customHeight="1">
      <c r="I382" s="11"/>
      <c r="J382" s="11"/>
    </row>
    <row r="383" spans="9:10" ht="15.75" customHeight="1">
      <c r="I383" s="11"/>
      <c r="J383" s="11"/>
    </row>
    <row r="384" spans="9:10" ht="15.75" customHeight="1">
      <c r="I384" s="11"/>
      <c r="J384" s="11"/>
    </row>
    <row r="385" spans="9:10" ht="15.75" customHeight="1">
      <c r="I385" s="11"/>
      <c r="J385" s="11"/>
    </row>
    <row r="386" spans="9:10" ht="15.75" customHeight="1">
      <c r="I386" s="11"/>
      <c r="J386" s="11"/>
    </row>
    <row r="387" spans="9:10" ht="15.75" customHeight="1">
      <c r="I387" s="11"/>
      <c r="J387" s="11"/>
    </row>
    <row r="388" spans="9:10" ht="15.75" customHeight="1">
      <c r="I388" s="11"/>
      <c r="J388" s="11"/>
    </row>
    <row r="389" spans="9:10" ht="15.75" customHeight="1">
      <c r="I389" s="11"/>
      <c r="J389" s="11"/>
    </row>
    <row r="390" spans="9:10" ht="15.75" customHeight="1">
      <c r="I390" s="11"/>
      <c r="J390" s="11"/>
    </row>
    <row r="391" spans="9:10" ht="15.75" customHeight="1">
      <c r="I391" s="11"/>
      <c r="J391" s="11"/>
    </row>
    <row r="392" spans="9:10" ht="15.75" customHeight="1">
      <c r="I392" s="11"/>
      <c r="J392" s="11"/>
    </row>
    <row r="393" spans="9:10" ht="15.75" customHeight="1">
      <c r="I393" s="11"/>
      <c r="J393" s="11"/>
    </row>
    <row r="394" spans="9:10" ht="15.75" customHeight="1">
      <c r="I394" s="11"/>
      <c r="J394" s="11"/>
    </row>
    <row r="395" spans="9:10" ht="15.75" customHeight="1">
      <c r="I395" s="11"/>
      <c r="J395" s="11"/>
    </row>
    <row r="396" spans="9:10" ht="15.75" customHeight="1">
      <c r="I396" s="11"/>
      <c r="J396" s="11"/>
    </row>
    <row r="397" spans="9:10" ht="15.75" customHeight="1">
      <c r="I397" s="11"/>
      <c r="J397" s="11"/>
    </row>
    <row r="398" spans="9:10" ht="15.75" customHeight="1">
      <c r="I398" s="11"/>
      <c r="J398" s="11"/>
    </row>
    <row r="399" spans="9:10" ht="15.75" customHeight="1">
      <c r="I399" s="11"/>
      <c r="J399" s="11"/>
    </row>
    <row r="400" spans="9:10" ht="15.75" customHeight="1">
      <c r="I400" s="11"/>
      <c r="J400" s="11"/>
    </row>
    <row r="401" spans="9:10" ht="15.75" customHeight="1">
      <c r="I401" s="11"/>
      <c r="J401" s="11"/>
    </row>
    <row r="402" spans="9:10" ht="15.75" customHeight="1">
      <c r="I402" s="11"/>
      <c r="J402" s="11"/>
    </row>
    <row r="403" spans="9:10" ht="15.75" customHeight="1">
      <c r="I403" s="11"/>
      <c r="J403" s="11"/>
    </row>
    <row r="404" spans="9:10" ht="15.75" customHeight="1">
      <c r="I404" s="11"/>
      <c r="J404" s="11"/>
    </row>
    <row r="405" spans="9:10" ht="15.75" customHeight="1">
      <c r="I405" s="11"/>
      <c r="J405" s="11"/>
    </row>
    <row r="406" spans="9:10" ht="15.75" customHeight="1">
      <c r="I406" s="11"/>
      <c r="J406" s="11"/>
    </row>
    <row r="407" spans="9:10" ht="15.75" customHeight="1">
      <c r="I407" s="11"/>
      <c r="J407" s="11"/>
    </row>
    <row r="408" spans="9:10" ht="15.75" customHeight="1">
      <c r="I408" s="11"/>
      <c r="J408" s="11"/>
    </row>
    <row r="409" spans="9:10" ht="15.75" customHeight="1">
      <c r="I409" s="11"/>
      <c r="J409" s="11"/>
    </row>
    <row r="410" spans="9:10" ht="15.75" customHeight="1">
      <c r="I410" s="11"/>
      <c r="J410" s="11"/>
    </row>
    <row r="411" spans="9:10" ht="15.75" customHeight="1">
      <c r="I411" s="11"/>
      <c r="J411" s="11"/>
    </row>
    <row r="412" spans="9:10" ht="15.75" customHeight="1">
      <c r="I412" s="11"/>
      <c r="J412" s="11"/>
    </row>
    <row r="413" spans="9:10" ht="15.75" customHeight="1">
      <c r="I413" s="11"/>
      <c r="J413" s="11"/>
    </row>
    <row r="414" spans="9:10" ht="15.75" customHeight="1">
      <c r="I414" s="11"/>
      <c r="J414" s="11"/>
    </row>
    <row r="415" spans="9:10" ht="15.75" customHeight="1">
      <c r="I415" s="11"/>
      <c r="J415" s="11"/>
    </row>
    <row r="416" spans="9:10" ht="15.75" customHeight="1">
      <c r="I416" s="11"/>
      <c r="J416" s="11"/>
    </row>
    <row r="417" spans="9:10" ht="15.75" customHeight="1">
      <c r="I417" s="11"/>
      <c r="J417" s="11"/>
    </row>
    <row r="418" spans="9:10" ht="15.75" customHeight="1">
      <c r="I418" s="11"/>
      <c r="J418" s="11"/>
    </row>
    <row r="419" spans="9:10" ht="15.75" customHeight="1">
      <c r="I419" s="11"/>
      <c r="J419" s="11"/>
    </row>
    <row r="420" spans="9:10" ht="15.75" customHeight="1">
      <c r="I420" s="11"/>
      <c r="J420" s="11"/>
    </row>
    <row r="421" spans="9:10" ht="15.75" customHeight="1">
      <c r="I421" s="11"/>
      <c r="J421" s="11"/>
    </row>
    <row r="422" spans="9:10" ht="15.75" customHeight="1">
      <c r="I422" s="11"/>
      <c r="J422" s="11"/>
    </row>
    <row r="423" spans="9:10" ht="15.75" customHeight="1">
      <c r="I423" s="11"/>
      <c r="J423" s="11"/>
    </row>
    <row r="424" spans="9:10" ht="15.75" customHeight="1">
      <c r="I424" s="11"/>
      <c r="J424" s="11"/>
    </row>
    <row r="425" spans="9:10" ht="15.75" customHeight="1">
      <c r="I425" s="11"/>
      <c r="J425" s="11"/>
    </row>
    <row r="426" spans="9:10" ht="15.75" customHeight="1">
      <c r="I426" s="11"/>
      <c r="J426" s="11"/>
    </row>
    <row r="427" spans="9:10" ht="15.75" customHeight="1">
      <c r="I427" s="11"/>
      <c r="J427" s="11"/>
    </row>
    <row r="428" spans="9:10" ht="15.75" customHeight="1">
      <c r="I428" s="11"/>
      <c r="J428" s="11"/>
    </row>
    <row r="429" spans="9:10" ht="15.75" customHeight="1">
      <c r="I429" s="11"/>
      <c r="J429" s="11"/>
    </row>
    <row r="430" spans="9:10" ht="15.75" customHeight="1">
      <c r="I430" s="11"/>
      <c r="J430" s="11"/>
    </row>
    <row r="431" spans="9:10" ht="15.75" customHeight="1">
      <c r="I431" s="11"/>
      <c r="J431" s="11"/>
    </row>
    <row r="432" spans="9:10" ht="15.75" customHeight="1">
      <c r="I432" s="11"/>
      <c r="J432" s="11"/>
    </row>
    <row r="433" spans="9:10" ht="15.75" customHeight="1">
      <c r="I433" s="11"/>
      <c r="J433" s="11"/>
    </row>
    <row r="434" spans="9:10" ht="15.75" customHeight="1">
      <c r="I434" s="11"/>
      <c r="J434" s="11"/>
    </row>
    <row r="435" spans="9:10" ht="15.75" customHeight="1">
      <c r="I435" s="11"/>
      <c r="J435" s="11"/>
    </row>
    <row r="436" spans="9:10" ht="15.75" customHeight="1">
      <c r="I436" s="11"/>
      <c r="J436" s="11"/>
    </row>
    <row r="437" spans="9:10" ht="15.75" customHeight="1">
      <c r="I437" s="11"/>
      <c r="J437" s="11"/>
    </row>
    <row r="438" spans="9:10" ht="15.75" customHeight="1">
      <c r="I438" s="11"/>
      <c r="J438" s="11"/>
    </row>
    <row r="439" spans="9:10" ht="15.75" customHeight="1">
      <c r="I439" s="11"/>
      <c r="J439" s="11"/>
    </row>
    <row r="440" spans="9:10" ht="15.75" customHeight="1">
      <c r="I440" s="11"/>
      <c r="J440" s="11"/>
    </row>
    <row r="441" spans="9:10" ht="15.75" customHeight="1">
      <c r="I441" s="11"/>
      <c r="J441" s="11"/>
    </row>
    <row r="442" spans="9:10" ht="15.75" customHeight="1">
      <c r="I442" s="11"/>
      <c r="J442" s="11"/>
    </row>
    <row r="443" spans="9:10" ht="15.75" customHeight="1">
      <c r="I443" s="11"/>
      <c r="J443" s="11"/>
    </row>
    <row r="444" spans="9:10" ht="15.75" customHeight="1">
      <c r="I444" s="11"/>
      <c r="J444" s="11"/>
    </row>
    <row r="445" spans="9:10" ht="15.75" customHeight="1">
      <c r="I445" s="11"/>
      <c r="J445" s="11"/>
    </row>
    <row r="446" spans="9:10" ht="15.75" customHeight="1">
      <c r="I446" s="11"/>
      <c r="J446" s="11"/>
    </row>
    <row r="447" spans="9:10" ht="15.75" customHeight="1">
      <c r="I447" s="11"/>
      <c r="J447" s="11"/>
    </row>
    <row r="448" spans="9:10" ht="15.75" customHeight="1">
      <c r="I448" s="11"/>
      <c r="J448" s="11"/>
    </row>
    <row r="449" spans="9:10" ht="15.75" customHeight="1">
      <c r="I449" s="11"/>
      <c r="J449" s="11"/>
    </row>
    <row r="450" spans="9:10" ht="15.75" customHeight="1">
      <c r="I450" s="11"/>
      <c r="J450" s="11"/>
    </row>
    <row r="451" spans="9:10" ht="15.75" customHeight="1">
      <c r="I451" s="11"/>
      <c r="J451" s="11"/>
    </row>
    <row r="452" spans="9:10" ht="15.75" customHeight="1">
      <c r="I452" s="11"/>
      <c r="J452" s="11"/>
    </row>
    <row r="453" spans="9:10" ht="15.75" customHeight="1">
      <c r="I453" s="11"/>
      <c r="J453" s="11"/>
    </row>
    <row r="454" spans="9:10" ht="15.75" customHeight="1">
      <c r="I454" s="11"/>
      <c r="J454" s="11"/>
    </row>
    <row r="455" spans="9:10" ht="15.75" customHeight="1">
      <c r="I455" s="11"/>
      <c r="J455" s="11"/>
    </row>
    <row r="456" spans="9:10" ht="15.75" customHeight="1">
      <c r="I456" s="11"/>
      <c r="J456" s="11"/>
    </row>
    <row r="457" spans="9:10" ht="15.75" customHeight="1">
      <c r="I457" s="11"/>
      <c r="J457" s="11"/>
    </row>
    <row r="458" spans="9:10" ht="15.75" customHeight="1">
      <c r="I458" s="11"/>
      <c r="J458" s="11"/>
    </row>
    <row r="459" spans="9:10" ht="15.75" customHeight="1">
      <c r="I459" s="11"/>
      <c r="J459" s="11"/>
    </row>
    <row r="460" spans="9:10" ht="15.75" customHeight="1">
      <c r="I460" s="11"/>
      <c r="J460" s="11"/>
    </row>
    <row r="461" spans="9:10" ht="15.75" customHeight="1">
      <c r="I461" s="11"/>
      <c r="J461" s="11"/>
    </row>
    <row r="462" spans="9:10" ht="15.75" customHeight="1">
      <c r="I462" s="11"/>
      <c r="J462" s="11"/>
    </row>
    <row r="463" spans="9:10" ht="15.75" customHeight="1">
      <c r="I463" s="11"/>
      <c r="J463" s="11"/>
    </row>
    <row r="464" spans="9:10" ht="15.75" customHeight="1">
      <c r="I464" s="11"/>
      <c r="J464" s="11"/>
    </row>
    <row r="465" spans="9:10" ht="15.75" customHeight="1">
      <c r="I465" s="11"/>
      <c r="J465" s="11"/>
    </row>
    <row r="466" spans="9:10" ht="15.75" customHeight="1">
      <c r="I466" s="11"/>
      <c r="J466" s="11"/>
    </row>
    <row r="467" spans="9:10" ht="15.75" customHeight="1">
      <c r="I467" s="11"/>
      <c r="J467" s="11"/>
    </row>
    <row r="468" spans="9:10" ht="15.75" customHeight="1">
      <c r="I468" s="11"/>
      <c r="J468" s="11"/>
    </row>
    <row r="469" spans="9:10" ht="15.75" customHeight="1">
      <c r="I469" s="11"/>
      <c r="J469" s="11"/>
    </row>
    <row r="470" spans="9:10" ht="15.75" customHeight="1">
      <c r="I470" s="11"/>
      <c r="J470" s="11"/>
    </row>
    <row r="471" spans="9:10" ht="15.75" customHeight="1">
      <c r="I471" s="11"/>
      <c r="J471" s="11"/>
    </row>
    <row r="472" spans="9:10" ht="15.75" customHeight="1">
      <c r="I472" s="11"/>
      <c r="J472" s="11"/>
    </row>
    <row r="473" spans="9:10" ht="15.75" customHeight="1">
      <c r="I473" s="11"/>
      <c r="J473" s="11"/>
    </row>
    <row r="474" spans="9:10" ht="15.75" customHeight="1">
      <c r="I474" s="11"/>
      <c r="J474" s="11"/>
    </row>
    <row r="475" spans="9:10" ht="15.75" customHeight="1">
      <c r="I475" s="11"/>
      <c r="J475" s="11"/>
    </row>
    <row r="476" spans="9:10" ht="15.75" customHeight="1">
      <c r="I476" s="11"/>
      <c r="J476" s="11"/>
    </row>
    <row r="477" spans="9:10" ht="15.75" customHeight="1">
      <c r="I477" s="11"/>
      <c r="J477" s="11"/>
    </row>
    <row r="478" spans="9:10" ht="15.75" customHeight="1">
      <c r="I478" s="11"/>
      <c r="J478" s="11"/>
    </row>
    <row r="479" spans="9:10" ht="15.75" customHeight="1">
      <c r="I479" s="11"/>
      <c r="J479" s="11"/>
    </row>
    <row r="480" spans="9:10" ht="15.75" customHeight="1">
      <c r="I480" s="11"/>
      <c r="J480" s="11"/>
    </row>
    <row r="481" spans="9:10" ht="15.75" customHeight="1">
      <c r="I481" s="11"/>
      <c r="J481" s="11"/>
    </row>
    <row r="482" spans="9:10" ht="15.75" customHeight="1">
      <c r="I482" s="11"/>
      <c r="J482" s="11"/>
    </row>
    <row r="483" spans="9:10" ht="15.75" customHeight="1">
      <c r="I483" s="11"/>
      <c r="J483" s="11"/>
    </row>
    <row r="484" spans="9:10" ht="15.75" customHeight="1">
      <c r="I484" s="11"/>
      <c r="J484" s="11"/>
    </row>
    <row r="485" spans="9:10" ht="15.75" customHeight="1">
      <c r="I485" s="11"/>
      <c r="J485" s="11"/>
    </row>
    <row r="486" spans="9:10" ht="15.75" customHeight="1">
      <c r="I486" s="11"/>
      <c r="J486" s="11"/>
    </row>
    <row r="487" spans="9:10" ht="15.75" customHeight="1">
      <c r="I487" s="11"/>
      <c r="J487" s="11"/>
    </row>
    <row r="488" spans="9:10" ht="15.75" customHeight="1">
      <c r="I488" s="11"/>
      <c r="J488" s="11"/>
    </row>
    <row r="489" spans="9:10" ht="15.75" customHeight="1">
      <c r="I489" s="11"/>
      <c r="J489" s="11"/>
    </row>
    <row r="490" spans="9:10" ht="15.75" customHeight="1">
      <c r="I490" s="11"/>
      <c r="J490" s="11"/>
    </row>
    <row r="491" spans="9:10" ht="15.75" customHeight="1">
      <c r="I491" s="11"/>
      <c r="J491" s="11"/>
    </row>
    <row r="492" spans="9:10" ht="15.75" customHeight="1">
      <c r="I492" s="11"/>
      <c r="J492" s="11"/>
    </row>
    <row r="493" spans="9:10" ht="15.75" customHeight="1">
      <c r="I493" s="11"/>
      <c r="J493" s="11"/>
    </row>
    <row r="494" spans="9:10" ht="15.75" customHeight="1">
      <c r="I494" s="11"/>
      <c r="J494" s="11"/>
    </row>
    <row r="495" spans="9:10" ht="15.75" customHeight="1">
      <c r="I495" s="11"/>
      <c r="J495" s="11"/>
    </row>
    <row r="496" spans="9:10" ht="15.75" customHeight="1">
      <c r="I496" s="11"/>
      <c r="J496" s="11"/>
    </row>
    <row r="497" spans="9:10" ht="15.75" customHeight="1">
      <c r="I497" s="11"/>
      <c r="J497" s="11"/>
    </row>
    <row r="498" spans="9:10" ht="15.75" customHeight="1">
      <c r="I498" s="11"/>
      <c r="J498" s="11"/>
    </row>
    <row r="499" spans="9:10" ht="15.75" customHeight="1">
      <c r="I499" s="11"/>
      <c r="J499" s="11"/>
    </row>
    <row r="500" spans="9:10" ht="15.75" customHeight="1">
      <c r="I500" s="11"/>
      <c r="J500" s="11"/>
    </row>
    <row r="501" spans="9:10" ht="15.75" customHeight="1">
      <c r="I501" s="11"/>
      <c r="J501" s="11"/>
    </row>
    <row r="502" spans="9:10" ht="15.75" customHeight="1">
      <c r="I502" s="11"/>
      <c r="J502" s="11"/>
    </row>
    <row r="503" spans="9:10" ht="15.75" customHeight="1">
      <c r="I503" s="11"/>
      <c r="J503" s="11"/>
    </row>
    <row r="504" spans="9:10" ht="15.75" customHeight="1">
      <c r="I504" s="11"/>
      <c r="J504" s="11"/>
    </row>
    <row r="505" spans="9:10" ht="15.75" customHeight="1">
      <c r="I505" s="11"/>
      <c r="J505" s="11"/>
    </row>
    <row r="506" spans="9:10" ht="15.75" customHeight="1">
      <c r="I506" s="11"/>
      <c r="J506" s="11"/>
    </row>
    <row r="507" spans="9:10" ht="15.75" customHeight="1">
      <c r="I507" s="11"/>
      <c r="J507" s="11"/>
    </row>
    <row r="508" spans="9:10" ht="15.75" customHeight="1">
      <c r="I508" s="11"/>
      <c r="J508" s="11"/>
    </row>
    <row r="509" spans="9:10" ht="15.75" customHeight="1">
      <c r="I509" s="11"/>
      <c r="J509" s="11"/>
    </row>
    <row r="510" spans="9:10" ht="15.75" customHeight="1">
      <c r="I510" s="11"/>
      <c r="J510" s="11"/>
    </row>
    <row r="511" spans="9:10" ht="15.75" customHeight="1">
      <c r="I511" s="11"/>
      <c r="J511" s="11"/>
    </row>
    <row r="512" spans="9:10" ht="15.75" customHeight="1">
      <c r="I512" s="11"/>
      <c r="J512" s="11"/>
    </row>
    <row r="513" spans="9:10" ht="15.75" customHeight="1">
      <c r="I513" s="11"/>
      <c r="J513" s="11"/>
    </row>
    <row r="514" spans="9:10" ht="15.75" customHeight="1">
      <c r="I514" s="11"/>
      <c r="J514" s="11"/>
    </row>
    <row r="515" spans="9:10" ht="15.75" customHeight="1">
      <c r="I515" s="11"/>
      <c r="J515" s="11"/>
    </row>
    <row r="516" spans="9:10" ht="15.75" customHeight="1">
      <c r="I516" s="11"/>
      <c r="J516" s="11"/>
    </row>
    <row r="517" spans="9:10" ht="15.75" customHeight="1">
      <c r="I517" s="11"/>
      <c r="J517" s="11"/>
    </row>
    <row r="518" spans="9:10" ht="15.75" customHeight="1">
      <c r="I518" s="11"/>
      <c r="J518" s="11"/>
    </row>
    <row r="519" spans="9:10" ht="15.75" customHeight="1">
      <c r="I519" s="11"/>
      <c r="J519" s="11"/>
    </row>
    <row r="520" spans="9:10" ht="15.75" customHeight="1">
      <c r="I520" s="11"/>
      <c r="J520" s="11"/>
    </row>
    <row r="521" spans="9:10" ht="15.75" customHeight="1">
      <c r="I521" s="11"/>
      <c r="J521" s="11"/>
    </row>
    <row r="522" spans="9:10" ht="15.75" customHeight="1">
      <c r="I522" s="11"/>
      <c r="J522" s="11"/>
    </row>
    <row r="523" spans="9:10" ht="15.75" customHeight="1">
      <c r="I523" s="11"/>
      <c r="J523" s="11"/>
    </row>
    <row r="524" spans="9:10" ht="15.75" customHeight="1">
      <c r="I524" s="11"/>
      <c r="J524" s="11"/>
    </row>
    <row r="525" spans="9:10" ht="15.75" customHeight="1">
      <c r="I525" s="11"/>
      <c r="J525" s="11"/>
    </row>
    <row r="526" spans="9:10" ht="15.75" customHeight="1">
      <c r="I526" s="11"/>
      <c r="J526" s="11"/>
    </row>
    <row r="527" spans="9:10" ht="15.75" customHeight="1">
      <c r="I527" s="11"/>
      <c r="J527" s="11"/>
    </row>
    <row r="528" spans="9:10" ht="15.75" customHeight="1">
      <c r="I528" s="11"/>
      <c r="J528" s="11"/>
    </row>
    <row r="529" spans="9:10" ht="15.75" customHeight="1">
      <c r="I529" s="11"/>
      <c r="J529" s="11"/>
    </row>
    <row r="530" spans="9:10" ht="15.75" customHeight="1">
      <c r="I530" s="11"/>
      <c r="J530" s="11"/>
    </row>
    <row r="531" spans="9:10" ht="15.75" customHeight="1">
      <c r="I531" s="11"/>
      <c r="J531" s="11"/>
    </row>
    <row r="532" spans="9:10" ht="15.75" customHeight="1">
      <c r="I532" s="11"/>
      <c r="J532" s="11"/>
    </row>
    <row r="533" spans="9:10" ht="15.75" customHeight="1">
      <c r="I533" s="11"/>
      <c r="J533" s="11"/>
    </row>
    <row r="534" spans="9:10" ht="15.75" customHeight="1">
      <c r="I534" s="11"/>
      <c r="J534" s="11"/>
    </row>
    <row r="535" spans="9:10" ht="15.75" customHeight="1">
      <c r="I535" s="11"/>
      <c r="J535" s="11"/>
    </row>
    <row r="536" spans="9:10" ht="15.75" customHeight="1">
      <c r="I536" s="11"/>
      <c r="J536" s="11"/>
    </row>
    <row r="537" spans="9:10" ht="15.75" customHeight="1">
      <c r="I537" s="11"/>
      <c r="J537" s="11"/>
    </row>
    <row r="538" spans="9:10" ht="15.75" customHeight="1">
      <c r="I538" s="11"/>
      <c r="J538" s="11"/>
    </row>
    <row r="539" spans="9:10" ht="15.75" customHeight="1">
      <c r="I539" s="11"/>
      <c r="J539" s="11"/>
    </row>
    <row r="540" spans="9:10" ht="15.75" customHeight="1">
      <c r="I540" s="11"/>
      <c r="J540" s="11"/>
    </row>
    <row r="541" spans="9:10" ht="15.75" customHeight="1">
      <c r="I541" s="11"/>
      <c r="J541" s="11"/>
    </row>
    <row r="542" spans="9:10" ht="15.75" customHeight="1">
      <c r="I542" s="11"/>
      <c r="J542" s="11"/>
    </row>
    <row r="543" spans="9:10" ht="15.75" customHeight="1">
      <c r="I543" s="11"/>
      <c r="J543" s="11"/>
    </row>
    <row r="544" spans="9:10" ht="15.75" customHeight="1">
      <c r="I544" s="11"/>
      <c r="J544" s="11"/>
    </row>
    <row r="545" spans="9:10" ht="15.75" customHeight="1">
      <c r="I545" s="11"/>
      <c r="J545" s="11"/>
    </row>
    <row r="546" spans="9:10" ht="15.75" customHeight="1">
      <c r="I546" s="11"/>
      <c r="J546" s="11"/>
    </row>
    <row r="547" spans="9:10" ht="15.75" customHeight="1">
      <c r="I547" s="11"/>
      <c r="J547" s="11"/>
    </row>
    <row r="548" spans="9:10" ht="15.75" customHeight="1">
      <c r="I548" s="11"/>
      <c r="J548" s="11"/>
    </row>
    <row r="549" spans="9:10" ht="15.75" customHeight="1">
      <c r="I549" s="11"/>
      <c r="J549" s="11"/>
    </row>
    <row r="550" spans="9:10" ht="15.75" customHeight="1">
      <c r="I550" s="11"/>
      <c r="J550" s="11"/>
    </row>
    <row r="551" spans="9:10" ht="15.75" customHeight="1">
      <c r="I551" s="11"/>
      <c r="J551" s="11"/>
    </row>
    <row r="552" spans="9:10" ht="15.75" customHeight="1">
      <c r="I552" s="11"/>
      <c r="J552" s="11"/>
    </row>
    <row r="553" spans="9:10" ht="15.75" customHeight="1">
      <c r="I553" s="11"/>
      <c r="J553" s="11"/>
    </row>
    <row r="554" spans="9:10" ht="15.75" customHeight="1">
      <c r="I554" s="11"/>
      <c r="J554" s="11"/>
    </row>
    <row r="555" spans="9:10" ht="15.75" customHeight="1">
      <c r="I555" s="11"/>
      <c r="J555" s="11"/>
    </row>
    <row r="556" spans="9:10" ht="15.75" customHeight="1">
      <c r="I556" s="11"/>
      <c r="J556" s="11"/>
    </row>
    <row r="557" spans="9:10" ht="15.75" customHeight="1">
      <c r="I557" s="11"/>
      <c r="J557" s="11"/>
    </row>
    <row r="558" spans="9:10" ht="15.75" customHeight="1">
      <c r="I558" s="11"/>
      <c r="J558" s="11"/>
    </row>
    <row r="559" spans="9:10" ht="15.75" customHeight="1">
      <c r="I559" s="11"/>
      <c r="J559" s="11"/>
    </row>
    <row r="560" spans="9:10" ht="15.75" customHeight="1">
      <c r="I560" s="11"/>
      <c r="J560" s="11"/>
    </row>
    <row r="561" spans="9:10" ht="15.75" customHeight="1">
      <c r="I561" s="11"/>
      <c r="J561" s="11"/>
    </row>
    <row r="562" spans="9:10" ht="15.75" customHeight="1">
      <c r="I562" s="11"/>
      <c r="J562" s="11"/>
    </row>
    <row r="563" spans="9:10" ht="15.75" customHeight="1">
      <c r="I563" s="11"/>
      <c r="J563" s="11"/>
    </row>
    <row r="564" spans="9:10" ht="15.75" customHeight="1">
      <c r="I564" s="11"/>
      <c r="J564" s="11"/>
    </row>
    <row r="565" spans="9:10" ht="15.75" customHeight="1">
      <c r="I565" s="11"/>
      <c r="J565" s="11"/>
    </row>
    <row r="566" spans="9:10" ht="15.75" customHeight="1">
      <c r="I566" s="11"/>
      <c r="J566" s="11"/>
    </row>
    <row r="567" spans="9:10" ht="15.75" customHeight="1">
      <c r="I567" s="11"/>
      <c r="J567" s="11"/>
    </row>
    <row r="568" spans="9:10" ht="15.75" customHeight="1">
      <c r="I568" s="11"/>
      <c r="J568" s="11"/>
    </row>
    <row r="569" spans="9:10" ht="15.75" customHeight="1">
      <c r="I569" s="11"/>
      <c r="J569" s="11"/>
    </row>
    <row r="570" spans="9:10" ht="15.75" customHeight="1">
      <c r="I570" s="11"/>
      <c r="J570" s="11"/>
    </row>
    <row r="571" spans="9:10" ht="15.75" customHeight="1">
      <c r="I571" s="11"/>
      <c r="J571" s="11"/>
    </row>
    <row r="572" spans="9:10" ht="15.75" customHeight="1">
      <c r="I572" s="11"/>
      <c r="J572" s="11"/>
    </row>
    <row r="573" spans="9:10" ht="15.75" customHeight="1">
      <c r="I573" s="11"/>
      <c r="J573" s="11"/>
    </row>
    <row r="574" spans="9:10" ht="15.75" customHeight="1">
      <c r="I574" s="11"/>
      <c r="J574" s="11"/>
    </row>
    <row r="575" spans="9:10" ht="15.75" customHeight="1">
      <c r="I575" s="11"/>
      <c r="J575" s="11"/>
    </row>
    <row r="576" spans="9:10" ht="15.75" customHeight="1">
      <c r="I576" s="11"/>
      <c r="J576" s="11"/>
    </row>
    <row r="577" spans="9:10" ht="15.75" customHeight="1">
      <c r="I577" s="11"/>
      <c r="J577" s="11"/>
    </row>
    <row r="578" spans="9:10" ht="15.75" customHeight="1">
      <c r="I578" s="11"/>
      <c r="J578" s="11"/>
    </row>
    <row r="579" spans="9:10" ht="15.75" customHeight="1">
      <c r="I579" s="11"/>
      <c r="J579" s="11"/>
    </row>
    <row r="580" spans="9:10" ht="15.75" customHeight="1">
      <c r="I580" s="11"/>
      <c r="J580" s="11"/>
    </row>
    <row r="581" spans="9:10" ht="15.75" customHeight="1">
      <c r="I581" s="11"/>
      <c r="J581" s="11"/>
    </row>
    <row r="582" spans="9:10" ht="15.75" customHeight="1">
      <c r="I582" s="11"/>
      <c r="J582" s="11"/>
    </row>
    <row r="583" spans="9:10" ht="15.75" customHeight="1">
      <c r="I583" s="11"/>
      <c r="J583" s="11"/>
    </row>
    <row r="584" spans="9:10" ht="15.75" customHeight="1">
      <c r="I584" s="11"/>
      <c r="J584" s="11"/>
    </row>
    <row r="585" spans="9:10" ht="15.75" customHeight="1">
      <c r="I585" s="11"/>
      <c r="J585" s="11"/>
    </row>
    <row r="586" spans="9:10" ht="15.75" customHeight="1">
      <c r="I586" s="11"/>
      <c r="J586" s="11"/>
    </row>
    <row r="587" spans="9:10" ht="15.75" customHeight="1">
      <c r="I587" s="11"/>
      <c r="J587" s="11"/>
    </row>
    <row r="588" spans="9:10" ht="15.75" customHeight="1">
      <c r="I588" s="11"/>
      <c r="J588" s="11"/>
    </row>
    <row r="589" spans="9:10" ht="15.75" customHeight="1">
      <c r="I589" s="11"/>
      <c r="J589" s="11"/>
    </row>
    <row r="590" spans="9:10" ht="15.75" customHeight="1">
      <c r="I590" s="11"/>
      <c r="J590" s="11"/>
    </row>
    <row r="591" spans="9:10" ht="15.75" customHeight="1">
      <c r="I591" s="11"/>
      <c r="J591" s="11"/>
    </row>
    <row r="592" spans="9:10" ht="15.75" customHeight="1">
      <c r="I592" s="11"/>
      <c r="J592" s="11"/>
    </row>
    <row r="593" spans="9:10" ht="15.75" customHeight="1">
      <c r="I593" s="11"/>
      <c r="J593" s="11"/>
    </row>
    <row r="594" spans="9:10" ht="15.75" customHeight="1">
      <c r="I594" s="11"/>
      <c r="J594" s="11"/>
    </row>
    <row r="595" spans="9:10" ht="15.75" customHeight="1">
      <c r="I595" s="11"/>
      <c r="J595" s="11"/>
    </row>
    <row r="596" spans="9:10" ht="15.75" customHeight="1">
      <c r="I596" s="11"/>
      <c r="J596" s="11"/>
    </row>
    <row r="597" spans="9:10" ht="15.75" customHeight="1">
      <c r="I597" s="11"/>
      <c r="J597" s="11"/>
    </row>
    <row r="598" spans="9:10" ht="15.75" customHeight="1">
      <c r="I598" s="11"/>
      <c r="J598" s="11"/>
    </row>
    <row r="599" spans="9:10" ht="15.75" customHeight="1">
      <c r="I599" s="11"/>
      <c r="J599" s="11"/>
    </row>
    <row r="600" spans="9:10" ht="15.75" customHeight="1">
      <c r="I600" s="11"/>
      <c r="J600" s="11"/>
    </row>
    <row r="601" spans="9:10" ht="15.75" customHeight="1">
      <c r="I601" s="11"/>
      <c r="J601" s="11"/>
    </row>
    <row r="602" spans="9:10" ht="15.75" customHeight="1">
      <c r="I602" s="11"/>
      <c r="J602" s="11"/>
    </row>
    <row r="603" spans="9:10" ht="15.75" customHeight="1">
      <c r="I603" s="11"/>
      <c r="J603" s="11"/>
    </row>
    <row r="604" spans="9:10" ht="15.75" customHeight="1">
      <c r="I604" s="11"/>
      <c r="J604" s="11"/>
    </row>
    <row r="605" spans="9:10" ht="15.75" customHeight="1">
      <c r="I605" s="11"/>
      <c r="J605" s="11"/>
    </row>
    <row r="606" spans="9:10" ht="15.75" customHeight="1">
      <c r="I606" s="11"/>
      <c r="J606" s="11"/>
    </row>
    <row r="607" spans="9:10" ht="15.75" customHeight="1">
      <c r="I607" s="11"/>
      <c r="J607" s="11"/>
    </row>
    <row r="608" spans="9:10" ht="15.75" customHeight="1">
      <c r="I608" s="11"/>
      <c r="J608" s="11"/>
    </row>
    <row r="609" spans="9:10" ht="15.75" customHeight="1">
      <c r="I609" s="11"/>
      <c r="J609" s="11"/>
    </row>
    <row r="610" spans="9:10" ht="15.75" customHeight="1">
      <c r="I610" s="11"/>
      <c r="J610" s="11"/>
    </row>
    <row r="611" spans="9:10" ht="15.75" customHeight="1">
      <c r="I611" s="11"/>
      <c r="J611" s="11"/>
    </row>
    <row r="612" spans="9:10" ht="15.75" customHeight="1">
      <c r="I612" s="11"/>
      <c r="J612" s="11"/>
    </row>
    <row r="613" spans="9:10" ht="15.75" customHeight="1">
      <c r="I613" s="11"/>
      <c r="J613" s="11"/>
    </row>
    <row r="614" spans="9:10" ht="15.75" customHeight="1">
      <c r="I614" s="11"/>
      <c r="J614" s="11"/>
    </row>
    <row r="615" spans="9:10" ht="15.75" customHeight="1">
      <c r="I615" s="11"/>
      <c r="J615" s="11"/>
    </row>
    <row r="616" spans="9:10" ht="15.75" customHeight="1">
      <c r="I616" s="11"/>
      <c r="J616" s="11"/>
    </row>
    <row r="617" spans="9:10" ht="15.75" customHeight="1">
      <c r="I617" s="11"/>
      <c r="J617" s="11"/>
    </row>
    <row r="618" spans="9:10" ht="15.75" customHeight="1">
      <c r="I618" s="11"/>
      <c r="J618" s="11"/>
    </row>
    <row r="619" spans="9:10" ht="15.75" customHeight="1">
      <c r="I619" s="11"/>
      <c r="J619" s="11"/>
    </row>
    <row r="620" spans="9:10" ht="15.75" customHeight="1">
      <c r="I620" s="11"/>
      <c r="J620" s="11"/>
    </row>
    <row r="621" spans="9:10" ht="15.75" customHeight="1">
      <c r="I621" s="11"/>
      <c r="J621" s="11"/>
    </row>
    <row r="622" spans="9:10" ht="15.75" customHeight="1">
      <c r="I622" s="11"/>
      <c r="J622" s="11"/>
    </row>
    <row r="623" spans="9:10" ht="15.75" customHeight="1">
      <c r="I623" s="11"/>
      <c r="J623" s="11"/>
    </row>
    <row r="624" spans="9:10" ht="15.75" customHeight="1">
      <c r="I624" s="11"/>
      <c r="J624" s="11"/>
    </row>
    <row r="625" spans="9:10" ht="15.75" customHeight="1">
      <c r="I625" s="11"/>
      <c r="J625" s="11"/>
    </row>
    <row r="626" spans="9:10" ht="15.75" customHeight="1">
      <c r="I626" s="11"/>
      <c r="J626" s="11"/>
    </row>
    <row r="627" spans="9:10" ht="15.75" customHeight="1">
      <c r="I627" s="11"/>
      <c r="J627" s="11"/>
    </row>
    <row r="628" spans="9:10" ht="15.75" customHeight="1">
      <c r="I628" s="11"/>
      <c r="J628" s="11"/>
    </row>
    <row r="629" spans="9:10" ht="15.75" customHeight="1">
      <c r="I629" s="11"/>
      <c r="J629" s="11"/>
    </row>
    <row r="630" spans="9:10" ht="15.75" customHeight="1">
      <c r="I630" s="11"/>
      <c r="J630" s="11"/>
    </row>
    <row r="631" spans="9:10" ht="15.75" customHeight="1">
      <c r="I631" s="11"/>
      <c r="J631" s="11"/>
    </row>
    <row r="632" spans="9:10" ht="15.75" customHeight="1">
      <c r="I632" s="11"/>
      <c r="J632" s="11"/>
    </row>
    <row r="633" spans="9:10" ht="15.75" customHeight="1">
      <c r="I633" s="11"/>
      <c r="J633" s="11"/>
    </row>
    <row r="634" spans="9:10" ht="15.75" customHeight="1">
      <c r="I634" s="11"/>
      <c r="J634" s="11"/>
    </row>
    <row r="635" spans="9:10" ht="15.75" customHeight="1">
      <c r="I635" s="11"/>
      <c r="J635" s="11"/>
    </row>
    <row r="636" spans="9:10" ht="15.75" customHeight="1">
      <c r="I636" s="11"/>
      <c r="J636" s="11"/>
    </row>
    <row r="637" spans="9:10" ht="15.75" customHeight="1">
      <c r="I637" s="11"/>
      <c r="J637" s="11"/>
    </row>
    <row r="638" spans="9:10" ht="15.75" customHeight="1">
      <c r="I638" s="11"/>
      <c r="J638" s="11"/>
    </row>
    <row r="639" spans="9:10" ht="15.75" customHeight="1">
      <c r="I639" s="11"/>
      <c r="J639" s="11"/>
    </row>
    <row r="640" spans="9:10" ht="15.75" customHeight="1">
      <c r="I640" s="11"/>
      <c r="J640" s="11"/>
    </row>
    <row r="641" spans="9:10" ht="15.75" customHeight="1">
      <c r="I641" s="11"/>
      <c r="J641" s="11"/>
    </row>
    <row r="642" spans="9:10" ht="15.75" customHeight="1">
      <c r="I642" s="11"/>
      <c r="J642" s="11"/>
    </row>
    <row r="643" spans="9:10" ht="15.75" customHeight="1">
      <c r="I643" s="11"/>
      <c r="J643" s="11"/>
    </row>
    <row r="644" spans="9:10" ht="15.75" customHeight="1">
      <c r="I644" s="11"/>
      <c r="J644" s="11"/>
    </row>
    <row r="645" spans="9:10" ht="15.75" customHeight="1">
      <c r="I645" s="11"/>
      <c r="J645" s="11"/>
    </row>
    <row r="646" spans="9:10" ht="15.75" customHeight="1">
      <c r="I646" s="11"/>
      <c r="J646" s="11"/>
    </row>
    <row r="647" spans="9:10" ht="15.75" customHeight="1">
      <c r="I647" s="11"/>
      <c r="J647" s="11"/>
    </row>
    <row r="648" spans="9:10" ht="15.75" customHeight="1">
      <c r="I648" s="11"/>
      <c r="J648" s="11"/>
    </row>
    <row r="649" spans="9:10" ht="15.75" customHeight="1">
      <c r="I649" s="11"/>
      <c r="J649" s="11"/>
    </row>
    <row r="650" spans="9:10" ht="15.75" customHeight="1">
      <c r="I650" s="11"/>
      <c r="J650" s="11"/>
    </row>
    <row r="651" spans="9:10" ht="15.75" customHeight="1">
      <c r="I651" s="11"/>
      <c r="J651" s="11"/>
    </row>
    <row r="652" spans="9:10" ht="15.75" customHeight="1">
      <c r="I652" s="11"/>
      <c r="J652" s="11"/>
    </row>
    <row r="653" spans="9:10" ht="15.75" customHeight="1">
      <c r="I653" s="11"/>
      <c r="J653" s="11"/>
    </row>
    <row r="654" spans="9:10" ht="15.75" customHeight="1">
      <c r="I654" s="11"/>
      <c r="J654" s="11"/>
    </row>
    <row r="655" spans="9:10" ht="15.75" customHeight="1">
      <c r="I655" s="11"/>
      <c r="J655" s="11"/>
    </row>
    <row r="656" spans="9:10" ht="15.75" customHeight="1">
      <c r="I656" s="11"/>
      <c r="J656" s="11"/>
    </row>
    <row r="657" spans="9:10" ht="15.75" customHeight="1">
      <c r="I657" s="11"/>
      <c r="J657" s="11"/>
    </row>
    <row r="658" spans="9:10" ht="15.75" customHeight="1">
      <c r="I658" s="11"/>
      <c r="J658" s="11"/>
    </row>
    <row r="659" spans="9:10" ht="15.75" customHeight="1">
      <c r="I659" s="11"/>
      <c r="J659" s="11"/>
    </row>
    <row r="660" spans="9:10" ht="15.75" customHeight="1">
      <c r="I660" s="11"/>
      <c r="J660" s="11"/>
    </row>
    <row r="661" spans="9:10" ht="15.75" customHeight="1">
      <c r="I661" s="11"/>
      <c r="J661" s="11"/>
    </row>
    <row r="662" spans="9:10" ht="15.75" customHeight="1">
      <c r="I662" s="11"/>
      <c r="J662" s="11"/>
    </row>
    <row r="663" spans="9:10" ht="15.75" customHeight="1">
      <c r="I663" s="11"/>
      <c r="J663" s="11"/>
    </row>
    <row r="664" spans="9:10" ht="15.75" customHeight="1">
      <c r="I664" s="11"/>
      <c r="J664" s="11"/>
    </row>
    <row r="665" spans="9:10" ht="15.75" customHeight="1">
      <c r="I665" s="11"/>
      <c r="J665" s="11"/>
    </row>
    <row r="666" spans="9:10" ht="15.75" customHeight="1">
      <c r="I666" s="11"/>
      <c r="J666" s="11"/>
    </row>
    <row r="667" spans="9:10" ht="15.75" customHeight="1">
      <c r="I667" s="11"/>
      <c r="J667" s="11"/>
    </row>
    <row r="668" spans="9:10" ht="15.75" customHeight="1">
      <c r="I668" s="11"/>
      <c r="J668" s="11"/>
    </row>
    <row r="669" spans="9:10" ht="15.75" customHeight="1">
      <c r="I669" s="11"/>
      <c r="J669" s="11"/>
    </row>
    <row r="670" spans="9:10" ht="15.75" customHeight="1">
      <c r="I670" s="11"/>
      <c r="J670" s="11"/>
    </row>
    <row r="671" spans="9:10" ht="15.75" customHeight="1">
      <c r="I671" s="11"/>
      <c r="J671" s="11"/>
    </row>
    <row r="672" spans="9:10" ht="15.75" customHeight="1">
      <c r="I672" s="11"/>
      <c r="J672" s="11"/>
    </row>
    <row r="673" spans="9:10" ht="15.75" customHeight="1">
      <c r="I673" s="11"/>
      <c r="J673" s="11"/>
    </row>
    <row r="674" spans="9:10" ht="15.75" customHeight="1">
      <c r="I674" s="11"/>
      <c r="J674" s="11"/>
    </row>
    <row r="675" spans="9:10" ht="15.75" customHeight="1">
      <c r="I675" s="11"/>
      <c r="J675" s="11"/>
    </row>
    <row r="676" spans="9:10" ht="15.75" customHeight="1">
      <c r="I676" s="11"/>
      <c r="J676" s="11"/>
    </row>
    <row r="677" spans="9:10" ht="15.75" customHeight="1">
      <c r="I677" s="11"/>
      <c r="J677" s="11"/>
    </row>
    <row r="678" spans="9:10" ht="15.75" customHeight="1">
      <c r="I678" s="11"/>
      <c r="J678" s="11"/>
    </row>
    <row r="679" spans="9:10" ht="15.75" customHeight="1">
      <c r="I679" s="11"/>
      <c r="J679" s="11"/>
    </row>
    <row r="680" spans="9:10" ht="15.75" customHeight="1">
      <c r="I680" s="11"/>
      <c r="J680" s="11"/>
    </row>
    <row r="681" spans="9:10" ht="15.75" customHeight="1">
      <c r="I681" s="11"/>
      <c r="J681" s="11"/>
    </row>
    <row r="682" spans="9:10" ht="15.75" customHeight="1">
      <c r="I682" s="11"/>
      <c r="J682" s="11"/>
    </row>
    <row r="683" spans="9:10" ht="15.75" customHeight="1">
      <c r="I683" s="11"/>
      <c r="J683" s="11"/>
    </row>
    <row r="684" spans="9:10" ht="15.75" customHeight="1">
      <c r="I684" s="11"/>
      <c r="J684" s="11"/>
    </row>
    <row r="685" spans="9:10" ht="15.75" customHeight="1">
      <c r="I685" s="11"/>
      <c r="J685" s="11"/>
    </row>
    <row r="686" spans="9:10" ht="15.75" customHeight="1">
      <c r="I686" s="11"/>
      <c r="J686" s="11"/>
    </row>
    <row r="687" spans="9:10" ht="15.75" customHeight="1">
      <c r="I687" s="11"/>
      <c r="J687" s="11"/>
    </row>
    <row r="688" spans="9:10" ht="15.75" customHeight="1">
      <c r="I688" s="11"/>
      <c r="J688" s="11"/>
    </row>
    <row r="689" spans="9:10" ht="15.75" customHeight="1">
      <c r="I689" s="11"/>
      <c r="J689" s="11"/>
    </row>
    <row r="690" spans="9:10" ht="15.75" customHeight="1">
      <c r="I690" s="11"/>
      <c r="J690" s="11"/>
    </row>
    <row r="691" spans="9:10" ht="15.75" customHeight="1">
      <c r="I691" s="11"/>
      <c r="J691" s="11"/>
    </row>
    <row r="692" spans="9:10" ht="15.75" customHeight="1">
      <c r="I692" s="11"/>
      <c r="J692" s="11"/>
    </row>
    <row r="693" spans="9:10" ht="15.75" customHeight="1">
      <c r="I693" s="11"/>
      <c r="J693" s="11"/>
    </row>
    <row r="694" spans="9:10" ht="15.75" customHeight="1">
      <c r="I694" s="11"/>
      <c r="J694" s="11"/>
    </row>
    <row r="695" spans="9:10" ht="15.75" customHeight="1">
      <c r="I695" s="11"/>
      <c r="J695" s="11"/>
    </row>
    <row r="696" spans="9:10" ht="15.75" customHeight="1">
      <c r="I696" s="11"/>
      <c r="J696" s="11"/>
    </row>
    <row r="697" spans="9:10" ht="15.75" customHeight="1">
      <c r="I697" s="11"/>
      <c r="J697" s="11"/>
    </row>
    <row r="698" spans="9:10" ht="15.75" customHeight="1">
      <c r="I698" s="11"/>
      <c r="J698" s="11"/>
    </row>
    <row r="699" spans="9:10" ht="15.75" customHeight="1">
      <c r="I699" s="11"/>
      <c r="J699" s="11"/>
    </row>
    <row r="700" spans="9:10" ht="15.75" customHeight="1">
      <c r="I700" s="11"/>
      <c r="J700" s="11"/>
    </row>
    <row r="701" spans="9:10" ht="15.75" customHeight="1">
      <c r="I701" s="11"/>
      <c r="J701" s="11"/>
    </row>
    <row r="702" spans="9:10" ht="15.75" customHeight="1">
      <c r="I702" s="11"/>
      <c r="J702" s="11"/>
    </row>
    <row r="703" spans="9:10" ht="15.75" customHeight="1">
      <c r="I703" s="11"/>
      <c r="J703" s="11"/>
    </row>
    <row r="704" spans="9:10" ht="15.75" customHeight="1">
      <c r="I704" s="11"/>
      <c r="J704" s="11"/>
    </row>
    <row r="705" spans="9:10" ht="15.75" customHeight="1">
      <c r="I705" s="11"/>
      <c r="J705" s="11"/>
    </row>
    <row r="706" spans="9:10" ht="15.75" customHeight="1">
      <c r="I706" s="11"/>
      <c r="J706" s="11"/>
    </row>
    <row r="707" spans="9:10" ht="15.75" customHeight="1">
      <c r="I707" s="11"/>
      <c r="J707" s="11"/>
    </row>
    <row r="708" spans="9:10" ht="15.75" customHeight="1">
      <c r="I708" s="11"/>
      <c r="J708" s="11"/>
    </row>
    <row r="709" spans="9:10" ht="15.75" customHeight="1">
      <c r="I709" s="11"/>
      <c r="J709" s="11"/>
    </row>
    <row r="710" spans="9:10" ht="15.75" customHeight="1">
      <c r="I710" s="11"/>
      <c r="J710" s="11"/>
    </row>
    <row r="711" spans="9:10" ht="15.75" customHeight="1">
      <c r="I711" s="11"/>
      <c r="J711" s="11"/>
    </row>
    <row r="712" spans="9:10" ht="15.75" customHeight="1">
      <c r="I712" s="11"/>
      <c r="J712" s="11"/>
    </row>
    <row r="713" spans="9:10" ht="15.75" customHeight="1">
      <c r="I713" s="11"/>
      <c r="J713" s="11"/>
    </row>
    <row r="714" spans="9:10" ht="15.75" customHeight="1">
      <c r="I714" s="11"/>
      <c r="J714" s="11"/>
    </row>
    <row r="715" spans="9:10" ht="15.75" customHeight="1">
      <c r="I715" s="11"/>
      <c r="J715" s="11"/>
    </row>
    <row r="716" spans="9:10" ht="15.75" customHeight="1">
      <c r="I716" s="11"/>
      <c r="J716" s="11"/>
    </row>
    <row r="717" spans="9:10" ht="15.75" customHeight="1">
      <c r="I717" s="11"/>
      <c r="J717" s="11"/>
    </row>
    <row r="718" spans="9:10" ht="15.75" customHeight="1">
      <c r="I718" s="11"/>
      <c r="J718" s="11"/>
    </row>
    <row r="719" spans="9:10" ht="15.75" customHeight="1">
      <c r="I719" s="11"/>
      <c r="J719" s="11"/>
    </row>
    <row r="720" spans="9:10" ht="15.75" customHeight="1">
      <c r="I720" s="11"/>
      <c r="J720" s="11"/>
    </row>
    <row r="721" spans="9:10" ht="15.75" customHeight="1">
      <c r="I721" s="11"/>
      <c r="J721" s="11"/>
    </row>
    <row r="722" spans="9:10" ht="15.75" customHeight="1">
      <c r="I722" s="11"/>
      <c r="J722" s="11"/>
    </row>
    <row r="723" spans="9:10" ht="15.75" customHeight="1">
      <c r="I723" s="11"/>
      <c r="J723" s="11"/>
    </row>
    <row r="724" spans="9:10" ht="15.75" customHeight="1">
      <c r="I724" s="11"/>
      <c r="J724" s="11"/>
    </row>
    <row r="725" spans="9:10" ht="15.75" customHeight="1">
      <c r="I725" s="11"/>
      <c r="J725" s="11"/>
    </row>
    <row r="726" spans="9:10" ht="15.75" customHeight="1">
      <c r="I726" s="11"/>
      <c r="J726" s="11"/>
    </row>
    <row r="727" spans="9:10" ht="15.75" customHeight="1">
      <c r="I727" s="11"/>
      <c r="J727" s="11"/>
    </row>
    <row r="728" spans="9:10" ht="15.75" customHeight="1">
      <c r="I728" s="11"/>
      <c r="J728" s="11"/>
    </row>
    <row r="729" spans="9:10" ht="15.75" customHeight="1">
      <c r="I729" s="11"/>
      <c r="J729" s="11"/>
    </row>
    <row r="730" spans="9:10" ht="15.75" customHeight="1">
      <c r="I730" s="11"/>
      <c r="J730" s="11"/>
    </row>
    <row r="731" spans="9:10" ht="15.75" customHeight="1">
      <c r="I731" s="11"/>
      <c r="J731" s="11"/>
    </row>
    <row r="732" spans="9:10" ht="15.75" customHeight="1">
      <c r="I732" s="11"/>
      <c r="J732" s="11"/>
    </row>
    <row r="733" spans="9:10" ht="15.75" customHeight="1">
      <c r="I733" s="11"/>
      <c r="J733" s="11"/>
    </row>
    <row r="734" spans="9:10" ht="15.75" customHeight="1">
      <c r="I734" s="11"/>
      <c r="J734" s="11"/>
    </row>
    <row r="735" spans="9:10" ht="15.75" customHeight="1">
      <c r="I735" s="11"/>
      <c r="J735" s="11"/>
    </row>
    <row r="736" spans="9:10" ht="15.75" customHeight="1">
      <c r="I736" s="11"/>
      <c r="J736" s="11"/>
    </row>
    <row r="737" spans="9:10" ht="15.75" customHeight="1">
      <c r="I737" s="11"/>
      <c r="J737" s="11"/>
    </row>
    <row r="738" spans="9:10" ht="15.75" customHeight="1">
      <c r="I738" s="11"/>
      <c r="J738" s="11"/>
    </row>
    <row r="739" spans="9:10" ht="15.75" customHeight="1">
      <c r="I739" s="11"/>
      <c r="J739" s="11"/>
    </row>
    <row r="740" spans="9:10" ht="15.75" customHeight="1">
      <c r="I740" s="11"/>
      <c r="J740" s="11"/>
    </row>
    <row r="741" spans="9:10" ht="15.75" customHeight="1">
      <c r="I741" s="11"/>
      <c r="J741" s="11"/>
    </row>
    <row r="742" spans="9:10" ht="15.75" customHeight="1">
      <c r="I742" s="11"/>
      <c r="J742" s="11"/>
    </row>
    <row r="743" spans="9:10" ht="15.75" customHeight="1">
      <c r="I743" s="11"/>
      <c r="J743" s="11"/>
    </row>
    <row r="744" spans="9:10" ht="15.75" customHeight="1">
      <c r="I744" s="11"/>
      <c r="J744" s="11"/>
    </row>
    <row r="745" spans="9:10" ht="15.75" customHeight="1">
      <c r="I745" s="11"/>
      <c r="J745" s="11"/>
    </row>
    <row r="746" spans="9:10" ht="15.75" customHeight="1">
      <c r="I746" s="11"/>
      <c r="J746" s="11"/>
    </row>
    <row r="747" spans="9:10" ht="15.75" customHeight="1">
      <c r="I747" s="11"/>
      <c r="J747" s="11"/>
    </row>
    <row r="748" spans="9:10" ht="15.75" customHeight="1">
      <c r="I748" s="11"/>
      <c r="J748" s="11"/>
    </row>
    <row r="749" spans="9:10" ht="15.75" customHeight="1">
      <c r="I749" s="11"/>
      <c r="J749" s="11"/>
    </row>
    <row r="750" spans="9:10" ht="15.75" customHeight="1">
      <c r="I750" s="11"/>
      <c r="J750" s="11"/>
    </row>
    <row r="751" spans="9:10" ht="15.75" customHeight="1">
      <c r="I751" s="11"/>
      <c r="J751" s="11"/>
    </row>
    <row r="752" spans="9:10" ht="15.75" customHeight="1">
      <c r="I752" s="11"/>
      <c r="J752" s="11"/>
    </row>
    <row r="753" spans="9:10" ht="15.75" customHeight="1">
      <c r="I753" s="11"/>
      <c r="J753" s="11"/>
    </row>
    <row r="754" spans="9:10" ht="15.75" customHeight="1">
      <c r="I754" s="11"/>
      <c r="J754" s="11"/>
    </row>
    <row r="755" spans="9:10" ht="15.75" customHeight="1">
      <c r="I755" s="11"/>
      <c r="J755" s="11"/>
    </row>
    <row r="756" spans="9:10" ht="15.75" customHeight="1">
      <c r="I756" s="11"/>
      <c r="J756" s="11"/>
    </row>
    <row r="757" spans="9:10" ht="15.75" customHeight="1">
      <c r="I757" s="11"/>
      <c r="J757" s="11"/>
    </row>
    <row r="758" spans="9:10" ht="15.75" customHeight="1">
      <c r="I758" s="11"/>
      <c r="J758" s="11"/>
    </row>
    <row r="759" spans="9:10" ht="15.75" customHeight="1">
      <c r="I759" s="11"/>
      <c r="J759" s="11"/>
    </row>
    <row r="760" spans="9:10" ht="15.75" customHeight="1">
      <c r="I760" s="11"/>
      <c r="J760" s="11"/>
    </row>
    <row r="761" spans="9:10" ht="15.75" customHeight="1">
      <c r="I761" s="11"/>
      <c r="J761" s="11"/>
    </row>
    <row r="762" spans="9:10" ht="15.75" customHeight="1">
      <c r="I762" s="11"/>
      <c r="J762" s="11"/>
    </row>
    <row r="763" spans="9:10" ht="15.75" customHeight="1">
      <c r="I763" s="11"/>
      <c r="J763" s="11"/>
    </row>
    <row r="764" spans="9:10" ht="15.75" customHeight="1">
      <c r="I764" s="11"/>
      <c r="J764" s="11"/>
    </row>
    <row r="765" spans="9:10" ht="15.75" customHeight="1">
      <c r="I765" s="11"/>
      <c r="J765" s="11"/>
    </row>
    <row r="766" spans="9:10" ht="15.75" customHeight="1">
      <c r="I766" s="11"/>
      <c r="J766" s="11"/>
    </row>
    <row r="767" spans="9:10" ht="15.75" customHeight="1">
      <c r="I767" s="11"/>
      <c r="J767" s="11"/>
    </row>
    <row r="768" spans="9:10" ht="15.75" customHeight="1">
      <c r="I768" s="11"/>
      <c r="J768" s="11"/>
    </row>
    <row r="769" spans="9:10" ht="15.75" customHeight="1">
      <c r="I769" s="11"/>
      <c r="J769" s="11"/>
    </row>
    <row r="770" spans="9:10" ht="15.75" customHeight="1">
      <c r="I770" s="11"/>
      <c r="J770" s="11"/>
    </row>
    <row r="771" spans="9:10" ht="15.75" customHeight="1">
      <c r="I771" s="11"/>
      <c r="J771" s="11"/>
    </row>
    <row r="772" spans="9:10" ht="15.75" customHeight="1">
      <c r="I772" s="11"/>
      <c r="J772" s="11"/>
    </row>
    <row r="773" spans="9:10" ht="15.75" customHeight="1">
      <c r="I773" s="11"/>
      <c r="J773" s="11"/>
    </row>
    <row r="774" spans="9:10" ht="15.75" customHeight="1">
      <c r="I774" s="11"/>
      <c r="J774" s="11"/>
    </row>
    <row r="775" spans="9:10" ht="15.75" customHeight="1">
      <c r="I775" s="11"/>
      <c r="J775" s="11"/>
    </row>
    <row r="776" spans="9:10" ht="15.75" customHeight="1">
      <c r="I776" s="11"/>
      <c r="J776" s="11"/>
    </row>
    <row r="777" spans="9:10" ht="15.75" customHeight="1">
      <c r="I777" s="11"/>
      <c r="J777" s="11"/>
    </row>
    <row r="778" spans="9:10" ht="15.75" customHeight="1">
      <c r="I778" s="11"/>
      <c r="J778" s="11"/>
    </row>
    <row r="779" spans="9:10" ht="15.75" customHeight="1">
      <c r="I779" s="11"/>
      <c r="J779" s="11"/>
    </row>
    <row r="780" spans="9:10" ht="15.75" customHeight="1">
      <c r="I780" s="11"/>
      <c r="J780" s="11"/>
    </row>
    <row r="781" spans="9:10" ht="15.75" customHeight="1">
      <c r="I781" s="11"/>
      <c r="J781" s="11"/>
    </row>
    <row r="782" spans="9:10" ht="15.75" customHeight="1">
      <c r="I782" s="11"/>
      <c r="J782" s="11"/>
    </row>
    <row r="783" spans="9:10" ht="15.75" customHeight="1">
      <c r="I783" s="11"/>
      <c r="J783" s="11"/>
    </row>
    <row r="784" spans="9:10" ht="15.75" customHeight="1">
      <c r="I784" s="11"/>
      <c r="J784" s="11"/>
    </row>
    <row r="785" spans="9:10" ht="15.75" customHeight="1">
      <c r="I785" s="11"/>
      <c r="J785" s="11"/>
    </row>
    <row r="786" spans="9:10" ht="15.75" customHeight="1">
      <c r="I786" s="11"/>
      <c r="J786" s="11"/>
    </row>
    <row r="787" spans="9:10" ht="15.75" customHeight="1">
      <c r="I787" s="11"/>
      <c r="J787" s="11"/>
    </row>
    <row r="788" spans="9:10" ht="15.75" customHeight="1">
      <c r="I788" s="11"/>
      <c r="J788" s="11"/>
    </row>
    <row r="789" spans="9:10" ht="15.75" customHeight="1">
      <c r="I789" s="11"/>
      <c r="J789" s="11"/>
    </row>
    <row r="790" spans="9:10" ht="15.75" customHeight="1">
      <c r="I790" s="11"/>
      <c r="J790" s="11"/>
    </row>
    <row r="791" spans="9:10" ht="15.75" customHeight="1">
      <c r="I791" s="11"/>
      <c r="J791" s="11"/>
    </row>
    <row r="792" spans="9:10" ht="15.75" customHeight="1">
      <c r="I792" s="11"/>
      <c r="J792" s="11"/>
    </row>
    <row r="793" spans="9:10" ht="15.75" customHeight="1">
      <c r="I793" s="11"/>
      <c r="J793" s="11"/>
    </row>
    <row r="794" spans="9:10" ht="15.75" customHeight="1">
      <c r="I794" s="11"/>
      <c r="J794" s="11"/>
    </row>
    <row r="795" spans="9:10" ht="15.75" customHeight="1">
      <c r="I795" s="11"/>
      <c r="J795" s="11"/>
    </row>
    <row r="796" spans="9:10" ht="15.75" customHeight="1">
      <c r="I796" s="11"/>
      <c r="J796" s="11"/>
    </row>
    <row r="797" spans="9:10" ht="15.75" customHeight="1">
      <c r="I797" s="11"/>
      <c r="J797" s="11"/>
    </row>
    <row r="798" spans="9:10" ht="15.75" customHeight="1">
      <c r="I798" s="11"/>
      <c r="J798" s="11"/>
    </row>
    <row r="799" spans="9:10" ht="15.75" customHeight="1">
      <c r="I799" s="11"/>
      <c r="J799" s="11"/>
    </row>
    <row r="800" spans="9:10" ht="15.75" customHeight="1">
      <c r="I800" s="11"/>
      <c r="J800" s="11"/>
    </row>
    <row r="801" spans="9:10" ht="15.75" customHeight="1">
      <c r="I801" s="11"/>
      <c r="J801" s="11"/>
    </row>
    <row r="802" spans="9:10" ht="15.75" customHeight="1">
      <c r="I802" s="11"/>
      <c r="J802" s="11"/>
    </row>
    <row r="803" spans="9:10" ht="15.75" customHeight="1">
      <c r="I803" s="11"/>
      <c r="J803" s="11"/>
    </row>
    <row r="804" spans="9:10" ht="15.75" customHeight="1">
      <c r="I804" s="11"/>
      <c r="J804" s="11"/>
    </row>
    <row r="805" spans="9:10" ht="15.75" customHeight="1">
      <c r="I805" s="11"/>
      <c r="J805" s="11"/>
    </row>
    <row r="806" spans="9:10" ht="15.75" customHeight="1">
      <c r="I806" s="11"/>
      <c r="J806" s="11"/>
    </row>
    <row r="807" spans="9:10" ht="15.75" customHeight="1">
      <c r="I807" s="11"/>
      <c r="J807" s="11"/>
    </row>
    <row r="808" spans="9:10" ht="15.75" customHeight="1">
      <c r="I808" s="11"/>
      <c r="J808" s="11"/>
    </row>
    <row r="809" spans="9:10" ht="15.75" customHeight="1">
      <c r="I809" s="11"/>
      <c r="J809" s="11"/>
    </row>
    <row r="810" spans="9:10" ht="15.75" customHeight="1">
      <c r="I810" s="11"/>
      <c r="J810" s="11"/>
    </row>
    <row r="811" spans="9:10" ht="15.75" customHeight="1">
      <c r="I811" s="11"/>
      <c r="J811" s="11"/>
    </row>
    <row r="812" spans="9:10" ht="15.75" customHeight="1">
      <c r="I812" s="11"/>
      <c r="J812" s="11"/>
    </row>
    <row r="813" spans="9:10" ht="15.75" customHeight="1">
      <c r="I813" s="11"/>
      <c r="J813" s="11"/>
    </row>
    <row r="814" spans="9:10" ht="15.75" customHeight="1">
      <c r="I814" s="11"/>
      <c r="J814" s="11"/>
    </row>
    <row r="815" spans="9:10" ht="15.75" customHeight="1">
      <c r="I815" s="11"/>
      <c r="J815" s="11"/>
    </row>
    <row r="816" spans="9:10" ht="15.75" customHeight="1">
      <c r="I816" s="11"/>
      <c r="J816" s="11"/>
    </row>
    <row r="817" spans="9:10" ht="15.75" customHeight="1">
      <c r="I817" s="11"/>
      <c r="J817" s="11"/>
    </row>
    <row r="818" spans="9:10" ht="15.75" customHeight="1">
      <c r="I818" s="11"/>
      <c r="J818" s="11"/>
    </row>
    <row r="819" spans="9:10" ht="15.75" customHeight="1">
      <c r="I819" s="11"/>
      <c r="J819" s="11"/>
    </row>
    <row r="820" spans="9:10" ht="15.75" customHeight="1">
      <c r="I820" s="11"/>
      <c r="J820" s="11"/>
    </row>
    <row r="821" spans="9:10" ht="15.75" customHeight="1">
      <c r="I821" s="11"/>
      <c r="J821" s="11"/>
    </row>
    <row r="822" spans="9:10" ht="15.75" customHeight="1">
      <c r="I822" s="11"/>
      <c r="J822" s="11"/>
    </row>
    <row r="823" spans="9:10" ht="15.75" customHeight="1">
      <c r="I823" s="11"/>
      <c r="J823" s="11"/>
    </row>
    <row r="824" spans="9:10" ht="15.75" customHeight="1">
      <c r="I824" s="11"/>
      <c r="J824" s="11"/>
    </row>
    <row r="825" spans="9:10" ht="15.75" customHeight="1">
      <c r="I825" s="11"/>
      <c r="J825" s="11"/>
    </row>
    <row r="826" spans="9:10" ht="15.75" customHeight="1">
      <c r="I826" s="11"/>
      <c r="J826" s="11"/>
    </row>
    <row r="827" spans="9:10" ht="15.75" customHeight="1">
      <c r="I827" s="11"/>
      <c r="J827" s="11"/>
    </row>
    <row r="828" spans="9:10" ht="15.75" customHeight="1">
      <c r="I828" s="11"/>
      <c r="J828" s="11"/>
    </row>
    <row r="829" spans="9:10" ht="15.75" customHeight="1">
      <c r="I829" s="11"/>
      <c r="J829" s="11"/>
    </row>
    <row r="830" spans="9:10" ht="15.75" customHeight="1">
      <c r="I830" s="11"/>
      <c r="J830" s="11"/>
    </row>
    <row r="831" spans="9:10" ht="15.75" customHeight="1">
      <c r="I831" s="11"/>
      <c r="J831" s="11"/>
    </row>
    <row r="832" spans="9:10" ht="15.75" customHeight="1">
      <c r="I832" s="11"/>
      <c r="J832" s="11"/>
    </row>
    <row r="833" spans="9:10" ht="15.75" customHeight="1">
      <c r="I833" s="11"/>
      <c r="J833" s="11"/>
    </row>
    <row r="834" spans="9:10" ht="15.75" customHeight="1">
      <c r="I834" s="11"/>
      <c r="J834" s="11"/>
    </row>
    <row r="835" spans="9:10" ht="15.75" customHeight="1">
      <c r="I835" s="11"/>
      <c r="J835" s="11"/>
    </row>
    <row r="836" spans="9:10" ht="15.75" customHeight="1">
      <c r="I836" s="11"/>
      <c r="J836" s="11"/>
    </row>
    <row r="837" spans="9:10" ht="15.75" customHeight="1">
      <c r="I837" s="11"/>
      <c r="J837" s="11"/>
    </row>
    <row r="838" spans="9:10" ht="15.75" customHeight="1">
      <c r="I838" s="11"/>
      <c r="J838" s="11"/>
    </row>
    <row r="839" spans="9:10" ht="15.75" customHeight="1">
      <c r="I839" s="11"/>
      <c r="J839" s="11"/>
    </row>
    <row r="840" spans="9:10" ht="15.75" customHeight="1">
      <c r="I840" s="11"/>
      <c r="J840" s="11"/>
    </row>
    <row r="841" spans="9:10" ht="15.75" customHeight="1">
      <c r="I841" s="11"/>
      <c r="J841" s="11"/>
    </row>
    <row r="842" spans="9:10" ht="15.75" customHeight="1">
      <c r="I842" s="11"/>
      <c r="J842" s="11"/>
    </row>
    <row r="843" spans="9:10" ht="15.75" customHeight="1">
      <c r="I843" s="11"/>
      <c r="J843" s="11"/>
    </row>
    <row r="844" spans="9:10" ht="15.75" customHeight="1">
      <c r="I844" s="11"/>
      <c r="J844" s="11"/>
    </row>
    <row r="845" spans="9:10" ht="15.75" customHeight="1">
      <c r="I845" s="11"/>
      <c r="J845" s="11"/>
    </row>
    <row r="846" spans="9:10" ht="15.75" customHeight="1">
      <c r="I846" s="11"/>
      <c r="J846" s="11"/>
    </row>
    <row r="847" spans="9:10" ht="15.75" customHeight="1">
      <c r="I847" s="11"/>
      <c r="J847" s="11"/>
    </row>
    <row r="848" spans="9:10" ht="15.75" customHeight="1">
      <c r="I848" s="11"/>
      <c r="J848" s="11"/>
    </row>
    <row r="849" spans="9:10" ht="15.75" customHeight="1">
      <c r="I849" s="11"/>
      <c r="J849" s="11"/>
    </row>
    <row r="850" spans="9:10" ht="15.75" customHeight="1">
      <c r="I850" s="11"/>
      <c r="J850" s="11"/>
    </row>
    <row r="851" spans="9:10" ht="15.75" customHeight="1">
      <c r="I851" s="11"/>
      <c r="J851" s="11"/>
    </row>
    <row r="852" spans="9:10" ht="15.75" customHeight="1">
      <c r="I852" s="11"/>
      <c r="J852" s="11"/>
    </row>
    <row r="853" spans="9:10" ht="15.75" customHeight="1">
      <c r="I853" s="11"/>
      <c r="J853" s="11"/>
    </row>
    <row r="854" spans="9:10" ht="15.75" customHeight="1">
      <c r="I854" s="11"/>
      <c r="J854" s="11"/>
    </row>
    <row r="855" spans="9:10" ht="15.75" customHeight="1">
      <c r="I855" s="11"/>
      <c r="J855" s="11"/>
    </row>
    <row r="856" spans="9:10" ht="15.75" customHeight="1">
      <c r="I856" s="11"/>
      <c r="J856" s="11"/>
    </row>
    <row r="857" spans="9:10" ht="15.75" customHeight="1">
      <c r="I857" s="11"/>
      <c r="J857" s="11"/>
    </row>
    <row r="858" spans="9:10" ht="15.75" customHeight="1">
      <c r="I858" s="11"/>
      <c r="J858" s="11"/>
    </row>
    <row r="859" spans="9:10" ht="15.75" customHeight="1">
      <c r="I859" s="11"/>
      <c r="J859" s="11"/>
    </row>
    <row r="860" spans="9:10" ht="15.75" customHeight="1">
      <c r="I860" s="11"/>
      <c r="J860" s="11"/>
    </row>
    <row r="861" spans="9:10" ht="15.75" customHeight="1">
      <c r="I861" s="11"/>
      <c r="J861" s="11"/>
    </row>
    <row r="862" spans="9:10" ht="15.75" customHeight="1">
      <c r="I862" s="11"/>
      <c r="J862" s="11"/>
    </row>
    <row r="863" spans="9:10" ht="15.75" customHeight="1">
      <c r="I863" s="11"/>
      <c r="J863" s="11"/>
    </row>
    <row r="864" spans="9:10" ht="15.75" customHeight="1">
      <c r="I864" s="11"/>
      <c r="J864" s="11"/>
    </row>
    <row r="865" spans="9:10" ht="15.75" customHeight="1">
      <c r="I865" s="11"/>
      <c r="J865" s="11"/>
    </row>
    <row r="866" spans="9:10" ht="15.75" customHeight="1">
      <c r="I866" s="11"/>
      <c r="J866" s="11"/>
    </row>
    <row r="867" spans="9:10" ht="15.75" customHeight="1">
      <c r="I867" s="11"/>
      <c r="J867" s="11"/>
    </row>
    <row r="868" spans="9:10" ht="15.75" customHeight="1">
      <c r="I868" s="11"/>
      <c r="J868" s="11"/>
    </row>
    <row r="869" spans="9:10" ht="15.75" customHeight="1">
      <c r="I869" s="11"/>
      <c r="J869" s="11"/>
    </row>
    <row r="870" spans="9:10" ht="15.75" customHeight="1">
      <c r="I870" s="11"/>
      <c r="J870" s="11"/>
    </row>
    <row r="871" spans="9:10" ht="15.75" customHeight="1">
      <c r="I871" s="11"/>
      <c r="J871" s="11"/>
    </row>
    <row r="872" spans="9:10" ht="15.75" customHeight="1">
      <c r="I872" s="11"/>
      <c r="J872" s="11"/>
    </row>
    <row r="873" spans="9:10" ht="15.75" customHeight="1">
      <c r="I873" s="11"/>
      <c r="J873" s="11"/>
    </row>
    <row r="874" spans="9:10" ht="15.75" customHeight="1">
      <c r="I874" s="11"/>
      <c r="J874" s="11"/>
    </row>
    <row r="875" spans="9:10" ht="15.75" customHeight="1">
      <c r="I875" s="11"/>
      <c r="J875" s="11"/>
    </row>
    <row r="876" spans="9:10" ht="15.75" customHeight="1">
      <c r="I876" s="11"/>
      <c r="J876" s="11"/>
    </row>
    <row r="877" spans="9:10" ht="15.75" customHeight="1">
      <c r="I877" s="11"/>
      <c r="J877" s="11"/>
    </row>
    <row r="878" spans="9:10" ht="15.75" customHeight="1">
      <c r="I878" s="11"/>
      <c r="J878" s="11"/>
    </row>
    <row r="879" spans="9:10" ht="15.75" customHeight="1">
      <c r="I879" s="11"/>
      <c r="J879" s="11"/>
    </row>
    <row r="880" spans="9:10" ht="15.75" customHeight="1">
      <c r="I880" s="11"/>
      <c r="J880" s="11"/>
    </row>
    <row r="881" spans="9:10" ht="15.75" customHeight="1">
      <c r="I881" s="11"/>
      <c r="J881" s="11"/>
    </row>
    <row r="882" spans="9:10" ht="15.75" customHeight="1">
      <c r="I882" s="11"/>
      <c r="J882" s="11"/>
    </row>
    <row r="883" spans="9:10" ht="15.75" customHeight="1">
      <c r="I883" s="11"/>
      <c r="J883" s="11"/>
    </row>
    <row r="884" spans="9:10" ht="15.75" customHeight="1">
      <c r="I884" s="11"/>
      <c r="J884" s="11"/>
    </row>
    <row r="885" spans="9:10" ht="15.75" customHeight="1">
      <c r="I885" s="11"/>
      <c r="J885" s="11"/>
    </row>
    <row r="886" spans="9:10" ht="15.75" customHeight="1">
      <c r="I886" s="11"/>
      <c r="J886" s="11"/>
    </row>
    <row r="887" spans="9:10" ht="15.75" customHeight="1">
      <c r="I887" s="11"/>
      <c r="J887" s="11"/>
    </row>
    <row r="888" spans="9:10" ht="15.75" customHeight="1">
      <c r="I888" s="11"/>
      <c r="J888" s="11"/>
    </row>
    <row r="889" spans="9:10" ht="15.75" customHeight="1">
      <c r="I889" s="11"/>
      <c r="J889" s="11"/>
    </row>
    <row r="890" spans="9:10" ht="15.75" customHeight="1">
      <c r="I890" s="11"/>
      <c r="J890" s="11"/>
    </row>
    <row r="891" spans="9:10" ht="15.75" customHeight="1">
      <c r="I891" s="11"/>
      <c r="J891" s="11"/>
    </row>
    <row r="892" spans="9:10" ht="15.75" customHeight="1">
      <c r="I892" s="11"/>
      <c r="J892" s="11"/>
    </row>
    <row r="893" spans="9:10" ht="15.75" customHeight="1">
      <c r="I893" s="11"/>
      <c r="J893" s="11"/>
    </row>
    <row r="894" spans="9:10" ht="15.75" customHeight="1">
      <c r="I894" s="11"/>
      <c r="J894" s="11"/>
    </row>
    <row r="895" spans="9:10" ht="15.75" customHeight="1">
      <c r="I895" s="11"/>
      <c r="J895" s="11"/>
    </row>
    <row r="896" spans="9:10" ht="15.75" customHeight="1">
      <c r="I896" s="11"/>
      <c r="J896" s="11"/>
    </row>
    <row r="897" spans="9:10" ht="15.75" customHeight="1">
      <c r="I897" s="11"/>
      <c r="J897" s="11"/>
    </row>
    <row r="898" spans="9:10" ht="15.75" customHeight="1">
      <c r="I898" s="11"/>
      <c r="J898" s="11"/>
    </row>
    <row r="899" spans="9:10" ht="15.75" customHeight="1">
      <c r="I899" s="11"/>
      <c r="J899" s="11"/>
    </row>
    <row r="900" spans="9:10" ht="15.75" customHeight="1">
      <c r="I900" s="11"/>
      <c r="J900" s="11"/>
    </row>
    <row r="901" spans="9:10" ht="15.75" customHeight="1">
      <c r="I901" s="11"/>
      <c r="J901" s="11"/>
    </row>
    <row r="902" spans="9:10" ht="15.75" customHeight="1">
      <c r="I902" s="11"/>
      <c r="J902" s="11"/>
    </row>
    <row r="903" spans="9:10" ht="15.75" customHeight="1">
      <c r="I903" s="11"/>
      <c r="J903" s="11"/>
    </row>
    <row r="904" spans="9:10" ht="15.75" customHeight="1">
      <c r="I904" s="11"/>
      <c r="J904" s="11"/>
    </row>
    <row r="905" spans="9:10" ht="15.75" customHeight="1">
      <c r="I905" s="11"/>
      <c r="J905" s="11"/>
    </row>
    <row r="906" spans="9:10" ht="15.75" customHeight="1">
      <c r="I906" s="11"/>
      <c r="J906" s="11"/>
    </row>
    <row r="907" spans="9:10" ht="15.75" customHeight="1">
      <c r="I907" s="11"/>
      <c r="J907" s="11"/>
    </row>
    <row r="908" spans="9:10" ht="15.75" customHeight="1">
      <c r="I908" s="11"/>
      <c r="J908" s="11"/>
    </row>
    <row r="909" spans="9:10" ht="15.75" customHeight="1">
      <c r="I909" s="11"/>
      <c r="J909" s="11"/>
    </row>
    <row r="910" spans="9:10" ht="15.75" customHeight="1">
      <c r="I910" s="11"/>
      <c r="J910" s="11"/>
    </row>
    <row r="911" spans="9:10" ht="15.75" customHeight="1">
      <c r="I911" s="11"/>
      <c r="J911" s="11"/>
    </row>
    <row r="912" spans="9:10" ht="15.75" customHeight="1">
      <c r="I912" s="11"/>
      <c r="J912" s="11"/>
    </row>
    <row r="913" spans="9:10" ht="15.75" customHeight="1">
      <c r="I913" s="11"/>
      <c r="J913" s="11"/>
    </row>
    <row r="914" spans="9:10" ht="15.75" customHeight="1">
      <c r="I914" s="11"/>
      <c r="J914" s="11"/>
    </row>
    <row r="915" spans="9:10" ht="15.75" customHeight="1">
      <c r="I915" s="11"/>
      <c r="J915" s="11"/>
    </row>
    <row r="916" spans="9:10" ht="15.75" customHeight="1">
      <c r="I916" s="11"/>
      <c r="J916" s="11"/>
    </row>
    <row r="917" spans="9:10" ht="15.75" customHeight="1">
      <c r="I917" s="11"/>
      <c r="J917" s="11"/>
    </row>
    <row r="918" spans="9:10" ht="15.75" customHeight="1">
      <c r="I918" s="11"/>
      <c r="J918" s="11"/>
    </row>
    <row r="919" spans="9:10" ht="15.75" customHeight="1">
      <c r="I919" s="11"/>
      <c r="J919" s="11"/>
    </row>
    <row r="920" spans="9:10" ht="15.75" customHeight="1">
      <c r="I920" s="11"/>
      <c r="J920" s="11"/>
    </row>
    <row r="921" spans="9:10" ht="15.75" customHeight="1">
      <c r="I921" s="11"/>
      <c r="J921" s="11"/>
    </row>
    <row r="922" spans="9:10" ht="15.75" customHeight="1">
      <c r="I922" s="11"/>
      <c r="J922" s="11"/>
    </row>
    <row r="923" spans="9:10" ht="15.75" customHeight="1">
      <c r="I923" s="11"/>
      <c r="J923" s="11"/>
    </row>
    <row r="924" spans="9:10" ht="15.75" customHeight="1">
      <c r="I924" s="11"/>
      <c r="J924" s="11"/>
    </row>
    <row r="925" spans="9:10" ht="15.75" customHeight="1">
      <c r="I925" s="11"/>
      <c r="J925" s="11"/>
    </row>
    <row r="926" spans="9:10" ht="15.75" customHeight="1">
      <c r="I926" s="11"/>
      <c r="J926" s="11"/>
    </row>
    <row r="927" spans="9:10" ht="15.75" customHeight="1">
      <c r="I927" s="11"/>
      <c r="J927" s="11"/>
    </row>
    <row r="928" spans="9:10" ht="15.75" customHeight="1">
      <c r="I928" s="11"/>
      <c r="J928" s="11"/>
    </row>
    <row r="929" spans="9:10" ht="15.75" customHeight="1">
      <c r="I929" s="11"/>
      <c r="J929" s="11"/>
    </row>
    <row r="930" spans="9:10" ht="15.75" customHeight="1">
      <c r="I930" s="11"/>
      <c r="J930" s="11"/>
    </row>
    <row r="931" spans="9:10" ht="15.75" customHeight="1">
      <c r="I931" s="11"/>
      <c r="J931" s="11"/>
    </row>
    <row r="932" spans="9:10" ht="15.75" customHeight="1">
      <c r="I932" s="11"/>
      <c r="J932" s="11"/>
    </row>
    <row r="933" spans="9:10" ht="15.75" customHeight="1">
      <c r="I933" s="11"/>
      <c r="J933" s="11"/>
    </row>
    <row r="934" spans="9:10" ht="15.75" customHeight="1">
      <c r="I934" s="11"/>
      <c r="J934" s="11"/>
    </row>
    <row r="935" spans="9:10" ht="15.75" customHeight="1">
      <c r="I935" s="11"/>
      <c r="J935" s="11"/>
    </row>
    <row r="936" spans="9:10" ht="15.75" customHeight="1">
      <c r="I936" s="11"/>
      <c r="J936" s="11"/>
    </row>
    <row r="937" spans="9:10" ht="15.75" customHeight="1">
      <c r="I937" s="11"/>
      <c r="J937" s="11"/>
    </row>
    <row r="938" spans="9:10" ht="15.75" customHeight="1">
      <c r="I938" s="11"/>
      <c r="J938" s="11"/>
    </row>
    <row r="939" spans="9:10" ht="15.75" customHeight="1">
      <c r="I939" s="11"/>
      <c r="J939" s="11"/>
    </row>
    <row r="940" spans="9:10" ht="15.75" customHeight="1">
      <c r="I940" s="11"/>
      <c r="J940" s="11"/>
    </row>
    <row r="941" spans="9:10" ht="15.75" customHeight="1">
      <c r="I941" s="11"/>
      <c r="J941" s="11"/>
    </row>
    <row r="942" spans="9:10" ht="15.75" customHeight="1">
      <c r="I942" s="11"/>
      <c r="J942" s="11"/>
    </row>
    <row r="943" spans="9:10" ht="15.75" customHeight="1">
      <c r="I943" s="11"/>
      <c r="J943" s="11"/>
    </row>
    <row r="944" spans="9:10" ht="15.75" customHeight="1">
      <c r="I944" s="11"/>
      <c r="J944" s="11"/>
    </row>
    <row r="945" spans="9:10" ht="15.75" customHeight="1">
      <c r="I945" s="11"/>
      <c r="J945" s="11"/>
    </row>
    <row r="946" spans="9:10" ht="15.75" customHeight="1">
      <c r="I946" s="11"/>
      <c r="J946" s="11"/>
    </row>
    <row r="947" spans="9:10" ht="15.75" customHeight="1">
      <c r="I947" s="11"/>
      <c r="J947" s="11"/>
    </row>
    <row r="948" spans="9:10" ht="15.75" customHeight="1">
      <c r="I948" s="11"/>
      <c r="J948" s="11"/>
    </row>
    <row r="949" spans="9:10" ht="15.75" customHeight="1">
      <c r="I949" s="11"/>
      <c r="J949" s="11"/>
    </row>
    <row r="950" spans="9:10" ht="15.75" customHeight="1">
      <c r="I950" s="11"/>
      <c r="J950" s="11"/>
    </row>
    <row r="951" spans="9:10" ht="15.75" customHeight="1">
      <c r="I951" s="11"/>
      <c r="J951" s="11"/>
    </row>
    <row r="952" spans="9:10" ht="15.75" customHeight="1">
      <c r="I952" s="11"/>
      <c r="J952" s="11"/>
    </row>
    <row r="953" spans="9:10" ht="15.75" customHeight="1">
      <c r="I953" s="11"/>
      <c r="J953" s="11"/>
    </row>
    <row r="954" spans="9:10" ht="15.75" customHeight="1">
      <c r="I954" s="11"/>
      <c r="J954" s="11"/>
    </row>
    <row r="955" spans="9:10" ht="15.75" customHeight="1">
      <c r="I955" s="11"/>
      <c r="J955" s="11"/>
    </row>
    <row r="956" spans="9:10" ht="15.75" customHeight="1">
      <c r="I956" s="11"/>
      <c r="J956" s="11"/>
    </row>
    <row r="957" spans="9:10" ht="15.75" customHeight="1">
      <c r="I957" s="11"/>
      <c r="J957" s="11"/>
    </row>
    <row r="958" spans="9:10" ht="15.75" customHeight="1">
      <c r="I958" s="11"/>
      <c r="J958" s="11"/>
    </row>
    <row r="959" spans="9:10" ht="15.75" customHeight="1">
      <c r="I959" s="11"/>
      <c r="J959" s="11"/>
    </row>
    <row r="960" spans="9:10" ht="15.75" customHeight="1">
      <c r="I960" s="11"/>
      <c r="J960" s="11"/>
    </row>
    <row r="961" spans="9:10" ht="15.75" customHeight="1">
      <c r="I961" s="11"/>
      <c r="J961" s="11"/>
    </row>
    <row r="962" spans="9:10" ht="15.75" customHeight="1">
      <c r="I962" s="11"/>
      <c r="J962" s="11"/>
    </row>
    <row r="963" spans="9:10" ht="15.75" customHeight="1">
      <c r="I963" s="11"/>
      <c r="J963" s="11"/>
    </row>
    <row r="964" spans="9:10" ht="15.75" customHeight="1">
      <c r="I964" s="11"/>
      <c r="J964" s="11"/>
    </row>
    <row r="965" spans="9:10" ht="15.75" customHeight="1">
      <c r="I965" s="11"/>
      <c r="J965" s="11"/>
    </row>
    <row r="966" spans="9:10" ht="15.75" customHeight="1">
      <c r="I966" s="11"/>
      <c r="J966" s="11"/>
    </row>
    <row r="967" spans="9:10" ht="15.75" customHeight="1">
      <c r="I967" s="11"/>
      <c r="J967" s="11"/>
    </row>
    <row r="968" spans="9:10" ht="15.75" customHeight="1">
      <c r="I968" s="11"/>
      <c r="J968" s="11"/>
    </row>
    <row r="969" spans="9:10" ht="15.75" customHeight="1">
      <c r="I969" s="11"/>
      <c r="J969" s="11"/>
    </row>
    <row r="970" spans="9:10" ht="15.75" customHeight="1">
      <c r="I970" s="11"/>
      <c r="J970" s="11"/>
    </row>
    <row r="971" spans="9:10" ht="15.75" customHeight="1">
      <c r="I971" s="11"/>
      <c r="J971" s="11"/>
    </row>
    <row r="972" spans="9:10" ht="15.75" customHeight="1">
      <c r="I972" s="11"/>
      <c r="J972" s="11"/>
    </row>
    <row r="973" spans="9:10" ht="15.75" customHeight="1">
      <c r="I973" s="11"/>
      <c r="J973" s="11"/>
    </row>
    <row r="974" spans="9:10" ht="15.75" customHeight="1">
      <c r="I974" s="11"/>
      <c r="J974" s="11"/>
    </row>
    <row r="975" spans="9:10" ht="15.75" customHeight="1">
      <c r="I975" s="11"/>
      <c r="J975" s="11"/>
    </row>
    <row r="976" spans="9:10" ht="15.75" customHeight="1">
      <c r="I976" s="11"/>
      <c r="J976" s="11"/>
    </row>
    <row r="977" spans="9:10" ht="15.75" customHeight="1">
      <c r="I977" s="11"/>
      <c r="J977" s="11"/>
    </row>
    <row r="978" spans="9:10" ht="15.75" customHeight="1">
      <c r="I978" s="11"/>
      <c r="J978" s="11"/>
    </row>
    <row r="979" spans="9:10" ht="15.75" customHeight="1">
      <c r="I979" s="11"/>
      <c r="J979" s="11"/>
    </row>
    <row r="980" spans="9:10" ht="15.75" customHeight="1">
      <c r="I980" s="11"/>
      <c r="J980" s="11"/>
    </row>
    <row r="981" spans="9:10" ht="15.75" customHeight="1">
      <c r="I981" s="11"/>
      <c r="J981" s="11"/>
    </row>
    <row r="982" spans="9:10" ht="15.75" customHeight="1">
      <c r="I982" s="11"/>
      <c r="J982" s="11"/>
    </row>
    <row r="983" spans="9:10" ht="15.75" customHeight="1">
      <c r="I983" s="11"/>
      <c r="J983" s="11"/>
    </row>
    <row r="984" spans="9:10" ht="15.75" customHeight="1">
      <c r="I984" s="11"/>
      <c r="J984" s="11"/>
    </row>
    <row r="985" spans="9:10" ht="15.75" customHeight="1">
      <c r="I985" s="11"/>
      <c r="J985" s="11"/>
    </row>
    <row r="986" spans="9:10" ht="15.75" customHeight="1">
      <c r="I986" s="11"/>
      <c r="J986" s="11"/>
    </row>
    <row r="987" spans="9:10" ht="15.75" customHeight="1">
      <c r="I987" s="11"/>
      <c r="J987" s="11"/>
    </row>
    <row r="988" spans="9:10" ht="15.75" customHeight="1">
      <c r="I988" s="11"/>
      <c r="J988" s="11"/>
    </row>
    <row r="989" spans="9:10" ht="15.75" customHeight="1">
      <c r="I989" s="11"/>
      <c r="J989" s="11"/>
    </row>
    <row r="990" spans="9:10" ht="15.75" customHeight="1">
      <c r="I990" s="11"/>
      <c r="J990" s="11"/>
    </row>
    <row r="991" spans="9:10" ht="15.75" customHeight="1">
      <c r="I991" s="11"/>
      <c r="J991" s="11"/>
    </row>
    <row r="992" spans="9:10" ht="15.75" customHeight="1">
      <c r="I992" s="11"/>
      <c r="J992" s="11"/>
    </row>
    <row r="993" spans="9:10" ht="15.75" customHeight="1">
      <c r="I993" s="11"/>
      <c r="J993" s="11"/>
    </row>
    <row r="994" spans="9:10" ht="15.75" customHeight="1">
      <c r="I994" s="11"/>
      <c r="J994" s="11"/>
    </row>
    <row r="995" spans="9:10" ht="15.75" customHeight="1">
      <c r="I995" s="11"/>
      <c r="J995" s="11"/>
    </row>
    <row r="996" spans="9:10" ht="15.75" customHeight="1">
      <c r="I996" s="11"/>
      <c r="J996" s="11"/>
    </row>
    <row r="997" spans="9:10" ht="15.75" customHeight="1">
      <c r="I997" s="11"/>
      <c r="J997" s="11"/>
    </row>
    <row r="998" spans="9:10" ht="15.75" customHeight="1">
      <c r="I998" s="11"/>
      <c r="J998" s="11"/>
    </row>
    <row r="999" spans="9:10" ht="15.75" customHeight="1">
      <c r="I999" s="11"/>
      <c r="J999" s="11"/>
    </row>
    <row r="1000" spans="9:10" ht="15.75" customHeight="1">
      <c r="I1000" s="11"/>
      <c r="J1000" s="11"/>
    </row>
  </sheetData>
  <mergeCells count="4">
    <mergeCell ref="D2:E3"/>
    <mergeCell ref="H2:J3"/>
    <mergeCell ref="D4:H5"/>
    <mergeCell ref="I5:J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11</vt:i4>
      </vt:variant>
      <vt:variant>
        <vt:lpstr>Gráficos</vt:lpstr>
      </vt:variant>
      <vt:variant>
        <vt:i4>4</vt:i4>
      </vt:variant>
      <vt:variant>
        <vt:lpstr>Rangos con nombre</vt:lpstr>
      </vt:variant>
      <vt:variant>
        <vt:i4>4</vt:i4>
      </vt:variant>
    </vt:vector>
  </HeadingPairs>
  <TitlesOfParts>
    <vt:vector size="19" baseType="lpstr">
      <vt:lpstr>RESUMEN</vt:lpstr>
      <vt:lpstr>JUSTIFICACIO AIU%</vt:lpstr>
      <vt:lpstr>P. EXT MARQUETALIA</vt:lpstr>
      <vt:lpstr>BIENESTAR GYM Y SALUD</vt:lpstr>
      <vt:lpstr>BASE SALRIOS</vt:lpstr>
      <vt:lpstr>BIENESTAR GYM Y SALUD alt b</vt:lpstr>
      <vt:lpstr>JUSTIFICACIO AIU% (2)</vt:lpstr>
      <vt:lpstr>APUS</vt:lpstr>
      <vt:lpstr>APUS (2)</vt:lpstr>
      <vt:lpstr>APU</vt:lpstr>
      <vt:lpstr>MANO OBRA</vt:lpstr>
      <vt:lpstr>INVERSION POR SUB PROYECTOS</vt:lpstr>
      <vt:lpstr>GRAFICO SUB P 1</vt:lpstr>
      <vt:lpstr>GRAFICO SUB P 2</vt:lpstr>
      <vt:lpstr>INVERSION POR SUB PROYECTOS (2)</vt:lpstr>
      <vt:lpstr>APUS!CBB</vt:lpstr>
      <vt:lpstr>'APUS (2)'!CBB</vt:lpstr>
      <vt:lpstr>APUS!CDD</vt:lpstr>
      <vt:lpstr>'APUS (2)'!CDD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PORTATIL</dc:creator>
  <cp:lastModifiedBy>Usuario</cp:lastModifiedBy>
  <cp:lastPrinted>2023-04-10T19:27:58Z</cp:lastPrinted>
  <dcterms:created xsi:type="dcterms:W3CDTF">2015-04-14T06:55:47Z</dcterms:created>
  <dcterms:modified xsi:type="dcterms:W3CDTF">2023-04-26T21:08:19Z</dcterms:modified>
</cp:coreProperties>
</file>