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D:\Usuarios\ivan.uribeo\Documents\2023\SUSTANCIAS SICOACTIVAS II\"/>
    </mc:Choice>
  </mc:AlternateContent>
  <xr:revisionPtr revIDLastSave="0" documentId="8_{47426530-A35B-4B04-A537-6CF6036EB838}" xr6:coauthVersionLast="47" xr6:coauthVersionMax="47" xr10:uidLastSave="{00000000-0000-0000-0000-000000000000}"/>
  <bookViews>
    <workbookView xWindow="-120" yWindow="-120" windowWidth="29040" windowHeight="15840" firstSheet="2" activeTab="2" xr2:uid="{00000000-000D-0000-FFFF-FFFF00000000}"/>
  </bookViews>
  <sheets>
    <sheet name="ANEXO 1" sheetId="1" state="hidden" r:id="rId1"/>
    <sheet name="ANEXO 2" sheetId="3" state="hidden" r:id="rId2"/>
    <sheet name="ANEXO 3"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 i="3" l="1"/>
  <c r="P12" i="3" s="1"/>
  <c r="H11" i="3"/>
  <c r="H8" i="3"/>
  <c r="P8" i="3" s="1"/>
  <c r="H9" i="3"/>
  <c r="P9" i="3" s="1"/>
  <c r="H10" i="3"/>
  <c r="P10" i="3" s="1"/>
  <c r="P11" i="3"/>
  <c r="H7" i="3"/>
  <c r="P7" i="3" s="1"/>
  <c r="P12" i="1" l="1"/>
  <c r="P8" i="1"/>
  <c r="Q8" i="1"/>
  <c r="R8" i="1"/>
  <c r="P9" i="1"/>
  <c r="Q9" i="1"/>
  <c r="R9" i="1"/>
  <c r="P10" i="1"/>
  <c r="Q10" i="1"/>
  <c r="R10" i="1"/>
  <c r="P11" i="1"/>
  <c r="Q11" i="1"/>
  <c r="R11" i="1"/>
  <c r="Q12" i="1"/>
  <c r="R12" i="1"/>
  <c r="R7" i="1"/>
  <c r="Q7" i="1"/>
  <c r="P7" i="1"/>
  <c r="H12" i="2"/>
  <c r="Q8" i="3"/>
  <c r="R8" i="3" s="1"/>
  <c r="H9" i="2"/>
  <c r="H10" i="2"/>
  <c r="Q11" i="3"/>
  <c r="R11" i="3" s="1"/>
  <c r="Q12" i="3"/>
  <c r="R12" i="3" s="1"/>
  <c r="H7" i="2"/>
  <c r="D12" i="3"/>
  <c r="C12" i="3"/>
  <c r="B12" i="3"/>
  <c r="D11" i="3"/>
  <c r="C11" i="3"/>
  <c r="B11" i="3"/>
  <c r="Q10" i="3"/>
  <c r="R10" i="3" s="1"/>
  <c r="D10" i="3"/>
  <c r="C10" i="3"/>
  <c r="B10" i="3"/>
  <c r="Q9" i="3"/>
  <c r="R9" i="3" s="1"/>
  <c r="D9" i="3"/>
  <c r="C9" i="3"/>
  <c r="B9" i="3"/>
  <c r="D8" i="3"/>
  <c r="C8" i="3"/>
  <c r="B8" i="3"/>
  <c r="D7" i="3"/>
  <c r="C7" i="3"/>
  <c r="B7" i="3"/>
  <c r="C7" i="2"/>
  <c r="B12" i="2"/>
  <c r="C12" i="2"/>
  <c r="D12" i="2"/>
  <c r="B8" i="2"/>
  <c r="C8" i="2"/>
  <c r="D8" i="2"/>
  <c r="B9" i="2"/>
  <c r="C9" i="2"/>
  <c r="D9" i="2"/>
  <c r="B10" i="2"/>
  <c r="C10" i="2"/>
  <c r="D10" i="2"/>
  <c r="B11" i="2"/>
  <c r="C11" i="2"/>
  <c r="D11" i="2"/>
  <c r="D7" i="2"/>
  <c r="B7" i="2"/>
  <c r="L12" i="1"/>
  <c r="M12" i="1" s="1"/>
  <c r="N12" i="1" s="1"/>
  <c r="G12" i="1"/>
  <c r="H12" i="1" s="1"/>
  <c r="I12" i="1" s="1"/>
  <c r="S12" i="1" l="1"/>
  <c r="H8" i="2"/>
  <c r="H11" i="2"/>
  <c r="Q7" i="3"/>
  <c r="R7" i="3" s="1"/>
  <c r="S7" i="3" s="1"/>
  <c r="S13" i="3" s="1"/>
  <c r="T12" i="1"/>
  <c r="V12" i="1"/>
  <c r="W12" i="1" s="1"/>
  <c r="X12" i="1" s="1"/>
  <c r="Y12" i="1" s="1"/>
  <c r="S8" i="3"/>
  <c r="S9" i="3"/>
  <c r="S10" i="3"/>
  <c r="S11" i="3"/>
  <c r="S12" i="3"/>
  <c r="F12" i="2"/>
  <c r="J12" i="2" s="1"/>
  <c r="V7" i="1"/>
  <c r="F7" i="2" s="1"/>
  <c r="J7" i="2" s="1"/>
  <c r="T7" i="1"/>
  <c r="K12" i="2" l="1"/>
  <c r="L12" i="2" s="1"/>
  <c r="M12" i="2" s="1"/>
  <c r="V10" i="1"/>
  <c r="F10" i="2" s="1"/>
  <c r="J10" i="2" s="1"/>
  <c r="L11" i="1" l="1"/>
  <c r="M11" i="1" s="1"/>
  <c r="N11" i="1" s="1"/>
  <c r="L10" i="1"/>
  <c r="M10" i="1" s="1"/>
  <c r="N10" i="1" s="1"/>
  <c r="L9" i="1"/>
  <c r="M9" i="1" s="1"/>
  <c r="N9" i="1" s="1"/>
  <c r="L8" i="1"/>
  <c r="M8" i="1" s="1"/>
  <c r="N8" i="1" s="1"/>
  <c r="L7" i="1"/>
  <c r="M7" i="1" s="1"/>
  <c r="N7" i="1" s="1"/>
  <c r="V11" i="1"/>
  <c r="V8" i="1"/>
  <c r="T9" i="1"/>
  <c r="T10" i="1"/>
  <c r="S10" i="1"/>
  <c r="W7" i="1"/>
  <c r="X7" i="1" s="1"/>
  <c r="Y7" i="1" s="1"/>
  <c r="N13" i="1" l="1"/>
  <c r="W8" i="1"/>
  <c r="X8" i="1" s="1"/>
  <c r="Y8" i="1" s="1"/>
  <c r="F8" i="2"/>
  <c r="J8" i="2" s="1"/>
  <c r="W11" i="1"/>
  <c r="X11" i="1" s="1"/>
  <c r="Y11" i="1" s="1"/>
  <c r="F11" i="2"/>
  <c r="J11" i="2" s="1"/>
  <c r="T11" i="1"/>
  <c r="T8" i="1"/>
  <c r="S8" i="1"/>
  <c r="W10" i="1"/>
  <c r="X10" i="1" s="1"/>
  <c r="Y10" i="1" s="1"/>
  <c r="V9" i="1"/>
  <c r="S9" i="1"/>
  <c r="S11" i="1"/>
  <c r="S7" i="1"/>
  <c r="Y13" i="1" l="1"/>
  <c r="W9" i="1"/>
  <c r="X9" i="1" s="1"/>
  <c r="Y9" i="1" s="1"/>
  <c r="F9" i="2"/>
  <c r="K11" i="2"/>
  <c r="L11" i="2" s="1"/>
  <c r="M11" i="2" s="1"/>
  <c r="K8" i="2"/>
  <c r="L8" i="2" s="1"/>
  <c r="M8" i="2" s="1"/>
  <c r="K10" i="2"/>
  <c r="L10" i="2" s="1"/>
  <c r="M10" i="2" s="1"/>
  <c r="K7" i="2"/>
  <c r="L7" i="2" s="1"/>
  <c r="M7" i="2" s="1"/>
  <c r="G11" i="1"/>
  <c r="H11" i="1" s="1"/>
  <c r="I11" i="1" s="1"/>
  <c r="G8" i="1"/>
  <c r="H8" i="1" s="1"/>
  <c r="I8" i="1" s="1"/>
  <c r="G9" i="1"/>
  <c r="H9" i="1" s="1"/>
  <c r="I9" i="1" s="1"/>
  <c r="G10" i="1"/>
  <c r="H10" i="1" s="1"/>
  <c r="I10" i="1" s="1"/>
  <c r="G7" i="1"/>
  <c r="H7" i="1" s="1"/>
  <c r="I7" i="1" s="1"/>
  <c r="I13" i="1" l="1"/>
  <c r="J9" i="2"/>
  <c r="K9" i="2" s="1"/>
  <c r="L9" i="2" s="1"/>
  <c r="M9" i="2" s="1"/>
  <c r="M13" i="2" s="1"/>
</calcChain>
</file>

<file path=xl/sharedStrings.xml><?xml version="1.0" encoding="utf-8"?>
<sst xmlns="http://schemas.openxmlformats.org/spreadsheetml/2006/main" count="103" uniqueCount="48">
  <si>
    <t>ITEM</t>
  </si>
  <si>
    <t>UNIDAD</t>
  </si>
  <si>
    <t>CANTIDAD</t>
  </si>
  <si>
    <t>TOTAL</t>
  </si>
  <si>
    <t>VALOR UNITARIO SIN IVA</t>
  </si>
  <si>
    <t>IVA</t>
  </si>
  <si>
    <t>VALOR UNITARIO INCLUIDO  IVA</t>
  </si>
  <si>
    <t>VALOR TOTAL INCLUIDO  IVA</t>
  </si>
  <si>
    <t>DESCRIPCIÓN DEL MANTENIMIENTO</t>
  </si>
  <si>
    <t>ANALISIS DE COTIZACIONES</t>
  </si>
  <si>
    <t>ANEXO 1</t>
  </si>
  <si>
    <t>COTIZACION 1</t>
  </si>
  <si>
    <t>COTIZACION 2</t>
  </si>
  <si>
    <t>ANEXO 2</t>
  </si>
  <si>
    <t>ESTUDIO DEL SECTOR</t>
  </si>
  <si>
    <t xml:space="preserve">PROMEDIO                                                                                </t>
  </si>
  <si>
    <t>PORCENTAJE DIFERENCIAL (BAJA/PROMEDIO)</t>
  </si>
  <si>
    <t>MEDIA ARITMETICA BAJA</t>
  </si>
  <si>
    <t>NECESIDAD</t>
  </si>
  <si>
    <t>NOTAS:</t>
  </si>
  <si>
    <t xml:space="preserve"> </t>
  </si>
  <si>
    <t xml:space="preserve">            </t>
  </si>
  <si>
    <t>3)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</si>
  <si>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 xml:space="preserve">Cocaína clorhidrato </t>
  </si>
  <si>
    <t>(-)-DELTA 9-Tetrahidrocannabinol solución en etanol</t>
  </si>
  <si>
    <t xml:space="preserve">Heroína clorhidrato </t>
  </si>
  <si>
    <t xml:space="preserve">Cannabidiol </t>
  </si>
  <si>
    <t xml:space="preserve">Cannabinol  </t>
  </si>
  <si>
    <t>(-)-DELTA 8-Tetrahidrocannabinol solución en etanol</t>
  </si>
  <si>
    <t>Frasco x 100 mg</t>
  </si>
  <si>
    <t>Ampolla x 1 mg/mL</t>
  </si>
  <si>
    <t>Frasco x  50 mg</t>
  </si>
  <si>
    <t>ADQUIRIR MATERIALES DE REFERENCIA CERTIFICADOS DE SUSTANCIAS SICOACTIVAS PARA LOS GRUPOS DE QUÍMICA DE LA FISCALÍA GENERAL DE LA NACIÓN.</t>
  </si>
  <si>
    <t>ANALISIS DE COSTOS HISTORICOS</t>
  </si>
  <si>
    <t>FEAB-IOCA-0008-2021</t>
  </si>
  <si>
    <t>ANEXO 3</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</si>
  <si>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</si>
  <si>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</si>
  <si>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VALOR UNITARIO
SIN IVA</t>
  </si>
  <si>
    <t>Estudio del Sector: No: 139</t>
  </si>
  <si>
    <r>
      <t>VALOR COTIZACIÓN HÁBIL MÁS BAJA</t>
    </r>
    <r>
      <rPr>
        <b/>
        <sz val="11"/>
        <rFont val="Arial"/>
        <family val="2"/>
      </rPr>
      <t xml:space="preserve">      </t>
    </r>
    <r>
      <rPr>
        <b/>
        <sz val="11"/>
        <color indexed="10"/>
        <rFont val="Arial"/>
        <family val="2"/>
      </rPr>
      <t xml:space="preserve">                                                                                              </t>
    </r>
  </si>
  <si>
    <r>
      <t>VALOR COTIZACIÓN  HÁBIL MÁS ALTA</t>
    </r>
    <r>
      <rPr>
        <b/>
        <sz val="11"/>
        <rFont val="Arial"/>
        <family val="2"/>
      </rPr>
      <t xml:space="preserve">     </t>
    </r>
    <r>
      <rPr>
        <b/>
        <sz val="11"/>
        <color indexed="10"/>
        <rFont val="Arial"/>
        <family val="2"/>
      </rPr>
      <t xml:space="preserve">                                                                                              </t>
    </r>
  </si>
  <si>
    <t>FGN-NC-IPSE-0036-2022</t>
  </si>
  <si>
    <t xml:space="preserve">1) Para los ítems 3; 4 y 6, se establecieron los valores unitarios del análisis de cotizaciones. </t>
  </si>
  <si>
    <t>2) Para los ítems 1; 2 y 5, se establecieron los valores unitarios del promedio entre análisis de cotizaciones y análisis de costos históricos</t>
  </si>
  <si>
    <t>1) Se realizó el estudio con 1 cotización la cual cumple con lo solicitado por la entidad</t>
  </si>
  <si>
    <t>2) Para establecer el valor del mercado se tomaron los valores de referencia</t>
  </si>
  <si>
    <t>Fecha de elaboración: 18/04/2023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</si>
</sst>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0"/>
  </numFmts>
  <fonts count="20" x14ac:knownFonts="1">
    <font>
      <sz val="11"/>
      <color theme="1"/>
      <name val="Calibri"/>
      <family val="2"/>
      <scheme val="minor"/>
    </font>
    <font>
      <sz val="11"/>
      <color theme="1"/>
      <name val="Calibri"/>
      <family val="2"/>
      <scheme val="minor"/>
    </font>
    <font>
      <b/>
      <sz val="11"/>
      <color theme="1"/>
      <name val="Arial Narrow"/>
      <family val="2"/>
    </font>
    <font>
      <sz val="10"/>
      <color rgb="FF000000"/>
      <name val="Arial Narrow"/>
      <family val="2"/>
    </font>
    <font>
      <sz val="11"/>
      <color theme="1"/>
      <name val="Arial Narrow"/>
      <family val="2"/>
    </font>
    <font>
      <b/>
      <sz val="11"/>
      <color rgb="FF000000"/>
      <name val="Arial Narrow"/>
      <family val="2"/>
    </font>
    <font>
      <b/>
      <sz val="10"/>
      <color theme="1"/>
      <name val="Arial Narrow"/>
      <family val="2"/>
    </font>
    <font>
      <sz val="10"/>
      <name val="Arial"/>
      <family val="2"/>
    </font>
    <font>
      <b/>
      <sz val="8"/>
      <name val="Arial"/>
      <family val="2"/>
    </font>
    <font>
      <b/>
      <sz val="10"/>
      <color rgb="FFFF0000"/>
      <name val="Arial"/>
      <family val="2"/>
    </font>
    <font>
      <sz val="10"/>
      <color theme="1"/>
      <name val="Calibri"/>
      <family val="2"/>
      <scheme val="minor"/>
    </font>
    <font>
      <sz val="8"/>
      <name val="Arial"/>
      <family val="2"/>
    </font>
    <font>
      <b/>
      <sz val="9"/>
      <name val="Arial"/>
      <family val="2"/>
    </font>
    <font>
      <sz val="9"/>
      <name val="Arial"/>
      <family val="2"/>
    </font>
    <font>
      <sz val="9"/>
      <color theme="1"/>
      <name val="Arial"/>
      <family val="2"/>
    </font>
    <font>
      <sz val="9"/>
      <color theme="1"/>
      <name val="Calibri"/>
      <family val="2"/>
      <scheme val="minor"/>
    </font>
    <font>
      <b/>
      <sz val="10"/>
      <color rgb="FF000000"/>
      <name val="Arial Narrow"/>
      <family val="2"/>
    </font>
    <font>
      <b/>
      <sz val="11"/>
      <color rgb="FFFF0000"/>
      <name val="Arial"/>
      <family val="2"/>
    </font>
    <font>
      <b/>
      <sz val="11"/>
      <name val="Arial"/>
      <family val="2"/>
    </font>
    <font>
      <b/>
      <sz val="11"/>
      <color indexed="10"/>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cellStyleXfs>
  <cellXfs count="85">
    <xf numFmtId="0" fontId="0" fillId="0" borderId="0" xfId="0"/>
    <xf numFmtId="0" fontId="2" fillId="0" borderId="0" xfId="0" applyFont="1"/>
    <xf numFmtId="0" fontId="3" fillId="0" borderId="0" xfId="0" applyFont="1" applyAlignment="1">
      <alignment vertical="center"/>
    </xf>
    <xf numFmtId="0" fontId="4" fillId="0" borderId="0" xfId="0" applyFont="1"/>
    <xf numFmtId="0" fontId="6" fillId="3" borderId="6" xfId="0" applyFont="1" applyFill="1" applyBorder="1" applyAlignment="1">
      <alignment vertical="center" wrapText="1"/>
    </xf>
    <xf numFmtId="0" fontId="6" fillId="3" borderId="7" xfId="0" applyFont="1" applyFill="1" applyBorder="1" applyAlignment="1">
      <alignment vertical="center" wrapText="1"/>
    </xf>
    <xf numFmtId="0" fontId="6" fillId="3" borderId="8" xfId="0" applyFont="1" applyFill="1" applyBorder="1" applyAlignment="1">
      <alignment vertical="center" wrapText="1"/>
    </xf>
    <xf numFmtId="0" fontId="2"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6" fillId="3" borderId="1" xfId="0" applyFont="1" applyFill="1" applyBorder="1" applyAlignment="1">
      <alignment vertical="center" wrapText="1"/>
    </xf>
    <xf numFmtId="164" fontId="4" fillId="0" borderId="1" xfId="1" applyNumberFormat="1" applyFont="1" applyBorder="1" applyAlignment="1">
      <alignment vertical="center"/>
    </xf>
    <xf numFmtId="164" fontId="2" fillId="3" borderId="1" xfId="0" applyNumberFormat="1" applyFont="1" applyFill="1" applyBorder="1" applyAlignment="1">
      <alignment vertical="center" wrapText="1"/>
    </xf>
    <xf numFmtId="0" fontId="6" fillId="4" borderId="1" xfId="0" applyFont="1" applyFill="1" applyBorder="1" applyAlignment="1">
      <alignment horizontal="center" vertical="center" wrapText="1"/>
    </xf>
    <xf numFmtId="164" fontId="4" fillId="0" borderId="1" xfId="0" applyNumberFormat="1" applyFont="1" applyBorder="1" applyAlignment="1">
      <alignment vertical="center"/>
    </xf>
    <xf numFmtId="164" fontId="4" fillId="0" borderId="2" xfId="1" applyNumberFormat="1" applyFont="1" applyBorder="1" applyAlignment="1">
      <alignment vertical="center"/>
    </xf>
    <xf numFmtId="0" fontId="8" fillId="5" borderId="5" xfId="3" applyFont="1" applyFill="1" applyBorder="1" applyAlignment="1">
      <alignment horizontal="center" vertical="center" wrapText="1"/>
    </xf>
    <xf numFmtId="165" fontId="9" fillId="6" borderId="1" xfId="3" applyNumberFormat="1" applyFont="1" applyFill="1" applyBorder="1" applyAlignment="1">
      <alignment horizontal="center" vertical="center" wrapText="1"/>
    </xf>
    <xf numFmtId="10" fontId="9" fillId="6" borderId="1" xfId="2" applyNumberFormat="1" applyFont="1" applyFill="1" applyBorder="1" applyAlignment="1">
      <alignment horizontal="center" vertical="center" wrapText="1"/>
    </xf>
    <xf numFmtId="0" fontId="10" fillId="0" borderId="0" xfId="0" applyFont="1"/>
    <xf numFmtId="44" fontId="10" fillId="0" borderId="0" xfId="0" applyNumberFormat="1" applyFont="1"/>
    <xf numFmtId="0" fontId="11" fillId="0" borderId="0" xfId="0" applyFont="1" applyAlignment="1">
      <alignment horizontal="left" vertical="center" wrapText="1"/>
    </xf>
    <xf numFmtId="0" fontId="8" fillId="0" borderId="0" xfId="0" applyFont="1" applyAlignment="1">
      <alignment horizontal="justify" vertical="center" wrapText="1"/>
    </xf>
    <xf numFmtId="0" fontId="11" fillId="0" borderId="0" xfId="0" applyFont="1"/>
    <xf numFmtId="0" fontId="8" fillId="0" borderId="0" xfId="0" applyFont="1" applyAlignment="1">
      <alignment horizontal="justify" vertical="justify" wrapText="1"/>
    </xf>
    <xf numFmtId="0" fontId="7" fillId="0" borderId="0" xfId="0" applyFont="1"/>
    <xf numFmtId="0" fontId="12" fillId="0" borderId="0" xfId="0" applyFont="1" applyAlignment="1">
      <alignment vertical="center"/>
    </xf>
    <xf numFmtId="0" fontId="13" fillId="0" borderId="0" xfId="0" applyFont="1" applyAlignment="1">
      <alignment vertical="center"/>
    </xf>
    <xf numFmtId="0" fontId="12" fillId="0" borderId="0" xfId="0" applyFont="1" applyAlignment="1">
      <alignment horizontal="justify" vertical="center" wrapText="1"/>
    </xf>
    <xf numFmtId="0" fontId="12" fillId="0" borderId="0" xfId="0" applyFont="1" applyAlignment="1">
      <alignment horizontal="justify" vertical="justify" wrapText="1"/>
    </xf>
    <xf numFmtId="0" fontId="15" fillId="0" borderId="0" xfId="0" applyFont="1"/>
    <xf numFmtId="44" fontId="15" fillId="0" borderId="0" xfId="0" applyNumberFormat="1" applyFont="1"/>
    <xf numFmtId="0" fontId="13" fillId="0" borderId="0" xfId="0" applyFont="1" applyAlignment="1">
      <alignment horizontal="left" vertical="center" wrapText="1"/>
    </xf>
    <xf numFmtId="0" fontId="13" fillId="0" borderId="0" xfId="0" applyFont="1"/>
    <xf numFmtId="0" fontId="14" fillId="0" borderId="0" xfId="0" applyFont="1" applyAlignment="1">
      <alignment horizontal="left" vertical="center" wrapText="1"/>
    </xf>
    <xf numFmtId="9" fontId="8" fillId="5" borderId="5" xfId="3" applyNumberFormat="1" applyFont="1" applyFill="1" applyBorder="1" applyAlignment="1">
      <alignment horizontal="center" vertical="center" wrapText="1"/>
    </xf>
    <xf numFmtId="0" fontId="4" fillId="0" borderId="6" xfId="0" applyFont="1" applyBorder="1" applyAlignment="1">
      <alignment horizontal="center" vertical="center" wrapText="1"/>
    </xf>
    <xf numFmtId="0" fontId="6" fillId="2" borderId="1" xfId="0" applyFont="1" applyFill="1" applyBorder="1" applyAlignment="1">
      <alignment horizontal="center" vertical="center" wrapText="1"/>
    </xf>
    <xf numFmtId="17" fontId="6" fillId="4" borderId="1" xfId="0" applyNumberFormat="1" applyFont="1" applyFill="1" applyBorder="1" applyAlignment="1">
      <alignment horizontal="center" vertical="center" wrapText="1"/>
    </xf>
    <xf numFmtId="10" fontId="6" fillId="2" borderId="1" xfId="0" applyNumberFormat="1" applyFont="1" applyFill="1" applyBorder="1" applyAlignment="1">
      <alignment horizontal="center" vertical="center" wrapText="1"/>
    </xf>
    <xf numFmtId="0" fontId="14" fillId="0" borderId="0" xfId="0" applyFont="1" applyAlignment="1">
      <alignment vertical="center" wrapText="1"/>
    </xf>
    <xf numFmtId="164" fontId="2" fillId="3" borderId="8" xfId="0" applyNumberFormat="1" applyFont="1" applyFill="1" applyBorder="1" applyAlignment="1">
      <alignment vertical="center" wrapText="1"/>
    </xf>
    <xf numFmtId="0" fontId="17" fillId="5" borderId="11" xfId="3" applyFont="1" applyFill="1" applyBorder="1" applyAlignment="1">
      <alignment horizontal="center" vertical="center" wrapText="1"/>
    </xf>
    <xf numFmtId="0" fontId="19" fillId="5" borderId="11" xfId="3" applyFont="1" applyFill="1" applyBorder="1" applyAlignment="1">
      <alignment horizontal="center" vertical="center" wrapText="1"/>
    </xf>
    <xf numFmtId="164" fontId="4" fillId="4" borderId="1" xfId="1" applyNumberFormat="1" applyFont="1" applyFill="1" applyBorder="1" applyAlignment="1">
      <alignment vertical="center"/>
    </xf>
    <xf numFmtId="164" fontId="6" fillId="3" borderId="6" xfId="0" applyNumberFormat="1" applyFont="1" applyFill="1" applyBorder="1" applyAlignment="1">
      <alignment vertical="center" wrapText="1"/>
    </xf>
    <xf numFmtId="164" fontId="6" fillId="3" borderId="7" xfId="0" applyNumberFormat="1" applyFont="1" applyFill="1" applyBorder="1" applyAlignment="1">
      <alignment vertical="center" wrapText="1"/>
    </xf>
    <xf numFmtId="164" fontId="6" fillId="3" borderId="8" xfId="0" applyNumberFormat="1" applyFont="1" applyFill="1" applyBorder="1" applyAlignment="1">
      <alignment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13" fillId="0" borderId="0" xfId="0" applyFont="1" applyAlignment="1">
      <alignment vertical="center" wrapText="1"/>
    </xf>
    <xf numFmtId="0" fontId="14" fillId="0" borderId="0" xfId="0" applyFont="1" applyAlignment="1">
      <alignment horizontal="left" vertical="center" wrapText="1"/>
    </xf>
    <xf numFmtId="0" fontId="2" fillId="4" borderId="6" xfId="0" applyFont="1" applyFill="1" applyBorder="1" applyAlignment="1">
      <alignment horizontal="center"/>
    </xf>
    <xf numFmtId="0" fontId="2" fillId="4" borderId="7" xfId="0" applyFont="1" applyFill="1" applyBorder="1" applyAlignment="1">
      <alignment horizontal="center"/>
    </xf>
    <xf numFmtId="0" fontId="2" fillId="4" borderId="8" xfId="0" applyFont="1" applyFill="1" applyBorder="1" applyAlignment="1">
      <alignment horizont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2" fillId="0" borderId="3" xfId="0" applyFont="1" applyBorder="1" applyAlignment="1">
      <alignment horizontal="center"/>
    </xf>
    <xf numFmtId="0" fontId="2" fillId="0" borderId="4"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164" fontId="4" fillId="0" borderId="6" xfId="1" applyNumberFormat="1" applyFont="1" applyBorder="1" applyAlignment="1">
      <alignment vertical="center"/>
    </xf>
    <xf numFmtId="164" fontId="4" fillId="0" borderId="8" xfId="1" applyNumberFormat="1" applyFont="1" applyBorder="1" applyAlignment="1">
      <alignment vertical="center"/>
    </xf>
    <xf numFmtId="0" fontId="14" fillId="0" borderId="0" xfId="0" applyFont="1" applyAlignment="1">
      <alignment vertical="center" wrapText="1"/>
    </xf>
    <xf numFmtId="164" fontId="4" fillId="4" borderId="6" xfId="1" applyNumberFormat="1" applyFont="1" applyFill="1" applyBorder="1" applyAlignment="1">
      <alignment vertical="center"/>
    </xf>
    <xf numFmtId="164" fontId="4" fillId="4" borderId="8" xfId="1" applyNumberFormat="1" applyFont="1" applyFill="1" applyBorder="1" applyAlignment="1">
      <alignment vertical="center"/>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6" fillId="4"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3" fillId="0" borderId="0" xfId="0" applyFont="1" applyAlignment="1">
      <alignment horizontal="left" vertical="center" wrapText="1"/>
    </xf>
  </cellXfs>
  <cellStyles count="4">
    <cellStyle name="Moneda" xfId="1" builtinId="4"/>
    <cellStyle name="Normal" xfId="0" builtinId="0"/>
    <cellStyle name="Normal_HERRAMIENTAS PARA TRANSPORTE" xfId="3" xr:uid="{00000000-0005-0000-0000-000002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333375</xdr:colOff>
      <xdr:row>1</xdr:row>
      <xdr:rowOff>190500</xdr:rowOff>
    </xdr:from>
    <xdr:to>
      <xdr:col>1</xdr:col>
      <xdr:colOff>2524125</xdr:colOff>
      <xdr:row>2</xdr:row>
      <xdr:rowOff>371475</xdr:rowOff>
    </xdr:to>
    <xdr:pic>
      <xdr:nvPicPr>
        <xdr:cNvPr id="3" name="Picture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400050"/>
          <a:ext cx="26955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38986</xdr:colOff>
      <xdr:row>21</xdr:row>
      <xdr:rowOff>85725</xdr:rowOff>
    </xdr:from>
    <xdr:to>
      <xdr:col>6</xdr:col>
      <xdr:colOff>657225</xdr:colOff>
      <xdr:row>24</xdr:row>
      <xdr:rowOff>227134</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543811" y="5800725"/>
          <a:ext cx="6809489" cy="798634"/>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Laura López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2</xdr:col>
      <xdr:colOff>626452</xdr:colOff>
      <xdr:row>21</xdr:row>
      <xdr:rowOff>48360</xdr:rowOff>
    </xdr:from>
    <xdr:to>
      <xdr:col>8</xdr:col>
      <xdr:colOff>714375</xdr:colOff>
      <xdr:row>24</xdr:row>
      <xdr:rowOff>223632</xdr:rowOff>
    </xdr:to>
    <xdr:sp macro="" textlink="">
      <xdr:nvSpPr>
        <xdr:cNvPr id="5" name="Text Box 4">
          <a:extLst>
            <a:ext uri="{FF2B5EF4-FFF2-40B4-BE49-F238E27FC236}">
              <a16:creationId xmlns:a16="http://schemas.microsoft.com/office/drawing/2014/main" id="{00000000-0008-0000-0000-000005000000}"/>
            </a:ext>
          </a:extLst>
        </xdr:cNvPr>
        <xdr:cNvSpPr txBox="1">
          <a:spLocks noChangeArrowheads="1"/>
        </xdr:cNvSpPr>
      </xdr:nvSpPr>
      <xdr:spPr bwMode="auto">
        <a:xfrm>
          <a:off x="4055452" y="5763360"/>
          <a:ext cx="5088548" cy="832497"/>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Reviso y aprobó:	</a:t>
          </a:r>
        </a:p>
        <a:p>
          <a:pPr marL="0" marR="0" indent="0" algn="l" defTabSz="914400" rtl="0" eaLnBrk="1" fontAlgn="auto" latinLnBrk="0" hangingPunct="1">
            <a:lnSpc>
              <a:spcPts val="8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ts val="16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Gustavo Adolfo Palacio Olarte			</a:t>
          </a:r>
        </a:p>
        <a:p>
          <a:pPr marL="0" marR="0" indent="0" algn="l" defTabSz="914400" rtl="0" eaLnBrk="1" fontAlgn="auto" latinLnBrk="0" hangingPunct="1">
            <a:lnSpc>
              <a:spcPts val="1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Coordinador Grupo Análisis del Sector Económico y de los Oferentes	</a:t>
          </a:r>
        </a:p>
        <a:p>
          <a:pPr marL="0" marR="0" indent="0" algn="l" defTabSz="914400" rtl="0" eaLnBrk="1" fontAlgn="auto" latinLnBrk="0" hangingPunct="1">
            <a:lnSpc>
              <a:spcPts val="9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400050</xdr:colOff>
      <xdr:row>1</xdr:row>
      <xdr:rowOff>152400</xdr:rowOff>
    </xdr:from>
    <xdr:to>
      <xdr:col>1</xdr:col>
      <xdr:colOff>2590800</xdr:colOff>
      <xdr:row>2</xdr:row>
      <xdr:rowOff>333375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361950"/>
          <a:ext cx="26955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38986</xdr:colOff>
      <xdr:row>21</xdr:row>
      <xdr:rowOff>26357</xdr:rowOff>
    </xdr:from>
    <xdr:to>
      <xdr:col>14</xdr:col>
      <xdr:colOff>9525</xdr:colOff>
      <xdr:row>25</xdr:row>
      <xdr:rowOff>19049</xdr:rowOff>
    </xdr:to>
    <xdr:sp macro="" textlink="">
      <xdr:nvSpPr>
        <xdr:cNvPr id="3" name="Text Box 4">
          <a:extLst>
            <a:ext uri="{FF2B5EF4-FFF2-40B4-BE49-F238E27FC236}">
              <a16:creationId xmlns:a16="http://schemas.microsoft.com/office/drawing/2014/main" id="{00000000-0008-0000-0100-000003000000}"/>
            </a:ext>
          </a:extLst>
        </xdr:cNvPr>
        <xdr:cNvSpPr txBox="1">
          <a:spLocks noChangeArrowheads="1"/>
        </xdr:cNvSpPr>
      </xdr:nvSpPr>
      <xdr:spPr bwMode="auto">
        <a:xfrm>
          <a:off x="543811" y="6198557"/>
          <a:ext cx="6190364" cy="897567"/>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Laura López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2</xdr:col>
      <xdr:colOff>988402</xdr:colOff>
      <xdr:row>21</xdr:row>
      <xdr:rowOff>114299</xdr:rowOff>
    </xdr:from>
    <xdr:to>
      <xdr:col>16</xdr:col>
      <xdr:colOff>304800</xdr:colOff>
      <xdr:row>25</xdr:row>
      <xdr:rowOff>82793</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a:off x="4398352" y="6429374"/>
          <a:ext cx="5621948" cy="873369"/>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Reviso y aprobó:						</a:t>
          </a:r>
        </a:p>
        <a:p>
          <a:pPr marL="0" marR="0" indent="0" algn="l" defTabSz="914400" rtl="0" eaLnBrk="1" fontAlgn="auto" latinLnBrk="0" hangingPunct="1">
            <a:lnSpc>
              <a:spcPts val="16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Gustavo Adolfo Palacio Olarte					</a:t>
          </a:r>
        </a:p>
        <a:p>
          <a:pPr marL="0" marR="0" indent="0" algn="l" defTabSz="914400" rtl="0" eaLnBrk="1" fontAlgn="auto" latinLnBrk="0" hangingPunct="1">
            <a:lnSpc>
              <a:spcPts val="1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Coordinador Grupo Análisis del Sector Económico y de los Oferentes	</a:t>
          </a:r>
        </a:p>
        <a:p>
          <a:pPr marL="0" marR="0" indent="0" algn="l" defTabSz="914400" rtl="0" eaLnBrk="1" fontAlgn="auto" latinLnBrk="0" hangingPunct="1">
            <a:lnSpc>
              <a:spcPts val="9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266700</xdr:colOff>
      <xdr:row>2</xdr:row>
      <xdr:rowOff>57150</xdr:rowOff>
    </xdr:from>
    <xdr:to>
      <xdr:col>1</xdr:col>
      <xdr:colOff>2457450</xdr:colOff>
      <xdr:row>2</xdr:row>
      <xdr:rowOff>495300</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523875"/>
          <a:ext cx="26955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38986</xdr:colOff>
      <xdr:row>21</xdr:row>
      <xdr:rowOff>26357</xdr:rowOff>
    </xdr:from>
    <xdr:to>
      <xdr:col>8</xdr:col>
      <xdr:colOff>9525</xdr:colOff>
      <xdr:row>25</xdr:row>
      <xdr:rowOff>19049</xdr:rowOff>
    </xdr:to>
    <xdr:sp macro="" textlink="">
      <xdr:nvSpPr>
        <xdr:cNvPr id="3" name="Text Box 4">
          <a:extLst>
            <a:ext uri="{FF2B5EF4-FFF2-40B4-BE49-F238E27FC236}">
              <a16:creationId xmlns:a16="http://schemas.microsoft.com/office/drawing/2014/main" id="{00000000-0008-0000-0200-000003000000}"/>
            </a:ext>
          </a:extLst>
        </xdr:cNvPr>
        <xdr:cNvSpPr txBox="1">
          <a:spLocks noChangeArrowheads="1"/>
        </xdr:cNvSpPr>
      </xdr:nvSpPr>
      <xdr:spPr bwMode="auto">
        <a:xfrm>
          <a:off x="543811" y="35802257"/>
          <a:ext cx="6476114" cy="897567"/>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Laura López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2</xdr:col>
      <xdr:colOff>788376</xdr:colOff>
      <xdr:row>21</xdr:row>
      <xdr:rowOff>66674</xdr:rowOff>
    </xdr:from>
    <xdr:to>
      <xdr:col>11</xdr:col>
      <xdr:colOff>381000</xdr:colOff>
      <xdr:row>25</xdr:row>
      <xdr:rowOff>35168</xdr:rowOff>
    </xdr:to>
    <xdr:sp macro="" textlink="">
      <xdr:nvSpPr>
        <xdr:cNvPr id="4" name="Text Box 4">
          <a:extLst>
            <a:ext uri="{FF2B5EF4-FFF2-40B4-BE49-F238E27FC236}">
              <a16:creationId xmlns:a16="http://schemas.microsoft.com/office/drawing/2014/main" id="{00000000-0008-0000-0200-000004000000}"/>
            </a:ext>
          </a:extLst>
        </xdr:cNvPr>
        <xdr:cNvSpPr txBox="1">
          <a:spLocks noChangeArrowheads="1"/>
        </xdr:cNvSpPr>
      </xdr:nvSpPr>
      <xdr:spPr bwMode="auto">
        <a:xfrm>
          <a:off x="4198326" y="6515099"/>
          <a:ext cx="6460149" cy="873369"/>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Reviso y aprobó:						</a:t>
          </a:r>
        </a:p>
        <a:p>
          <a:pPr marL="0" marR="0" indent="0" algn="l" defTabSz="914400" rtl="0" eaLnBrk="1" fontAlgn="auto" latinLnBrk="0" hangingPunct="1">
            <a:lnSpc>
              <a:spcPts val="16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Gustavo Adolfo Palacio Olarte					</a:t>
          </a:r>
        </a:p>
        <a:p>
          <a:pPr marL="0" marR="0" indent="0" algn="l" defTabSz="914400" rtl="0" eaLnBrk="1" fontAlgn="auto" latinLnBrk="0" hangingPunct="1">
            <a:lnSpc>
              <a:spcPts val="10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Coordinador Grupo Análisis del Sector Económico y de los Oferentes	</a:t>
          </a:r>
        </a:p>
        <a:p>
          <a:pPr marL="0" marR="0" indent="0" algn="l" defTabSz="914400" rtl="0" eaLnBrk="1" fontAlgn="auto" latinLnBrk="0" hangingPunct="1">
            <a:lnSpc>
              <a:spcPts val="900"/>
            </a:lnSpc>
            <a:spcBef>
              <a:spcPts val="0"/>
            </a:spcBef>
            <a:spcAft>
              <a:spcPts val="0"/>
            </a:spcAft>
            <a:buClrTx/>
            <a:buSzTx/>
            <a:buFontTx/>
            <a:buNone/>
            <a:tabLst/>
            <a:defRPr sz="1000"/>
          </a:pPr>
          <a:r>
            <a:rPr lang="es-CO" sz="9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7"/>
  <sheetViews>
    <sheetView zoomScaleNormal="100" workbookViewId="0">
      <selection activeCell="C4" sqref="C4"/>
    </sheetView>
  </sheetViews>
  <sheetFormatPr baseColWidth="10" defaultRowHeight="16.5" outlineLevelCol="1" x14ac:dyDescent="0.3"/>
  <cols>
    <col min="1" max="1" width="7.5703125" style="3" customWidth="1"/>
    <col min="2" max="2" width="43.85546875" style="3" customWidth="1"/>
    <col min="3" max="3" width="19.140625" style="3" customWidth="1"/>
    <col min="4" max="4" width="13.42578125" style="3" customWidth="1"/>
    <col min="5" max="5" width="3.42578125" style="3" customWidth="1"/>
    <col min="6" max="9" width="13" style="3" customWidth="1"/>
    <col min="10" max="10" width="3.5703125" style="3" customWidth="1"/>
    <col min="11" max="14" width="13" style="3" hidden="1" customWidth="1"/>
    <col min="15" max="15" width="3.5703125" style="3" hidden="1" customWidth="1"/>
    <col min="16" max="20" width="11.42578125" style="3" hidden="1" customWidth="1" outlineLevel="1"/>
    <col min="21" max="21" width="3.7109375" style="3" hidden="1" customWidth="1" outlineLevel="1"/>
    <col min="22" max="22" width="12.85546875" style="3" customWidth="1" collapsed="1"/>
    <col min="23" max="25" width="12.85546875" style="3" customWidth="1"/>
    <col min="26" max="16384" width="11.42578125" style="3"/>
  </cols>
  <sheetData>
    <row r="1" spans="1:25" x14ac:dyDescent="0.3">
      <c r="A1" s="57" t="s">
        <v>10</v>
      </c>
      <c r="B1" s="58"/>
      <c r="C1" s="58"/>
      <c r="D1" s="58"/>
      <c r="E1" s="58"/>
      <c r="F1" s="58"/>
      <c r="G1" s="58"/>
      <c r="H1" s="58"/>
      <c r="I1" s="58"/>
      <c r="J1" s="58"/>
      <c r="K1" s="58"/>
      <c r="L1" s="58"/>
      <c r="M1" s="58"/>
      <c r="N1" s="58"/>
      <c r="O1" s="58"/>
      <c r="P1" s="58"/>
      <c r="Q1" s="58"/>
      <c r="R1" s="58"/>
      <c r="S1" s="58"/>
      <c r="T1" s="58"/>
      <c r="U1" s="58"/>
      <c r="V1" s="58"/>
      <c r="W1" s="58"/>
      <c r="X1" s="58"/>
      <c r="Y1" s="59"/>
    </row>
    <row r="2" spans="1:25" s="1" customFormat="1" ht="20.25" customHeight="1" x14ac:dyDescent="0.3">
      <c r="A2" s="66"/>
      <c r="B2" s="67"/>
      <c r="C2" s="52" t="s">
        <v>9</v>
      </c>
      <c r="D2" s="53"/>
      <c r="E2" s="53"/>
      <c r="F2" s="53"/>
      <c r="G2" s="53"/>
      <c r="H2" s="53"/>
      <c r="I2" s="53"/>
      <c r="J2" s="53"/>
      <c r="K2" s="53"/>
      <c r="L2" s="53"/>
      <c r="M2" s="53"/>
      <c r="N2" s="53"/>
      <c r="O2" s="53"/>
      <c r="P2" s="53"/>
      <c r="Q2" s="53"/>
      <c r="R2" s="53"/>
      <c r="S2" s="53"/>
      <c r="T2" s="53"/>
      <c r="U2" s="53"/>
      <c r="V2" s="53"/>
      <c r="W2" s="53"/>
      <c r="X2" s="53"/>
      <c r="Y2" s="54"/>
    </row>
    <row r="3" spans="1:25" s="1" customFormat="1" ht="42.75" customHeight="1" x14ac:dyDescent="0.3">
      <c r="A3" s="68"/>
      <c r="B3" s="69"/>
      <c r="C3" s="70" t="s">
        <v>32</v>
      </c>
      <c r="D3" s="71"/>
      <c r="E3" s="71"/>
      <c r="F3" s="71"/>
      <c r="G3" s="71"/>
      <c r="H3" s="71"/>
      <c r="I3" s="71"/>
      <c r="J3" s="71"/>
      <c r="K3" s="71"/>
      <c r="L3" s="71"/>
      <c r="M3" s="71"/>
      <c r="N3" s="71"/>
      <c r="O3" s="71"/>
      <c r="P3" s="71"/>
      <c r="Q3" s="71"/>
      <c r="R3" s="71"/>
      <c r="S3" s="71"/>
      <c r="T3" s="71"/>
      <c r="U3" s="71"/>
      <c r="V3" s="71"/>
      <c r="W3" s="71"/>
      <c r="X3" s="71"/>
      <c r="Y3" s="72"/>
    </row>
    <row r="4" spans="1:25" ht="17.25" thickBot="1" x14ac:dyDescent="0.35">
      <c r="A4" s="2"/>
    </row>
    <row r="5" spans="1:25" ht="28.5" customHeight="1" x14ac:dyDescent="0.3">
      <c r="A5" s="63" t="s">
        <v>18</v>
      </c>
      <c r="B5" s="64"/>
      <c r="C5" s="64"/>
      <c r="D5" s="65"/>
      <c r="F5" s="60" t="s">
        <v>11</v>
      </c>
      <c r="G5" s="61"/>
      <c r="H5" s="61"/>
      <c r="I5" s="62"/>
      <c r="K5" s="60" t="s">
        <v>12</v>
      </c>
      <c r="L5" s="61"/>
      <c r="M5" s="61"/>
      <c r="N5" s="62"/>
      <c r="P5" s="43" t="s">
        <v>40</v>
      </c>
      <c r="Q5" s="43" t="s">
        <v>15</v>
      </c>
      <c r="R5" s="43" t="s">
        <v>41</v>
      </c>
      <c r="S5" s="43" t="s">
        <v>16</v>
      </c>
      <c r="T5" s="44" t="s">
        <v>17</v>
      </c>
      <c r="V5" s="60" t="s">
        <v>9</v>
      </c>
      <c r="W5" s="61"/>
      <c r="X5" s="61"/>
      <c r="Y5" s="62"/>
    </row>
    <row r="6" spans="1:25" ht="38.25" x14ac:dyDescent="0.3">
      <c r="A6" s="7" t="s">
        <v>0</v>
      </c>
      <c r="B6" s="7" t="s">
        <v>8</v>
      </c>
      <c r="C6" s="7" t="s">
        <v>1</v>
      </c>
      <c r="D6" s="7" t="s">
        <v>2</v>
      </c>
      <c r="F6" s="8" t="s">
        <v>4</v>
      </c>
      <c r="G6" s="8" t="s">
        <v>5</v>
      </c>
      <c r="H6" s="8" t="s">
        <v>6</v>
      </c>
      <c r="I6" s="8" t="s">
        <v>7</v>
      </c>
      <c r="K6" s="8" t="s">
        <v>4</v>
      </c>
      <c r="L6" s="8" t="s">
        <v>5</v>
      </c>
      <c r="M6" s="8" t="s">
        <v>6</v>
      </c>
      <c r="N6" s="8" t="s">
        <v>7</v>
      </c>
      <c r="P6" s="17" t="s">
        <v>4</v>
      </c>
      <c r="Q6" s="17" t="s">
        <v>4</v>
      </c>
      <c r="R6" s="17" t="s">
        <v>4</v>
      </c>
      <c r="S6" s="36">
        <v>0.35</v>
      </c>
      <c r="T6" s="17" t="s">
        <v>4</v>
      </c>
      <c r="V6" s="8" t="s">
        <v>4</v>
      </c>
      <c r="W6" s="8" t="s">
        <v>5</v>
      </c>
      <c r="X6" s="8" t="s">
        <v>6</v>
      </c>
      <c r="Y6" s="8" t="s">
        <v>7</v>
      </c>
    </row>
    <row r="7" spans="1:25" ht="22.5" customHeight="1" x14ac:dyDescent="0.3">
      <c r="A7" s="9">
        <v>1</v>
      </c>
      <c r="B7" s="10" t="s">
        <v>23</v>
      </c>
      <c r="C7" s="9" t="s">
        <v>29</v>
      </c>
      <c r="D7" s="9">
        <v>8</v>
      </c>
      <c r="F7" s="12">
        <v>2450000</v>
      </c>
      <c r="G7" s="12">
        <f>+F7*19%</f>
        <v>465500</v>
      </c>
      <c r="H7" s="12">
        <f>+G7+F7</f>
        <v>2915500</v>
      </c>
      <c r="I7" s="12">
        <f>+H7*D7</f>
        <v>23324000</v>
      </c>
      <c r="K7" s="12"/>
      <c r="L7" s="12">
        <f>+K7*19%</f>
        <v>0</v>
      </c>
      <c r="M7" s="12">
        <f>+L7+K7</f>
        <v>0</v>
      </c>
      <c r="N7" s="12">
        <f>+M7*D7</f>
        <v>0</v>
      </c>
      <c r="P7" s="18">
        <f>ROUND(MIN(F7,K7),0)</f>
        <v>2450000</v>
      </c>
      <c r="Q7" s="18">
        <f>ROUND(AVERAGE(F7,K7),0)</f>
        <v>2450000</v>
      </c>
      <c r="R7" s="18">
        <f>+MAX(F7,K7)</f>
        <v>2450000</v>
      </c>
      <c r="S7" s="19">
        <f>+(R7/P7)-1</f>
        <v>0</v>
      </c>
      <c r="T7" s="18">
        <f>+ROUND(AVERAGE(P7,Q7),0)</f>
        <v>2450000</v>
      </c>
      <c r="V7" s="12">
        <f>+Q7</f>
        <v>2450000</v>
      </c>
      <c r="W7" s="12">
        <f>ROUND(V7*19%,0)</f>
        <v>465500</v>
      </c>
      <c r="X7" s="12">
        <f>+W7+V7</f>
        <v>2915500</v>
      </c>
      <c r="Y7" s="12">
        <f t="shared" ref="Y7:Y12" si="0">+X7*D7</f>
        <v>23324000</v>
      </c>
    </row>
    <row r="8" spans="1:25" ht="22.5" customHeight="1" x14ac:dyDescent="0.3">
      <c r="A8" s="9">
        <v>2</v>
      </c>
      <c r="B8" s="10" t="s">
        <v>24</v>
      </c>
      <c r="C8" s="9" t="s">
        <v>30</v>
      </c>
      <c r="D8" s="9">
        <v>18</v>
      </c>
      <c r="F8" s="12">
        <v>1620000</v>
      </c>
      <c r="G8" s="12">
        <f t="shared" ref="G8:G10" si="1">+F8*19%</f>
        <v>307800</v>
      </c>
      <c r="H8" s="12">
        <f t="shared" ref="H8:H10" si="2">+G8+F8</f>
        <v>1927800</v>
      </c>
      <c r="I8" s="12">
        <f t="shared" ref="I8:I10" si="3">+H8*D8</f>
        <v>34700400</v>
      </c>
      <c r="K8" s="12"/>
      <c r="L8" s="12">
        <f t="shared" ref="L8:L10" si="4">+K8*19%</f>
        <v>0</v>
      </c>
      <c r="M8" s="12">
        <f t="shared" ref="M8:M10" si="5">+L8+K8</f>
        <v>0</v>
      </c>
      <c r="N8" s="12">
        <f t="shared" ref="N8:N10" si="6">+M8*D8</f>
        <v>0</v>
      </c>
      <c r="P8" s="18">
        <f t="shared" ref="P8:P12" si="7">ROUND(MIN(F8,K8),0)</f>
        <v>1620000</v>
      </c>
      <c r="Q8" s="18">
        <f t="shared" ref="Q8:Q12" si="8">ROUND(AVERAGE(F8,K8),0)</f>
        <v>1620000</v>
      </c>
      <c r="R8" s="18">
        <f t="shared" ref="R8:R12" si="9">+MAX(F8,K8)</f>
        <v>1620000</v>
      </c>
      <c r="S8" s="19">
        <f t="shared" ref="S8:S10" si="10">+(R8/P8)-1</f>
        <v>0</v>
      </c>
      <c r="T8" s="18">
        <f t="shared" ref="T8:T10" si="11">+ROUND(AVERAGE(P8,Q8),0)</f>
        <v>1620000</v>
      </c>
      <c r="V8" s="12">
        <f t="shared" ref="V8:V9" si="12">+Q8</f>
        <v>1620000</v>
      </c>
      <c r="W8" s="12">
        <f t="shared" ref="W8:W10" si="13">ROUND(V8*19%,0)</f>
        <v>307800</v>
      </c>
      <c r="X8" s="12">
        <f t="shared" ref="X8:X10" si="14">+W8+V8</f>
        <v>1927800</v>
      </c>
      <c r="Y8" s="12">
        <f t="shared" si="0"/>
        <v>34700400</v>
      </c>
    </row>
    <row r="9" spans="1:25" ht="22.5" customHeight="1" x14ac:dyDescent="0.3">
      <c r="A9" s="9">
        <v>3</v>
      </c>
      <c r="B9" s="10" t="s">
        <v>25</v>
      </c>
      <c r="C9" s="9" t="s">
        <v>31</v>
      </c>
      <c r="D9" s="9">
        <v>6</v>
      </c>
      <c r="F9" s="12">
        <v>2500000</v>
      </c>
      <c r="G9" s="12">
        <f t="shared" si="1"/>
        <v>475000</v>
      </c>
      <c r="H9" s="12">
        <f t="shared" si="2"/>
        <v>2975000</v>
      </c>
      <c r="I9" s="12">
        <f t="shared" si="3"/>
        <v>17850000</v>
      </c>
      <c r="K9" s="12"/>
      <c r="L9" s="12">
        <f t="shared" si="4"/>
        <v>0</v>
      </c>
      <c r="M9" s="12">
        <f t="shared" si="5"/>
        <v>0</v>
      </c>
      <c r="N9" s="12">
        <f t="shared" si="6"/>
        <v>0</v>
      </c>
      <c r="P9" s="18">
        <f t="shared" si="7"/>
        <v>2500000</v>
      </c>
      <c r="Q9" s="18">
        <f t="shared" si="8"/>
        <v>2500000</v>
      </c>
      <c r="R9" s="18">
        <f t="shared" si="9"/>
        <v>2500000</v>
      </c>
      <c r="S9" s="19">
        <f t="shared" si="10"/>
        <v>0</v>
      </c>
      <c r="T9" s="18">
        <f t="shared" si="11"/>
        <v>2500000</v>
      </c>
      <c r="V9" s="12">
        <f t="shared" si="12"/>
        <v>2500000</v>
      </c>
      <c r="W9" s="12">
        <f t="shared" si="13"/>
        <v>475000</v>
      </c>
      <c r="X9" s="12">
        <f t="shared" si="14"/>
        <v>2975000</v>
      </c>
      <c r="Y9" s="12">
        <f t="shared" si="0"/>
        <v>17850000</v>
      </c>
    </row>
    <row r="10" spans="1:25" ht="22.5" customHeight="1" x14ac:dyDescent="0.3">
      <c r="A10" s="9">
        <v>4</v>
      </c>
      <c r="B10" s="10" t="s">
        <v>26</v>
      </c>
      <c r="C10" s="9" t="s">
        <v>31</v>
      </c>
      <c r="D10" s="9">
        <v>5</v>
      </c>
      <c r="F10" s="12">
        <v>1850000</v>
      </c>
      <c r="G10" s="12">
        <f t="shared" si="1"/>
        <v>351500</v>
      </c>
      <c r="H10" s="12">
        <f t="shared" si="2"/>
        <v>2201500</v>
      </c>
      <c r="I10" s="12">
        <f t="shared" si="3"/>
        <v>11007500</v>
      </c>
      <c r="K10" s="12"/>
      <c r="L10" s="12">
        <f t="shared" si="4"/>
        <v>0</v>
      </c>
      <c r="M10" s="12">
        <f t="shared" si="5"/>
        <v>0</v>
      </c>
      <c r="N10" s="12">
        <f t="shared" si="6"/>
        <v>0</v>
      </c>
      <c r="P10" s="18">
        <f t="shared" si="7"/>
        <v>1850000</v>
      </c>
      <c r="Q10" s="18">
        <f t="shared" si="8"/>
        <v>1850000</v>
      </c>
      <c r="R10" s="18">
        <f t="shared" si="9"/>
        <v>1850000</v>
      </c>
      <c r="S10" s="19">
        <f t="shared" si="10"/>
        <v>0</v>
      </c>
      <c r="T10" s="18">
        <f t="shared" si="11"/>
        <v>1850000</v>
      </c>
      <c r="V10" s="12">
        <f>+Q10</f>
        <v>1850000</v>
      </c>
      <c r="W10" s="12">
        <f t="shared" si="13"/>
        <v>351500</v>
      </c>
      <c r="X10" s="12">
        <f t="shared" si="14"/>
        <v>2201500</v>
      </c>
      <c r="Y10" s="12">
        <f t="shared" si="0"/>
        <v>11007500</v>
      </c>
    </row>
    <row r="11" spans="1:25" ht="22.5" customHeight="1" x14ac:dyDescent="0.3">
      <c r="A11" s="9">
        <v>5</v>
      </c>
      <c r="B11" s="10" t="s">
        <v>27</v>
      </c>
      <c r="C11" s="9" t="s">
        <v>31</v>
      </c>
      <c r="D11" s="9">
        <v>4</v>
      </c>
      <c r="F11" s="12">
        <v>2700000</v>
      </c>
      <c r="G11" s="12">
        <f t="shared" ref="G11" si="15">+F11*19%</f>
        <v>513000</v>
      </c>
      <c r="H11" s="12">
        <f t="shared" ref="H11" si="16">+G11+F11</f>
        <v>3213000</v>
      </c>
      <c r="I11" s="12">
        <f t="shared" ref="I11" si="17">+H11*D11</f>
        <v>12852000</v>
      </c>
      <c r="K11" s="12"/>
      <c r="L11" s="12">
        <f t="shared" ref="L11" si="18">+K11*19%</f>
        <v>0</v>
      </c>
      <c r="M11" s="12">
        <f t="shared" ref="M11" si="19">+L11+K11</f>
        <v>0</v>
      </c>
      <c r="N11" s="12">
        <f t="shared" ref="N11" si="20">+M11*D11</f>
        <v>0</v>
      </c>
      <c r="P11" s="18">
        <f t="shared" si="7"/>
        <v>2700000</v>
      </c>
      <c r="Q11" s="18">
        <f t="shared" si="8"/>
        <v>2700000</v>
      </c>
      <c r="R11" s="18">
        <f t="shared" si="9"/>
        <v>2700000</v>
      </c>
      <c r="S11" s="19">
        <f t="shared" ref="S11" si="21">+(R11/P11)-1</f>
        <v>0</v>
      </c>
      <c r="T11" s="18">
        <f t="shared" ref="T11" si="22">+ROUND(AVERAGE(P11,Q11),0)</f>
        <v>2700000</v>
      </c>
      <c r="V11" s="16">
        <f t="shared" ref="V11" si="23">+Q11</f>
        <v>2700000</v>
      </c>
      <c r="W11" s="16">
        <f t="shared" ref="W11" si="24">ROUND(V11*19%,0)</f>
        <v>513000</v>
      </c>
      <c r="X11" s="16">
        <f t="shared" ref="X11" si="25">+W11+V11</f>
        <v>3213000</v>
      </c>
      <c r="Y11" s="12">
        <f t="shared" si="0"/>
        <v>12852000</v>
      </c>
    </row>
    <row r="12" spans="1:25" ht="22.5" customHeight="1" x14ac:dyDescent="0.3">
      <c r="A12" s="37">
        <v>6</v>
      </c>
      <c r="B12" s="10" t="s">
        <v>28</v>
      </c>
      <c r="C12" s="9" t="s">
        <v>30</v>
      </c>
      <c r="D12" s="9">
        <v>3</v>
      </c>
      <c r="F12" s="16">
        <v>1380000</v>
      </c>
      <c r="G12" s="16">
        <f t="shared" ref="G12" si="26">+F12*19%</f>
        <v>262200</v>
      </c>
      <c r="H12" s="16">
        <f t="shared" ref="H12" si="27">+G12+F12</f>
        <v>1642200</v>
      </c>
      <c r="I12" s="12">
        <f t="shared" ref="I12" si="28">+H12*D12</f>
        <v>4926600</v>
      </c>
      <c r="K12" s="16"/>
      <c r="L12" s="16">
        <f t="shared" ref="L12" si="29">+K12*19%</f>
        <v>0</v>
      </c>
      <c r="M12" s="16">
        <f t="shared" ref="M12" si="30">+L12+K12</f>
        <v>0</v>
      </c>
      <c r="N12" s="12">
        <f t="shared" ref="N12" si="31">+M12*D12</f>
        <v>0</v>
      </c>
      <c r="P12" s="18">
        <f t="shared" si="7"/>
        <v>1380000</v>
      </c>
      <c r="Q12" s="18">
        <f t="shared" si="8"/>
        <v>1380000</v>
      </c>
      <c r="R12" s="18">
        <f t="shared" si="9"/>
        <v>1380000</v>
      </c>
      <c r="S12" s="19">
        <f t="shared" ref="S12" si="32">+(R12/P12)-1</f>
        <v>0</v>
      </c>
      <c r="T12" s="18">
        <f t="shared" ref="T12" si="33">+ROUND(AVERAGE(P12,Q12),0)</f>
        <v>1380000</v>
      </c>
      <c r="V12" s="16">
        <f t="shared" ref="V12" si="34">+Q12</f>
        <v>1380000</v>
      </c>
      <c r="W12" s="16">
        <f t="shared" ref="W12" si="35">ROUND(V12*19%,0)</f>
        <v>262200</v>
      </c>
      <c r="X12" s="16">
        <f t="shared" ref="X12" si="36">+W12+V12</f>
        <v>1642200</v>
      </c>
      <c r="Y12" s="12">
        <f t="shared" si="0"/>
        <v>4926600</v>
      </c>
    </row>
    <row r="13" spans="1:25" ht="26.25" customHeight="1" x14ac:dyDescent="0.3">
      <c r="A13" s="49" t="s">
        <v>3</v>
      </c>
      <c r="B13" s="50"/>
      <c r="C13" s="50"/>
      <c r="D13" s="51"/>
      <c r="F13" s="4"/>
      <c r="G13" s="5"/>
      <c r="H13" s="6"/>
      <c r="I13" s="42">
        <f>SUM(I7:I12)</f>
        <v>104660500</v>
      </c>
      <c r="K13" s="4"/>
      <c r="L13" s="5"/>
      <c r="M13" s="6"/>
      <c r="N13" s="42">
        <f>SUM(N7:N12)</f>
        <v>0</v>
      </c>
      <c r="V13" s="4"/>
      <c r="W13" s="5"/>
      <c r="X13" s="6"/>
      <c r="Y13" s="13">
        <f>SUM(Y7:Y12)</f>
        <v>104660500</v>
      </c>
    </row>
    <row r="15" spans="1:25" s="20" customFormat="1" ht="12.75" x14ac:dyDescent="0.2">
      <c r="B15" s="27" t="s">
        <v>19</v>
      </c>
      <c r="C15" s="27"/>
      <c r="D15" s="28" t="s">
        <v>20</v>
      </c>
      <c r="E15" s="28"/>
      <c r="F15" s="28"/>
      <c r="G15" s="28" t="s">
        <v>21</v>
      </c>
      <c r="H15" s="28"/>
      <c r="L15" s="21"/>
    </row>
    <row r="16" spans="1:25" s="20" customFormat="1" ht="24" customHeight="1" x14ac:dyDescent="0.2">
      <c r="B16" s="55" t="s">
        <v>45</v>
      </c>
      <c r="C16" s="55"/>
      <c r="D16" s="55"/>
      <c r="E16" s="55"/>
      <c r="F16" s="55"/>
      <c r="G16" s="55"/>
      <c r="H16" s="55"/>
    </row>
    <row r="17" spans="2:8" s="20" customFormat="1" ht="24" customHeight="1" x14ac:dyDescent="0.2">
      <c r="B17" s="55" t="s">
        <v>46</v>
      </c>
      <c r="C17" s="55"/>
      <c r="D17" s="55"/>
      <c r="E17" s="55"/>
      <c r="F17" s="55"/>
      <c r="G17" s="55"/>
      <c r="H17" s="55"/>
    </row>
    <row r="18" spans="2:8" s="20" customFormat="1" ht="45.75" customHeight="1" x14ac:dyDescent="0.2">
      <c r="B18" s="56" t="s">
        <v>22</v>
      </c>
      <c r="C18" s="56"/>
      <c r="D18" s="56"/>
      <c r="E18" s="56"/>
      <c r="F18" s="56"/>
      <c r="G18" s="56"/>
      <c r="H18" s="56"/>
    </row>
    <row r="19" spans="2:8" s="20" customFormat="1" ht="12.75" x14ac:dyDescent="0.2">
      <c r="B19" s="22"/>
      <c r="C19" s="22"/>
      <c r="D19" s="22"/>
      <c r="E19" s="22"/>
      <c r="F19" s="22"/>
      <c r="G19" s="22"/>
      <c r="H19" s="22"/>
    </row>
    <row r="20" spans="2:8" s="20" customFormat="1" ht="12.75" x14ac:dyDescent="0.2">
      <c r="B20" s="29" t="s">
        <v>47</v>
      </c>
      <c r="C20" s="23"/>
      <c r="D20" s="22"/>
      <c r="E20" s="24"/>
      <c r="F20" s="24"/>
      <c r="G20" s="22"/>
      <c r="H20" s="22"/>
    </row>
    <row r="21" spans="2:8" s="20" customFormat="1" ht="12.75" x14ac:dyDescent="0.2">
      <c r="B21" s="30" t="s">
        <v>39</v>
      </c>
      <c r="C21" s="25"/>
      <c r="D21" s="22"/>
      <c r="E21" s="24"/>
      <c r="F21" s="24"/>
      <c r="G21" s="22"/>
      <c r="H21" s="22"/>
    </row>
    <row r="22" spans="2:8" s="20" customFormat="1" ht="12.75" x14ac:dyDescent="0.2"/>
    <row r="23" spans="2:8" s="26" customFormat="1" ht="20.100000000000001" customHeight="1" x14ac:dyDescent="0.2"/>
    <row r="24" spans="2:8" s="26" customFormat="1" ht="20.100000000000001" customHeight="1" x14ac:dyDescent="0.2"/>
    <row r="25" spans="2:8" s="26" customFormat="1" ht="20.100000000000001" customHeight="1" x14ac:dyDescent="0.2"/>
    <row r="26" spans="2:8" s="26" customFormat="1" ht="20.100000000000001" customHeight="1" x14ac:dyDescent="0.2"/>
    <row r="27" spans="2:8" s="26" customFormat="1" ht="20.100000000000001" customHeight="1" x14ac:dyDescent="0.2"/>
  </sheetData>
  <mergeCells count="12">
    <mergeCell ref="A1:Y1"/>
    <mergeCell ref="F5:I5"/>
    <mergeCell ref="K5:N5"/>
    <mergeCell ref="V5:Y5"/>
    <mergeCell ref="A5:D5"/>
    <mergeCell ref="A2:B3"/>
    <mergeCell ref="C3:Y3"/>
    <mergeCell ref="A13:D13"/>
    <mergeCell ref="C2:Y2"/>
    <mergeCell ref="B16:H16"/>
    <mergeCell ref="B17:H17"/>
    <mergeCell ref="B18:H18"/>
  </mergeCell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7"/>
  <sheetViews>
    <sheetView workbookViewId="0">
      <selection activeCell="C4" sqref="C4"/>
    </sheetView>
  </sheetViews>
  <sheetFormatPr baseColWidth="10" defaultRowHeight="16.5" x14ac:dyDescent="0.3"/>
  <cols>
    <col min="1" max="1" width="7.5703125" style="3" customWidth="1"/>
    <col min="2" max="2" width="43.5703125" style="3" customWidth="1"/>
    <col min="3" max="3" width="17" style="3" customWidth="1"/>
    <col min="4" max="4" width="13.42578125" style="3" customWidth="1"/>
    <col min="5" max="5" width="3.85546875" style="3" customWidth="1"/>
    <col min="6" max="6" width="20.28515625" style="3" customWidth="1"/>
    <col min="7" max="7" width="2.28515625" style="3" customWidth="1"/>
    <col min="8" max="9" width="7.85546875" style="3" customWidth="1"/>
    <col min="10" max="10" width="3.42578125" style="3" customWidth="1"/>
    <col min="11" max="11" width="18" style="3" customWidth="1"/>
    <col min="12" max="12" width="3" style="3" customWidth="1"/>
    <col min="13" max="14" width="7.85546875" style="3" customWidth="1"/>
    <col min="15" max="15" width="3.5703125" style="3" customWidth="1"/>
    <col min="16" max="16" width="15.28515625" style="3" customWidth="1"/>
    <col min="17" max="17" width="12.28515625" style="3" customWidth="1"/>
    <col min="18" max="19" width="15.28515625" style="3" customWidth="1"/>
    <col min="20" max="16384" width="11.42578125" style="3"/>
  </cols>
  <sheetData>
    <row r="1" spans="1:24" x14ac:dyDescent="0.3">
      <c r="A1" s="57" t="s">
        <v>13</v>
      </c>
      <c r="B1" s="58"/>
      <c r="C1" s="58"/>
      <c r="D1" s="58"/>
      <c r="E1" s="58"/>
      <c r="F1" s="58"/>
      <c r="G1" s="58"/>
      <c r="H1" s="58"/>
      <c r="I1" s="58"/>
      <c r="J1" s="58"/>
      <c r="K1" s="58"/>
      <c r="L1" s="58"/>
      <c r="M1" s="58"/>
      <c r="N1" s="58"/>
      <c r="O1" s="58"/>
      <c r="P1" s="58"/>
      <c r="Q1" s="58"/>
      <c r="R1" s="58"/>
      <c r="S1" s="59"/>
    </row>
    <row r="2" spans="1:24" s="1" customFormat="1" ht="20.25" customHeight="1" x14ac:dyDescent="0.3">
      <c r="A2" s="66"/>
      <c r="B2" s="67"/>
      <c r="C2" s="52" t="s">
        <v>33</v>
      </c>
      <c r="D2" s="53"/>
      <c r="E2" s="53"/>
      <c r="F2" s="53"/>
      <c r="G2" s="53"/>
      <c r="H2" s="53"/>
      <c r="I2" s="53"/>
      <c r="J2" s="53"/>
      <c r="K2" s="53"/>
      <c r="L2" s="53"/>
      <c r="M2" s="53"/>
      <c r="N2" s="53"/>
      <c r="O2" s="53"/>
      <c r="P2" s="53"/>
      <c r="Q2" s="53"/>
      <c r="R2" s="53"/>
      <c r="S2" s="54"/>
    </row>
    <row r="3" spans="1:24" s="1" customFormat="1" ht="60.75" customHeight="1" x14ac:dyDescent="0.3">
      <c r="A3" s="68"/>
      <c r="B3" s="69"/>
      <c r="C3" s="70" t="s">
        <v>32</v>
      </c>
      <c r="D3" s="71"/>
      <c r="E3" s="71"/>
      <c r="F3" s="71"/>
      <c r="G3" s="71"/>
      <c r="H3" s="71"/>
      <c r="I3" s="71"/>
      <c r="J3" s="71"/>
      <c r="K3" s="71"/>
      <c r="L3" s="71"/>
      <c r="M3" s="71"/>
      <c r="N3" s="71"/>
      <c r="O3" s="71"/>
      <c r="P3" s="71"/>
      <c r="Q3" s="71"/>
      <c r="R3" s="71"/>
      <c r="S3" s="72"/>
    </row>
    <row r="4" spans="1:24" x14ac:dyDescent="0.3">
      <c r="A4" s="2"/>
    </row>
    <row r="5" spans="1:24" ht="28.5" customHeight="1" x14ac:dyDescent="0.3">
      <c r="A5" s="78" t="s">
        <v>18</v>
      </c>
      <c r="B5" s="79"/>
      <c r="C5" s="79"/>
      <c r="D5" s="80"/>
      <c r="F5" s="14" t="s">
        <v>42</v>
      </c>
      <c r="H5" s="39">
        <v>44743</v>
      </c>
      <c r="I5" s="39">
        <v>44986</v>
      </c>
      <c r="K5" s="14" t="s">
        <v>34</v>
      </c>
      <c r="M5" s="39">
        <v>44287</v>
      </c>
      <c r="N5" s="39">
        <v>44986</v>
      </c>
      <c r="P5" s="81" t="s">
        <v>33</v>
      </c>
      <c r="Q5" s="82"/>
      <c r="R5" s="82"/>
      <c r="S5" s="83"/>
    </row>
    <row r="6" spans="1:24" ht="31.5" customHeight="1" x14ac:dyDescent="0.3">
      <c r="A6" s="38" t="s">
        <v>0</v>
      </c>
      <c r="B6" s="38" t="s">
        <v>8</v>
      </c>
      <c r="C6" s="38" t="s">
        <v>1</v>
      </c>
      <c r="D6" s="38" t="s">
        <v>2</v>
      </c>
      <c r="F6" s="8" t="s">
        <v>38</v>
      </c>
      <c r="H6" s="40">
        <v>1.2027000000000001</v>
      </c>
      <c r="I6" s="40">
        <v>1.3177000000000001</v>
      </c>
      <c r="K6" s="8" t="s">
        <v>38</v>
      </c>
      <c r="M6" s="40">
        <v>1.0775999999999999</v>
      </c>
      <c r="N6" s="40">
        <v>1.3177000000000001</v>
      </c>
      <c r="P6" s="8" t="s">
        <v>4</v>
      </c>
      <c r="Q6" s="8" t="s">
        <v>5</v>
      </c>
      <c r="R6" s="8" t="s">
        <v>6</v>
      </c>
      <c r="S6" s="8" t="s">
        <v>7</v>
      </c>
    </row>
    <row r="7" spans="1:24" ht="19.5" customHeight="1" x14ac:dyDescent="0.3">
      <c r="A7" s="9">
        <v>1</v>
      </c>
      <c r="B7" s="10" t="str">
        <f>+'ANEXO 1'!B7</f>
        <v xml:space="preserve">Cocaína clorhidrato </v>
      </c>
      <c r="C7" s="9" t="str">
        <f>+'ANEXO 1'!C7</f>
        <v>Frasco x 100 mg</v>
      </c>
      <c r="D7" s="9">
        <f>+'ANEXO 1'!D7</f>
        <v>8</v>
      </c>
      <c r="F7" s="12">
        <v>1900000</v>
      </c>
      <c r="H7" s="73">
        <f>ROUND($I$6/$H$6*F7,0)</f>
        <v>2081675</v>
      </c>
      <c r="I7" s="74"/>
      <c r="K7" s="45"/>
      <c r="M7" s="76"/>
      <c r="N7" s="77"/>
      <c r="P7" s="15">
        <f>+H7</f>
        <v>2081675</v>
      </c>
      <c r="Q7" s="12">
        <f>+ROUND(P7*19%,0)</f>
        <v>395518</v>
      </c>
      <c r="R7" s="12">
        <f>+Q7+P7</f>
        <v>2477193</v>
      </c>
      <c r="S7" s="12">
        <f t="shared" ref="S7:S12" si="0">+R7*D7</f>
        <v>19817544</v>
      </c>
    </row>
    <row r="8" spans="1:24" ht="19.5" customHeight="1" x14ac:dyDescent="0.3">
      <c r="A8" s="9">
        <v>2</v>
      </c>
      <c r="B8" s="10" t="str">
        <f>+'ANEXO 1'!B8</f>
        <v>(-)-DELTA 9-Tetrahidrocannabinol solución en etanol</v>
      </c>
      <c r="C8" s="9" t="str">
        <f>+'ANEXO 1'!C8</f>
        <v>Ampolla x 1 mg/mL</v>
      </c>
      <c r="D8" s="9">
        <f>+'ANEXO 1'!D8</f>
        <v>18</v>
      </c>
      <c r="F8" s="12">
        <v>1448000</v>
      </c>
      <c r="H8" s="73">
        <f t="shared" ref="H8:H10" si="1">ROUND($I$6/$H$6*F8,0)</f>
        <v>1586455</v>
      </c>
      <c r="I8" s="74"/>
      <c r="K8" s="45"/>
      <c r="M8" s="76"/>
      <c r="N8" s="77"/>
      <c r="P8" s="15">
        <f>+H8</f>
        <v>1586455</v>
      </c>
      <c r="Q8" s="12">
        <f t="shared" ref="Q8:Q12" si="2">+ROUND(P8*19%,0)</f>
        <v>301426</v>
      </c>
      <c r="R8" s="12">
        <f t="shared" ref="R8:R12" si="3">+Q8+P8</f>
        <v>1887881</v>
      </c>
      <c r="S8" s="12">
        <f t="shared" si="0"/>
        <v>33981858</v>
      </c>
    </row>
    <row r="9" spans="1:24" ht="19.5" customHeight="1" x14ac:dyDescent="0.3">
      <c r="A9" s="9">
        <v>3</v>
      </c>
      <c r="B9" s="10" t="str">
        <f>+'ANEXO 1'!B9</f>
        <v xml:space="preserve">Heroína clorhidrato </v>
      </c>
      <c r="C9" s="9" t="str">
        <f>+'ANEXO 1'!C9</f>
        <v>Frasco x  50 mg</v>
      </c>
      <c r="D9" s="9">
        <f>+'ANEXO 1'!D9</f>
        <v>6</v>
      </c>
      <c r="F9" s="12">
        <v>2323000</v>
      </c>
      <c r="H9" s="73">
        <f t="shared" si="1"/>
        <v>2545121</v>
      </c>
      <c r="I9" s="74"/>
      <c r="K9" s="45"/>
      <c r="M9" s="76"/>
      <c r="N9" s="77"/>
      <c r="P9" s="15">
        <f>+H9</f>
        <v>2545121</v>
      </c>
      <c r="Q9" s="12">
        <f t="shared" si="2"/>
        <v>483573</v>
      </c>
      <c r="R9" s="12">
        <f t="shared" si="3"/>
        <v>3028694</v>
      </c>
      <c r="S9" s="12">
        <f t="shared" si="0"/>
        <v>18172164</v>
      </c>
    </row>
    <row r="10" spans="1:24" ht="19.5" customHeight="1" x14ac:dyDescent="0.3">
      <c r="A10" s="9">
        <v>4</v>
      </c>
      <c r="B10" s="10" t="str">
        <f>+'ANEXO 1'!B10</f>
        <v xml:space="preserve">Cannabidiol </v>
      </c>
      <c r="C10" s="9" t="str">
        <f>+'ANEXO 1'!C10</f>
        <v>Frasco x  50 mg</v>
      </c>
      <c r="D10" s="9">
        <f>+'ANEXO 1'!D10</f>
        <v>5</v>
      </c>
      <c r="F10" s="12">
        <v>1730000</v>
      </c>
      <c r="H10" s="73">
        <f t="shared" si="1"/>
        <v>1895419</v>
      </c>
      <c r="I10" s="74"/>
      <c r="K10" s="45"/>
      <c r="M10" s="76"/>
      <c r="N10" s="77"/>
      <c r="P10" s="15">
        <f>+H10</f>
        <v>1895419</v>
      </c>
      <c r="Q10" s="12">
        <f t="shared" si="2"/>
        <v>360130</v>
      </c>
      <c r="R10" s="12">
        <f t="shared" si="3"/>
        <v>2255549</v>
      </c>
      <c r="S10" s="12">
        <f t="shared" si="0"/>
        <v>11277745</v>
      </c>
    </row>
    <row r="11" spans="1:24" ht="19.5" customHeight="1" x14ac:dyDescent="0.3">
      <c r="A11" s="9">
        <v>5</v>
      </c>
      <c r="B11" s="10" t="str">
        <f>+'ANEXO 1'!B11</f>
        <v xml:space="preserve">Cannabinol  </v>
      </c>
      <c r="C11" s="9" t="str">
        <f>+'ANEXO 1'!C11</f>
        <v>Frasco x  50 mg</v>
      </c>
      <c r="D11" s="9">
        <f>+'ANEXO 1'!D11</f>
        <v>4</v>
      </c>
      <c r="F11" s="12">
        <v>2300000</v>
      </c>
      <c r="H11" s="73">
        <f>ROUND($I$6/$H$6*F11,0)</f>
        <v>2519922</v>
      </c>
      <c r="I11" s="74"/>
      <c r="K11" s="45"/>
      <c r="M11" s="76"/>
      <c r="N11" s="77"/>
      <c r="P11" s="15">
        <f>+H11</f>
        <v>2519922</v>
      </c>
      <c r="Q11" s="16">
        <f t="shared" si="2"/>
        <v>478785</v>
      </c>
      <c r="R11" s="16">
        <f t="shared" si="3"/>
        <v>2998707</v>
      </c>
      <c r="S11" s="12">
        <f t="shared" si="0"/>
        <v>11994828</v>
      </c>
    </row>
    <row r="12" spans="1:24" ht="19.5" customHeight="1" x14ac:dyDescent="0.3">
      <c r="A12" s="37">
        <v>6</v>
      </c>
      <c r="B12" s="10" t="str">
        <f>+'ANEXO 1'!B12</f>
        <v>(-)-DELTA 8-Tetrahidrocannabinol solución en etanol</v>
      </c>
      <c r="C12" s="9" t="str">
        <f>+'ANEXO 1'!C12</f>
        <v>Ampolla x 1 mg/mL</v>
      </c>
      <c r="D12" s="9">
        <f>+'ANEXO 1'!D12</f>
        <v>3</v>
      </c>
      <c r="F12" s="45"/>
      <c r="H12" s="76"/>
      <c r="I12" s="77"/>
      <c r="K12" s="12">
        <v>1301000</v>
      </c>
      <c r="M12" s="73">
        <f>ROUND($N$6/$M$6*K12,0)</f>
        <v>1590876</v>
      </c>
      <c r="N12" s="74"/>
      <c r="P12" s="15">
        <f>+M12</f>
        <v>1590876</v>
      </c>
      <c r="Q12" s="16">
        <f t="shared" si="2"/>
        <v>302266</v>
      </c>
      <c r="R12" s="16">
        <f t="shared" si="3"/>
        <v>1893142</v>
      </c>
      <c r="S12" s="12">
        <f t="shared" si="0"/>
        <v>5679426</v>
      </c>
    </row>
    <row r="13" spans="1:24" ht="26.25" customHeight="1" x14ac:dyDescent="0.3">
      <c r="A13" s="49" t="s">
        <v>3</v>
      </c>
      <c r="B13" s="50"/>
      <c r="C13" s="50"/>
      <c r="D13" s="51"/>
      <c r="F13" s="11"/>
      <c r="H13" s="4"/>
      <c r="I13" s="6"/>
      <c r="K13" s="11"/>
      <c r="M13" s="4"/>
      <c r="N13" s="6"/>
      <c r="P13" s="4"/>
      <c r="Q13" s="5"/>
      <c r="R13" s="6"/>
      <c r="S13" s="13">
        <f>SUM(S7:S12)</f>
        <v>100923565</v>
      </c>
    </row>
    <row r="15" spans="1:24" s="20" customFormat="1" ht="12.75" x14ac:dyDescent="0.2">
      <c r="B15" s="27" t="s">
        <v>19</v>
      </c>
      <c r="C15" s="27"/>
      <c r="D15" s="28"/>
      <c r="E15" s="28"/>
      <c r="F15" s="28"/>
      <c r="G15" s="28"/>
      <c r="H15" s="28"/>
      <c r="I15" s="28"/>
      <c r="J15" s="28"/>
      <c r="K15" s="28"/>
      <c r="L15" s="28"/>
      <c r="M15" s="28"/>
      <c r="N15" s="28"/>
      <c r="O15" s="28" t="s">
        <v>21</v>
      </c>
      <c r="P15" s="28"/>
      <c r="Q15" s="31"/>
      <c r="R15" s="31"/>
      <c r="S15" s="31"/>
      <c r="T15" s="32"/>
    </row>
    <row r="16" spans="1:24" s="20" customFormat="1" ht="34.5" customHeight="1" x14ac:dyDescent="0.2">
      <c r="B16" s="75" t="s">
        <v>36</v>
      </c>
      <c r="C16" s="75"/>
      <c r="D16" s="75"/>
      <c r="E16" s="75"/>
      <c r="F16" s="75"/>
      <c r="G16" s="75"/>
      <c r="H16" s="75"/>
      <c r="I16" s="75"/>
      <c r="J16" s="75"/>
      <c r="K16" s="75"/>
      <c r="L16" s="75"/>
      <c r="M16" s="75"/>
      <c r="N16" s="75"/>
      <c r="O16" s="41"/>
      <c r="P16" s="41"/>
      <c r="Q16" s="41"/>
      <c r="R16" s="41"/>
      <c r="S16" s="41"/>
      <c r="T16" s="41"/>
      <c r="U16" s="41"/>
      <c r="V16" s="41"/>
      <c r="W16" s="41"/>
      <c r="X16" s="41"/>
    </row>
    <row r="17" spans="2:24" s="20" customFormat="1" ht="34.5" customHeight="1" x14ac:dyDescent="0.2">
      <c r="B17" s="75" t="s">
        <v>37</v>
      </c>
      <c r="C17" s="75"/>
      <c r="D17" s="75"/>
      <c r="E17" s="75"/>
      <c r="F17" s="75"/>
      <c r="G17" s="75"/>
      <c r="H17" s="75"/>
      <c r="I17" s="75"/>
      <c r="J17" s="75"/>
      <c r="K17" s="75"/>
      <c r="L17" s="75"/>
      <c r="M17" s="75"/>
      <c r="N17" s="75"/>
      <c r="O17" s="41"/>
      <c r="P17" s="41"/>
      <c r="Q17" s="41"/>
      <c r="R17" s="41"/>
      <c r="S17" s="41"/>
      <c r="T17" s="41"/>
      <c r="U17" s="41"/>
      <c r="V17" s="41"/>
      <c r="W17" s="41"/>
      <c r="X17" s="35"/>
    </row>
    <row r="18" spans="2:24" s="20" customFormat="1" ht="43.5" customHeight="1" x14ac:dyDescent="0.2">
      <c r="B18" s="75" t="s">
        <v>22</v>
      </c>
      <c r="C18" s="75"/>
      <c r="D18" s="75"/>
      <c r="E18" s="75"/>
      <c r="F18" s="75"/>
      <c r="G18" s="75"/>
      <c r="H18" s="75"/>
      <c r="I18" s="75"/>
      <c r="J18" s="75"/>
      <c r="K18" s="75"/>
      <c r="L18" s="75"/>
      <c r="M18" s="75"/>
      <c r="N18" s="75"/>
      <c r="O18" s="41"/>
      <c r="P18" s="41"/>
      <c r="Q18" s="41"/>
      <c r="R18" s="41"/>
      <c r="S18" s="41"/>
      <c r="T18" s="41"/>
      <c r="U18" s="41"/>
      <c r="V18" s="41"/>
      <c r="W18" s="41"/>
      <c r="X18" s="41"/>
    </row>
    <row r="19" spans="2:24" s="20" customFormat="1" ht="12.75" x14ac:dyDescent="0.2">
      <c r="B19" s="33"/>
      <c r="C19" s="33"/>
      <c r="D19" s="33"/>
      <c r="E19" s="33"/>
      <c r="F19" s="33"/>
      <c r="G19" s="33"/>
      <c r="H19" s="33"/>
      <c r="I19" s="33"/>
      <c r="J19" s="33"/>
      <c r="K19" s="33"/>
      <c r="L19" s="33"/>
      <c r="M19" s="33"/>
      <c r="N19" s="33"/>
      <c r="O19" s="33"/>
      <c r="P19" s="33"/>
      <c r="Q19" s="31"/>
      <c r="R19" s="31"/>
      <c r="S19" s="31"/>
      <c r="T19" s="31"/>
    </row>
    <row r="20" spans="2:24" s="20" customFormat="1" ht="12.75" x14ac:dyDescent="0.2">
      <c r="B20" s="29" t="s">
        <v>47</v>
      </c>
      <c r="C20" s="29"/>
      <c r="D20" s="33"/>
      <c r="E20" s="33"/>
      <c r="F20" s="33"/>
      <c r="G20" s="33"/>
      <c r="H20" s="33"/>
      <c r="I20" s="33"/>
      <c r="J20" s="34"/>
      <c r="K20" s="34"/>
      <c r="L20" s="34"/>
      <c r="M20" s="34"/>
      <c r="N20" s="34"/>
      <c r="O20" s="33"/>
      <c r="P20" s="33"/>
      <c r="Q20" s="31"/>
      <c r="R20" s="31"/>
      <c r="S20" s="31"/>
      <c r="T20" s="31"/>
    </row>
    <row r="21" spans="2:24" s="20" customFormat="1" ht="12.75" x14ac:dyDescent="0.2">
      <c r="B21" s="30" t="s">
        <v>39</v>
      </c>
      <c r="C21" s="30"/>
      <c r="D21" s="33"/>
      <c r="E21" s="33"/>
      <c r="F21" s="33"/>
      <c r="G21" s="33"/>
      <c r="H21" s="33"/>
      <c r="I21" s="33"/>
      <c r="J21" s="34"/>
      <c r="K21" s="34"/>
      <c r="L21" s="34"/>
      <c r="M21" s="34"/>
      <c r="N21" s="34"/>
      <c r="O21" s="33"/>
      <c r="P21" s="33"/>
      <c r="Q21" s="31"/>
      <c r="R21" s="31"/>
      <c r="S21" s="31"/>
      <c r="T21" s="31"/>
    </row>
    <row r="22" spans="2:24" s="20" customFormat="1" ht="12.75" x14ac:dyDescent="0.2"/>
    <row r="23" spans="2:24" s="26" customFormat="1" ht="20.100000000000001" customHeight="1" x14ac:dyDescent="0.2"/>
    <row r="24" spans="2:24" s="26" customFormat="1" ht="20.100000000000001" customHeight="1" x14ac:dyDescent="0.2"/>
    <row r="25" spans="2:24" s="26" customFormat="1" ht="20.100000000000001" customHeight="1" x14ac:dyDescent="0.2"/>
    <row r="26" spans="2:24" s="26" customFormat="1" ht="20.100000000000001" customHeight="1" x14ac:dyDescent="0.2"/>
    <row r="27" spans="2:24" s="26" customFormat="1" ht="20.100000000000001" customHeight="1" x14ac:dyDescent="0.2"/>
  </sheetData>
  <mergeCells count="22">
    <mergeCell ref="H7:I7"/>
    <mergeCell ref="H8:I8"/>
    <mergeCell ref="H9:I9"/>
    <mergeCell ref="H10:I10"/>
    <mergeCell ref="H11:I11"/>
    <mergeCell ref="A1:S1"/>
    <mergeCell ref="A2:B3"/>
    <mergeCell ref="C2:S2"/>
    <mergeCell ref="C3:S3"/>
    <mergeCell ref="A5:D5"/>
    <mergeCell ref="P5:S5"/>
    <mergeCell ref="M7:N7"/>
    <mergeCell ref="M8:N8"/>
    <mergeCell ref="M9:N9"/>
    <mergeCell ref="M10:N10"/>
    <mergeCell ref="M11:N11"/>
    <mergeCell ref="M12:N12"/>
    <mergeCell ref="B16:N16"/>
    <mergeCell ref="B17:N17"/>
    <mergeCell ref="B18:N18"/>
    <mergeCell ref="A13:D13"/>
    <mergeCell ref="H12:I12"/>
  </mergeCells>
  <pageMargins left="0.7" right="0.7" top="0.75" bottom="0.75" header="0.3" footer="0.3"/>
  <pageSetup paperSize="9"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7"/>
  <sheetViews>
    <sheetView tabSelected="1" workbookViewId="0">
      <selection activeCell="J5" sqref="J5:M5"/>
    </sheetView>
  </sheetViews>
  <sheetFormatPr baseColWidth="10" defaultRowHeight="16.5" x14ac:dyDescent="0.3"/>
  <cols>
    <col min="1" max="1" width="7.5703125" style="3" customWidth="1"/>
    <col min="2" max="2" width="43.5703125" style="3" customWidth="1"/>
    <col min="3" max="3" width="17" style="3" customWidth="1"/>
    <col min="4" max="4" width="13.42578125" style="3" customWidth="1"/>
    <col min="5" max="5" width="3.42578125" style="3" customWidth="1"/>
    <col min="6" max="6" width="14.5703125" style="3" customWidth="1"/>
    <col min="7" max="7" width="3" style="3" customWidth="1"/>
    <col min="8" max="8" width="14.5703125" style="3" customWidth="1"/>
    <col min="9" max="9" width="3.5703125" style="3" customWidth="1"/>
    <col min="10" max="10" width="15.5703125" style="3" customWidth="1"/>
    <col min="11" max="11" width="11.42578125" style="3" customWidth="1"/>
    <col min="12" max="13" width="15.5703125" style="3" customWidth="1"/>
    <col min="14" max="16384" width="11.42578125" style="3"/>
  </cols>
  <sheetData>
    <row r="1" spans="1:14" x14ac:dyDescent="0.3">
      <c r="A1" s="57" t="s">
        <v>35</v>
      </c>
      <c r="B1" s="58"/>
      <c r="C1" s="58"/>
      <c r="D1" s="58"/>
      <c r="E1" s="58"/>
      <c r="F1" s="58"/>
      <c r="G1" s="58"/>
      <c r="H1" s="58"/>
      <c r="I1" s="58"/>
      <c r="J1" s="58"/>
      <c r="K1" s="58"/>
      <c r="L1" s="58"/>
      <c r="M1" s="59"/>
    </row>
    <row r="2" spans="1:14" s="1" customFormat="1" ht="20.25" customHeight="1" x14ac:dyDescent="0.3">
      <c r="A2" s="66"/>
      <c r="B2" s="67"/>
      <c r="C2" s="52" t="s">
        <v>14</v>
      </c>
      <c r="D2" s="53"/>
      <c r="E2" s="53"/>
      <c r="F2" s="53"/>
      <c r="G2" s="53"/>
      <c r="H2" s="53"/>
      <c r="I2" s="53"/>
      <c r="J2" s="53"/>
      <c r="K2" s="53"/>
      <c r="L2" s="53"/>
      <c r="M2" s="54"/>
    </row>
    <row r="3" spans="1:14" s="1" customFormat="1" ht="60.75" customHeight="1" x14ac:dyDescent="0.3">
      <c r="A3" s="68"/>
      <c r="B3" s="69"/>
      <c r="C3" s="70" t="s">
        <v>32</v>
      </c>
      <c r="D3" s="71"/>
      <c r="E3" s="71"/>
      <c r="F3" s="71"/>
      <c r="G3" s="71"/>
      <c r="H3" s="71"/>
      <c r="I3" s="71"/>
      <c r="J3" s="71"/>
      <c r="K3" s="71"/>
      <c r="L3" s="71"/>
      <c r="M3" s="72"/>
    </row>
    <row r="4" spans="1:14" x14ac:dyDescent="0.3">
      <c r="A4" s="2"/>
    </row>
    <row r="5" spans="1:14" ht="47.25" customHeight="1" x14ac:dyDescent="0.3">
      <c r="A5" s="63" t="s">
        <v>18</v>
      </c>
      <c r="B5" s="64"/>
      <c r="C5" s="64"/>
      <c r="D5" s="65"/>
      <c r="F5" s="14" t="s">
        <v>9</v>
      </c>
      <c r="H5" s="14" t="s">
        <v>33</v>
      </c>
      <c r="J5" s="60" t="s">
        <v>14</v>
      </c>
      <c r="K5" s="61"/>
      <c r="L5" s="61"/>
      <c r="M5" s="62"/>
    </row>
    <row r="6" spans="1:14" ht="30.75" customHeight="1" x14ac:dyDescent="0.3">
      <c r="A6" s="7" t="s">
        <v>0</v>
      </c>
      <c r="B6" s="7" t="s">
        <v>8</v>
      </c>
      <c r="C6" s="7" t="s">
        <v>1</v>
      </c>
      <c r="D6" s="7" t="s">
        <v>2</v>
      </c>
      <c r="F6" s="8" t="s">
        <v>4</v>
      </c>
      <c r="H6" s="8" t="s">
        <v>4</v>
      </c>
      <c r="J6" s="8" t="s">
        <v>4</v>
      </c>
      <c r="K6" s="8" t="s">
        <v>5</v>
      </c>
      <c r="L6" s="8" t="s">
        <v>6</v>
      </c>
      <c r="M6" s="8" t="s">
        <v>7</v>
      </c>
    </row>
    <row r="7" spans="1:14" ht="19.5" customHeight="1" x14ac:dyDescent="0.3">
      <c r="A7" s="9">
        <v>1</v>
      </c>
      <c r="B7" s="10" t="str">
        <f>+'ANEXO 1'!B7</f>
        <v xml:space="preserve">Cocaína clorhidrato </v>
      </c>
      <c r="C7" s="9" t="str">
        <f>+'ANEXO 1'!C7</f>
        <v>Frasco x 100 mg</v>
      </c>
      <c r="D7" s="9">
        <f>+'ANEXO 1'!D7</f>
        <v>8</v>
      </c>
      <c r="F7" s="12">
        <f>+'ANEXO 1'!V7</f>
        <v>2450000</v>
      </c>
      <c r="H7" s="12">
        <f>+'ANEXO 2'!P7</f>
        <v>2081675</v>
      </c>
      <c r="J7" s="15">
        <f>+ROUND(AVERAGE(F7,H7),0)</f>
        <v>2265838</v>
      </c>
      <c r="K7" s="12">
        <f>+ROUND(J7*19%,0)</f>
        <v>430509</v>
      </c>
      <c r="L7" s="12">
        <f>+K7+J7</f>
        <v>2696347</v>
      </c>
      <c r="M7" s="12">
        <f>+L7*D7</f>
        <v>21570776</v>
      </c>
    </row>
    <row r="8" spans="1:14" ht="19.5" customHeight="1" x14ac:dyDescent="0.3">
      <c r="A8" s="9">
        <v>2</v>
      </c>
      <c r="B8" s="10" t="str">
        <f>+'ANEXO 1'!B8</f>
        <v>(-)-DELTA 9-Tetrahidrocannabinol solución en etanol</v>
      </c>
      <c r="C8" s="9" t="str">
        <f>+'ANEXO 1'!C8</f>
        <v>Ampolla x 1 mg/mL</v>
      </c>
      <c r="D8" s="9">
        <f>+'ANEXO 1'!D8</f>
        <v>18</v>
      </c>
      <c r="F8" s="12">
        <f>+'ANEXO 1'!V8</f>
        <v>1620000</v>
      </c>
      <c r="H8" s="12">
        <f>+'ANEXO 2'!P8</f>
        <v>1586455</v>
      </c>
      <c r="J8" s="15">
        <f>+ROUND(AVERAGE(F8,H8),0)</f>
        <v>1603228</v>
      </c>
      <c r="K8" s="12">
        <f t="shared" ref="K8:K10" si="0">+ROUND(J8*19%,0)</f>
        <v>304613</v>
      </c>
      <c r="L8" s="12">
        <f t="shared" ref="L8:L10" si="1">+K8+J8</f>
        <v>1907841</v>
      </c>
      <c r="M8" s="12">
        <f t="shared" ref="M8:M10" si="2">+L8*D8</f>
        <v>34341138</v>
      </c>
    </row>
    <row r="9" spans="1:14" ht="19.5" customHeight="1" x14ac:dyDescent="0.3">
      <c r="A9" s="9">
        <v>3</v>
      </c>
      <c r="B9" s="10" t="str">
        <f>+'ANEXO 1'!B9</f>
        <v xml:space="preserve">Heroína clorhidrato </v>
      </c>
      <c r="C9" s="9" t="str">
        <f>+'ANEXO 1'!C9</f>
        <v>Frasco x  50 mg</v>
      </c>
      <c r="D9" s="9">
        <f>+'ANEXO 1'!D9</f>
        <v>6</v>
      </c>
      <c r="F9" s="12">
        <f>+'ANEXO 1'!V9</f>
        <v>2500000</v>
      </c>
      <c r="H9" s="12">
        <f>+'ANEXO 2'!P9</f>
        <v>2545121</v>
      </c>
      <c r="J9" s="15">
        <f>+F9</f>
        <v>2500000</v>
      </c>
      <c r="K9" s="12">
        <f t="shared" si="0"/>
        <v>475000</v>
      </c>
      <c r="L9" s="12">
        <f t="shared" si="1"/>
        <v>2975000</v>
      </c>
      <c r="M9" s="12">
        <f t="shared" si="2"/>
        <v>17850000</v>
      </c>
    </row>
    <row r="10" spans="1:14" ht="19.5" customHeight="1" x14ac:dyDescent="0.3">
      <c r="A10" s="9">
        <v>4</v>
      </c>
      <c r="B10" s="10" t="str">
        <f>+'ANEXO 1'!B10</f>
        <v xml:space="preserve">Cannabidiol </v>
      </c>
      <c r="C10" s="9" t="str">
        <f>+'ANEXO 1'!C10</f>
        <v>Frasco x  50 mg</v>
      </c>
      <c r="D10" s="9">
        <f>+'ANEXO 1'!D10</f>
        <v>5</v>
      </c>
      <c r="F10" s="12">
        <f>+'ANEXO 1'!V10</f>
        <v>1850000</v>
      </c>
      <c r="H10" s="12">
        <f>+'ANEXO 2'!P10</f>
        <v>1895419</v>
      </c>
      <c r="J10" s="15">
        <f>+F10</f>
        <v>1850000</v>
      </c>
      <c r="K10" s="12">
        <f t="shared" si="0"/>
        <v>351500</v>
      </c>
      <c r="L10" s="12">
        <f t="shared" si="1"/>
        <v>2201500</v>
      </c>
      <c r="M10" s="12">
        <f t="shared" si="2"/>
        <v>11007500</v>
      </c>
    </row>
    <row r="11" spans="1:14" ht="19.5" customHeight="1" x14ac:dyDescent="0.3">
      <c r="A11" s="9">
        <v>5</v>
      </c>
      <c r="B11" s="10" t="str">
        <f>+'ANEXO 1'!B11</f>
        <v xml:space="preserve">Cannabinol  </v>
      </c>
      <c r="C11" s="9" t="str">
        <f>+'ANEXO 1'!C11</f>
        <v>Frasco x  50 mg</v>
      </c>
      <c r="D11" s="9">
        <f>+'ANEXO 1'!D11</f>
        <v>4</v>
      </c>
      <c r="F11" s="12">
        <f>+'ANEXO 1'!V11</f>
        <v>2700000</v>
      </c>
      <c r="H11" s="12">
        <f>+'ANEXO 2'!P11</f>
        <v>2519922</v>
      </c>
      <c r="J11" s="15">
        <f>+ROUND(AVERAGE(F11,H11),0)</f>
        <v>2609961</v>
      </c>
      <c r="K11" s="16">
        <f t="shared" ref="K11" si="3">+ROUND(J11*19%,0)</f>
        <v>495893</v>
      </c>
      <c r="L11" s="16">
        <f t="shared" ref="L11" si="4">+K11+J11</f>
        <v>3105854</v>
      </c>
      <c r="M11" s="12">
        <f>+L11*D11</f>
        <v>12423416</v>
      </c>
    </row>
    <row r="12" spans="1:14" ht="19.5" customHeight="1" x14ac:dyDescent="0.3">
      <c r="A12" s="37">
        <v>6</v>
      </c>
      <c r="B12" s="10" t="str">
        <f>+'ANEXO 1'!B12</f>
        <v>(-)-DELTA 8-Tetrahidrocannabinol solución en etanol</v>
      </c>
      <c r="C12" s="9" t="str">
        <f>+'ANEXO 1'!C12</f>
        <v>Ampolla x 1 mg/mL</v>
      </c>
      <c r="D12" s="9">
        <f>+'ANEXO 1'!D12</f>
        <v>3</v>
      </c>
      <c r="F12" s="12">
        <f>+'ANEXO 1'!V12</f>
        <v>1380000</v>
      </c>
      <c r="H12" s="12">
        <f>+'ANEXO 2'!P12</f>
        <v>1590876</v>
      </c>
      <c r="J12" s="15">
        <f>+F12</f>
        <v>1380000</v>
      </c>
      <c r="K12" s="16">
        <f t="shared" ref="K12" si="5">+ROUND(J12*19%,0)</f>
        <v>262200</v>
      </c>
      <c r="L12" s="16">
        <f t="shared" ref="L12" si="6">+K12+J12</f>
        <v>1642200</v>
      </c>
      <c r="M12" s="12">
        <f t="shared" ref="M12" si="7">+L12*D12</f>
        <v>4926600</v>
      </c>
    </row>
    <row r="13" spans="1:14" ht="26.25" customHeight="1" x14ac:dyDescent="0.3">
      <c r="A13" s="49" t="s">
        <v>3</v>
      </c>
      <c r="B13" s="50"/>
      <c r="C13" s="50"/>
      <c r="D13" s="51"/>
      <c r="F13" s="11"/>
      <c r="H13" s="11"/>
      <c r="J13" s="46"/>
      <c r="K13" s="47"/>
      <c r="L13" s="48"/>
      <c r="M13" s="13">
        <f>SUM(M7:M12)</f>
        <v>102119430</v>
      </c>
    </row>
    <row r="15" spans="1:14" s="20" customFormat="1" ht="18.75" customHeight="1" x14ac:dyDescent="0.2">
      <c r="B15" s="27" t="s">
        <v>19</v>
      </c>
      <c r="C15" s="27"/>
      <c r="D15" s="28"/>
      <c r="E15" s="28"/>
      <c r="F15" s="28"/>
      <c r="G15" s="28"/>
      <c r="H15" s="28"/>
      <c r="I15" s="28" t="s">
        <v>21</v>
      </c>
      <c r="J15" s="28"/>
      <c r="K15" s="31"/>
      <c r="L15" s="31"/>
      <c r="M15" s="31"/>
      <c r="N15" s="32"/>
    </row>
    <row r="16" spans="1:14" s="20" customFormat="1" ht="24" customHeight="1" x14ac:dyDescent="0.2">
      <c r="B16" s="84" t="s">
        <v>43</v>
      </c>
      <c r="C16" s="84"/>
      <c r="D16" s="84"/>
      <c r="E16" s="84"/>
      <c r="F16" s="84"/>
      <c r="G16" s="84"/>
      <c r="H16" s="84"/>
      <c r="I16" s="84"/>
      <c r="J16" s="84"/>
      <c r="K16" s="84"/>
      <c r="L16" s="84"/>
      <c r="M16" s="84"/>
      <c r="N16" s="84"/>
    </row>
    <row r="17" spans="2:14" s="20" customFormat="1" ht="24" customHeight="1" x14ac:dyDescent="0.2">
      <c r="B17" s="84" t="s">
        <v>44</v>
      </c>
      <c r="C17" s="84"/>
      <c r="D17" s="84"/>
      <c r="E17" s="84"/>
      <c r="F17" s="84"/>
      <c r="G17" s="84"/>
      <c r="H17" s="84"/>
      <c r="I17" s="84"/>
      <c r="J17" s="84"/>
      <c r="K17" s="84"/>
      <c r="L17" s="84"/>
      <c r="M17" s="84"/>
      <c r="N17" s="84"/>
    </row>
    <row r="18" spans="2:14" s="20" customFormat="1" ht="35.25" customHeight="1" x14ac:dyDescent="0.2">
      <c r="B18" s="84" t="s">
        <v>22</v>
      </c>
      <c r="C18" s="84"/>
      <c r="D18" s="84"/>
      <c r="E18" s="84"/>
      <c r="F18" s="84"/>
      <c r="G18" s="84"/>
      <c r="H18" s="84"/>
      <c r="I18" s="84"/>
      <c r="J18" s="84"/>
      <c r="K18" s="84"/>
      <c r="L18" s="84"/>
      <c r="M18" s="84"/>
      <c r="N18" s="84"/>
    </row>
    <row r="19" spans="2:14" s="20" customFormat="1" ht="12.75" x14ac:dyDescent="0.2">
      <c r="B19" s="33"/>
      <c r="C19" s="33"/>
      <c r="D19" s="33"/>
      <c r="E19" s="33"/>
      <c r="F19" s="33"/>
      <c r="G19" s="33"/>
      <c r="H19" s="33"/>
      <c r="I19" s="33"/>
      <c r="J19" s="33"/>
      <c r="K19" s="31"/>
      <c r="L19" s="31"/>
      <c r="M19" s="31"/>
      <c r="N19" s="31"/>
    </row>
    <row r="20" spans="2:14" s="20" customFormat="1" ht="12.75" x14ac:dyDescent="0.2">
      <c r="B20" s="29" t="s">
        <v>47</v>
      </c>
      <c r="C20" s="29"/>
      <c r="D20" s="33"/>
      <c r="E20" s="34"/>
      <c r="F20" s="34"/>
      <c r="G20" s="34"/>
      <c r="H20" s="34"/>
      <c r="I20" s="33"/>
      <c r="J20" s="33"/>
      <c r="K20" s="31"/>
      <c r="L20" s="31"/>
      <c r="M20" s="31"/>
      <c r="N20" s="31"/>
    </row>
    <row r="21" spans="2:14" s="20" customFormat="1" ht="12.75" x14ac:dyDescent="0.2">
      <c r="B21" s="30" t="s">
        <v>39</v>
      </c>
      <c r="C21" s="30"/>
      <c r="D21" s="33"/>
      <c r="E21" s="34"/>
      <c r="F21" s="34"/>
      <c r="G21" s="34"/>
      <c r="H21" s="34"/>
      <c r="I21" s="33"/>
      <c r="J21" s="33"/>
      <c r="K21" s="31"/>
      <c r="L21" s="31"/>
      <c r="M21" s="31"/>
      <c r="N21" s="31"/>
    </row>
    <row r="22" spans="2:14" s="20" customFormat="1" ht="12.75" x14ac:dyDescent="0.2"/>
    <row r="23" spans="2:14" s="26" customFormat="1" ht="20.100000000000001" customHeight="1" x14ac:dyDescent="0.2"/>
    <row r="24" spans="2:14" s="26" customFormat="1" ht="20.100000000000001" customHeight="1" x14ac:dyDescent="0.2"/>
    <row r="25" spans="2:14" s="26" customFormat="1" ht="20.100000000000001" customHeight="1" x14ac:dyDescent="0.2"/>
    <row r="26" spans="2:14" s="26" customFormat="1" ht="20.100000000000001" customHeight="1" x14ac:dyDescent="0.2"/>
    <row r="27" spans="2:14" s="26" customFormat="1" ht="20.100000000000001" customHeight="1" x14ac:dyDescent="0.2"/>
  </sheetData>
  <sheetProtection algorithmName="SHA-512" hashValue="TcAPvfeA+DApWIfMSVpfy6xvj66kydP9qyUgPMp00gtQXRHQGt42zxPo7WlC2Pqv+3tGktCiiSh02pHXnmWzZw==" saltValue="Ok7Hzy9i57p5+s7U4EMGjw==" spinCount="100000" sheet="1" objects="1" scenarios="1" formatCells="0" formatColumns="0" formatRows="0" selectLockedCells="1" selectUnlockedCells="1"/>
  <mergeCells count="10">
    <mergeCell ref="B17:N17"/>
    <mergeCell ref="B18:N18"/>
    <mergeCell ref="A13:D13"/>
    <mergeCell ref="B16:N16"/>
    <mergeCell ref="A1:M1"/>
    <mergeCell ref="A2:B3"/>
    <mergeCell ref="C2:M2"/>
    <mergeCell ref="C3:M3"/>
    <mergeCell ref="J5:M5"/>
    <mergeCell ref="A5:D5"/>
  </mergeCells>
  <pageMargins left="0.7" right="0.7" top="0.75" bottom="0.75" header="0.3" footer="0.3"/>
  <pageSetup paperSize="9" orientation="portrait" horizontalDpi="4294967293" verticalDpi="0" r:id="rId1"/>
  <ignoredErrors>
    <ignoredError sqref="J11"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vt:lpstr>
      <vt:lpstr>ANEXO 2</vt:lpstr>
      <vt:lpstr>ANEXO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Ivan Felipe Uribe Ospina</cp:lastModifiedBy>
  <dcterms:created xsi:type="dcterms:W3CDTF">2023-03-29T14:15:39Z</dcterms:created>
  <dcterms:modified xsi:type="dcterms:W3CDTF">2023-06-01T17:43:06Z</dcterms:modified>
</cp:coreProperties>
</file>