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olafontalvolopez/Documents/2023/CRA/Contratación /Arroyo Platanal /Nuevo LP 0003/APERTURA/PUBLICAR/"/>
    </mc:Choice>
  </mc:AlternateContent>
  <xr:revisionPtr revIDLastSave="0" documentId="8_{A40913BF-7DA0-CB40-8366-83C969BB250D}" xr6:coauthVersionLast="47" xr6:coauthVersionMax="47" xr10:uidLastSave="{00000000-0000-0000-0000-000000000000}"/>
  <bookViews>
    <workbookView xWindow="80" yWindow="0" windowWidth="25520" windowHeight="14300" firstSheet="1" activeTab="1" xr2:uid="{D0BCE743-D098-4101-968F-0F1E756821FF}"/>
  </bookViews>
  <sheets>
    <sheet name="modelo (2)" sheetId="7" r:id="rId1"/>
    <sheet name="modelo" sheetId="1" r:id="rId2"/>
    <sheet name="Tabla de reajustes" sheetId="3" r:id="rId3"/>
  </sheets>
  <externalReferences>
    <externalReference r:id="rId4"/>
  </externalReferences>
  <definedNames>
    <definedName name="_xlnm.Print_Area" localSheetId="1">modelo!$A$1:$Z$89</definedName>
    <definedName name="_xlnm.Print_Area" localSheetId="0">'modelo (2)'!$A$1:$V$81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7" i="3" l="1"/>
  <c r="AF6" i="3"/>
  <c r="O9" i="1"/>
  <c r="AE4" i="3"/>
  <c r="AE3" i="3"/>
  <c r="AF3" i="3" s="1"/>
  <c r="AD4" i="3"/>
  <c r="AC4" i="3"/>
  <c r="AB4" i="3"/>
  <c r="AC3" i="3"/>
  <c r="AD3" i="3" s="1"/>
  <c r="P4" i="1" s="1"/>
  <c r="AB3" i="3"/>
  <c r="D8" i="3"/>
  <c r="E4" i="3"/>
  <c r="F4" i="3"/>
  <c r="G4" i="3"/>
  <c r="H4" i="3"/>
  <c r="I4" i="3"/>
  <c r="J4" i="3"/>
  <c r="K4" i="3"/>
  <c r="L4" i="3"/>
  <c r="M4" i="3"/>
  <c r="N4" i="3"/>
  <c r="O4" i="3"/>
  <c r="AA3" i="3"/>
  <c r="Z3" i="3"/>
  <c r="Y3" i="3"/>
  <c r="J14" i="1"/>
  <c r="J17" i="1" s="1"/>
  <c r="G106" i="1" s="1"/>
  <c r="F18" i="1"/>
  <c r="G26" i="1" s="1"/>
  <c r="F30" i="1"/>
  <c r="G32" i="1" s="1"/>
  <c r="F42" i="1"/>
  <c r="G44" i="1" s="1"/>
  <c r="F54" i="1"/>
  <c r="G56" i="1" s="1"/>
  <c r="G59" i="1" s="1"/>
  <c r="G68" i="1"/>
  <c r="G71" i="1" s="1"/>
  <c r="G74" i="1" s="1"/>
  <c r="G77" i="1" s="1"/>
  <c r="I93" i="1"/>
  <c r="I94" i="1"/>
  <c r="H103" i="1"/>
  <c r="I103" i="1" s="1"/>
  <c r="J103" i="1" s="1"/>
  <c r="K103" i="1" s="1"/>
  <c r="L103" i="1" s="1"/>
  <c r="I124" i="1"/>
  <c r="I125" i="1"/>
  <c r="L91" i="1"/>
  <c r="L92" i="1"/>
  <c r="K93" i="1"/>
  <c r="M109" i="1"/>
  <c r="L98" i="1" s="1"/>
  <c r="H101" i="7"/>
  <c r="Z96" i="7"/>
  <c r="F95" i="7"/>
  <c r="G95" i="7" s="1"/>
  <c r="G90" i="7"/>
  <c r="F85" i="7"/>
  <c r="AG84" i="7"/>
  <c r="G84" i="7"/>
  <c r="G83" i="7"/>
  <c r="AF82" i="7"/>
  <c r="AD82" i="7"/>
  <c r="L82" i="7"/>
  <c r="N82" i="7" s="1"/>
  <c r="H82" i="7"/>
  <c r="AH74" i="7"/>
  <c r="AG69" i="7"/>
  <c r="C69" i="7"/>
  <c r="C72" i="7" s="1"/>
  <c r="C75" i="7" s="1"/>
  <c r="AG57" i="7"/>
  <c r="C57" i="7"/>
  <c r="C60" i="7" s="1"/>
  <c r="C63" i="7" s="1"/>
  <c r="AG48" i="7"/>
  <c r="AF48" i="7"/>
  <c r="C45" i="7"/>
  <c r="C48" i="7" s="1"/>
  <c r="C51" i="7" s="1"/>
  <c r="AE33" i="7"/>
  <c r="C33" i="7"/>
  <c r="C36" i="7" s="1"/>
  <c r="C39" i="7" s="1"/>
  <c r="AE30" i="7"/>
  <c r="AE31" i="7" s="1"/>
  <c r="AE32" i="7" s="1"/>
  <c r="X21" i="7"/>
  <c r="C21" i="7"/>
  <c r="C24" i="7" s="1"/>
  <c r="C27" i="7" s="1"/>
  <c r="AE18" i="7"/>
  <c r="B18" i="7"/>
  <c r="B30" i="7" s="1"/>
  <c r="B42" i="7" s="1"/>
  <c r="B54" i="7" s="1"/>
  <c r="B66" i="7" s="1"/>
  <c r="B78" i="7" s="1"/>
  <c r="A18" i="7"/>
  <c r="A30" i="7" s="1"/>
  <c r="A42" i="7" s="1"/>
  <c r="A54" i="7" s="1"/>
  <c r="A66" i="7" s="1"/>
  <c r="A78" i="7" s="1"/>
  <c r="D13" i="7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  <c r="D25" i="7" s="1"/>
  <c r="D26" i="7" s="1"/>
  <c r="D27" i="7" s="1"/>
  <c r="D28" i="7" s="1"/>
  <c r="D29" i="7" s="1"/>
  <c r="D30" i="7" s="1"/>
  <c r="D31" i="7" s="1"/>
  <c r="D32" i="7" s="1"/>
  <c r="D33" i="7" s="1"/>
  <c r="D34" i="7" s="1"/>
  <c r="D35" i="7" s="1"/>
  <c r="D36" i="7" s="1"/>
  <c r="D37" i="7" s="1"/>
  <c r="D38" i="7" s="1"/>
  <c r="D39" i="7" s="1"/>
  <c r="D40" i="7" s="1"/>
  <c r="D41" i="7" s="1"/>
  <c r="D42" i="7" s="1"/>
  <c r="D43" i="7" s="1"/>
  <c r="D44" i="7" s="1"/>
  <c r="D45" i="7" s="1"/>
  <c r="D46" i="7" s="1"/>
  <c r="D47" i="7" s="1"/>
  <c r="D48" i="7" s="1"/>
  <c r="D49" i="7" s="1"/>
  <c r="D50" i="7" s="1"/>
  <c r="D51" i="7" s="1"/>
  <c r="D52" i="7" s="1"/>
  <c r="D53" i="7" s="1"/>
  <c r="D54" i="7" s="1"/>
  <c r="D55" i="7" s="1"/>
  <c r="D56" i="7" s="1"/>
  <c r="D57" i="7" s="1"/>
  <c r="D58" i="7" s="1"/>
  <c r="D59" i="7" s="1"/>
  <c r="D60" i="7" s="1"/>
  <c r="D61" i="7" s="1"/>
  <c r="D62" i="7" s="1"/>
  <c r="D63" i="7" s="1"/>
  <c r="D64" i="7" s="1"/>
  <c r="D65" i="7" s="1"/>
  <c r="D66" i="7" s="1"/>
  <c r="D67" i="7" s="1"/>
  <c r="D68" i="7" s="1"/>
  <c r="D69" i="7" s="1"/>
  <c r="D70" i="7" s="1"/>
  <c r="D71" i="7" s="1"/>
  <c r="D72" i="7" s="1"/>
  <c r="D73" i="7" s="1"/>
  <c r="D74" i="7" s="1"/>
  <c r="D75" i="7" s="1"/>
  <c r="D76" i="7" s="1"/>
  <c r="D77" i="7" s="1"/>
  <c r="D78" i="7" s="1"/>
  <c r="D79" i="7" s="1"/>
  <c r="D80" i="7" s="1"/>
  <c r="AD12" i="7"/>
  <c r="C12" i="7"/>
  <c r="C15" i="7" s="1"/>
  <c r="AH11" i="7"/>
  <c r="X9" i="7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AG3" i="3" l="1"/>
  <c r="AG4" i="3" s="1"/>
  <c r="AF4" i="3"/>
  <c r="J23" i="1"/>
  <c r="J26" i="1" s="1"/>
  <c r="J35" i="1" s="1"/>
  <c r="J38" i="1" s="1"/>
  <c r="J41" i="1" s="1"/>
  <c r="J44" i="1" s="1"/>
  <c r="G20" i="1"/>
  <c r="J20" i="1"/>
  <c r="F89" i="1"/>
  <c r="G47" i="1"/>
  <c r="G29" i="1"/>
  <c r="G62" i="1"/>
  <c r="G35" i="1"/>
  <c r="L93" i="1"/>
  <c r="K94" i="1"/>
  <c r="AD13" i="7"/>
  <c r="V98" i="7"/>
  <c r="AE19" i="7"/>
  <c r="AE34" i="7"/>
  <c r="AE35" i="7" s="1"/>
  <c r="AE36" i="7" s="1"/>
  <c r="AE37" i="7" s="1"/>
  <c r="AE38" i="7" s="1"/>
  <c r="AE39" i="7" s="1"/>
  <c r="AE40" i="7" s="1"/>
  <c r="AE41" i="7" s="1"/>
  <c r="AF49" i="7"/>
  <c r="AG49" i="7"/>
  <c r="AG58" i="7"/>
  <c r="AG59" i="7" s="1"/>
  <c r="AG60" i="7" s="1"/>
  <c r="AG61" i="7" s="1"/>
  <c r="AG62" i="7" s="1"/>
  <c r="AG63" i="7" s="1"/>
  <c r="AG64" i="7" s="1"/>
  <c r="AG65" i="7" s="1"/>
  <c r="AG66" i="7" s="1"/>
  <c r="AG67" i="7" s="1"/>
  <c r="AG68" i="7" s="1"/>
  <c r="AJ57" i="7"/>
  <c r="AG70" i="7"/>
  <c r="AG71" i="7" s="1"/>
  <c r="AJ69" i="7"/>
  <c r="F86" i="7"/>
  <c r="G85" i="7"/>
  <c r="J29" i="1" l="1"/>
  <c r="J32" i="1" s="1"/>
  <c r="I106" i="1" s="1"/>
  <c r="J47" i="1"/>
  <c r="J50" i="1" s="1"/>
  <c r="G38" i="1"/>
  <c r="J59" i="1"/>
  <c r="J62" i="1" s="1"/>
  <c r="J53" i="1"/>
  <c r="J56" i="1" s="1"/>
  <c r="G50" i="1"/>
  <c r="G65" i="1"/>
  <c r="AG50" i="7"/>
  <c r="AG51" i="7" s="1"/>
  <c r="AG52" i="7" s="1"/>
  <c r="AG53" i="7" s="1"/>
  <c r="AG54" i="7" s="1"/>
  <c r="AG55" i="7" s="1"/>
  <c r="AG56" i="7" s="1"/>
  <c r="AG81" i="7"/>
  <c r="AF50" i="7"/>
  <c r="AF51" i="7" s="1"/>
  <c r="AH50" i="7"/>
  <c r="AE20" i="7"/>
  <c r="AE21" i="7" s="1"/>
  <c r="AJ9" i="7"/>
  <c r="AD14" i="7"/>
  <c r="AD15" i="7" s="1"/>
  <c r="AH14" i="7"/>
  <c r="V83" i="7"/>
  <c r="H83" i="7"/>
  <c r="H106" i="1" l="1"/>
  <c r="J106" i="1"/>
  <c r="G41" i="1"/>
  <c r="G53" i="1"/>
  <c r="J65" i="1"/>
  <c r="J71" i="1"/>
  <c r="J74" i="1" s="1"/>
  <c r="J77" i="1" s="1"/>
  <c r="H77" i="1" s="1"/>
  <c r="AD16" i="7"/>
  <c r="V84" i="7"/>
  <c r="P82" i="7"/>
  <c r="AE22" i="7"/>
  <c r="AF52" i="7"/>
  <c r="M40" i="1"/>
  <c r="J68" i="1" l="1"/>
  <c r="J89" i="1" s="1"/>
  <c r="I135" i="1" s="1"/>
  <c r="I136" i="1" s="1"/>
  <c r="AF53" i="7"/>
  <c r="AF54" i="7" s="1"/>
  <c r="AH53" i="7"/>
  <c r="AE23" i="7"/>
  <c r="AD17" i="7"/>
  <c r="AD18" i="7" s="1"/>
  <c r="AH17" i="7"/>
  <c r="M15" i="1"/>
  <c r="M31" i="1"/>
  <c r="M39" i="1"/>
  <c r="M9" i="1"/>
  <c r="M25" i="1"/>
  <c r="M41" i="1"/>
  <c r="M10" i="1"/>
  <c r="M18" i="1"/>
  <c r="M26" i="1"/>
  <c r="M34" i="1"/>
  <c r="M42" i="1"/>
  <c r="M21" i="1"/>
  <c r="M37" i="1"/>
  <c r="M23" i="1"/>
  <c r="M19" i="1"/>
  <c r="M17" i="1"/>
  <c r="M33" i="1"/>
  <c r="M11" i="1"/>
  <c r="M27" i="1"/>
  <c r="M35" i="1"/>
  <c r="M43" i="1"/>
  <c r="M12" i="1"/>
  <c r="M20" i="1"/>
  <c r="M28" i="1"/>
  <c r="M36" i="1"/>
  <c r="M14" i="1"/>
  <c r="M22" i="1"/>
  <c r="M30" i="1"/>
  <c r="M38" i="1"/>
  <c r="M13" i="1"/>
  <c r="M29" i="1"/>
  <c r="M16" i="1"/>
  <c r="M24" i="1"/>
  <c r="M32" i="1"/>
  <c r="AD19" i="7" l="1"/>
  <c r="AE24" i="7"/>
  <c r="AF55" i="7"/>
  <c r="X12" i="1"/>
  <c r="X15" i="1" s="1"/>
  <c r="X18" i="1" s="1"/>
  <c r="X21" i="1" s="1"/>
  <c r="X24" i="1" s="1"/>
  <c r="X27" i="1" s="1"/>
  <c r="X30" i="1" s="1"/>
  <c r="X33" i="1" s="1"/>
  <c r="U11" i="1"/>
  <c r="U14" i="1" s="1"/>
  <c r="U17" i="1" s="1"/>
  <c r="AF56" i="7" l="1"/>
  <c r="AF57" i="7" s="1"/>
  <c r="AH56" i="7"/>
  <c r="AE25" i="7"/>
  <c r="AD20" i="7"/>
  <c r="AD21" i="7" s="1"/>
  <c r="AI9" i="7"/>
  <c r="AH20" i="7"/>
  <c r="V14" i="1"/>
  <c r="P3" i="3"/>
  <c r="Q3" i="3"/>
  <c r="R3" i="3"/>
  <c r="S3" i="3"/>
  <c r="T3" i="3"/>
  <c r="U3" i="3"/>
  <c r="V3" i="3"/>
  <c r="W3" i="3"/>
  <c r="X3" i="3"/>
  <c r="AB12" i="7" l="1"/>
  <c r="W12" i="7"/>
  <c r="AD22" i="7"/>
  <c r="AE26" i="7"/>
  <c r="AF58" i="7"/>
  <c r="N53" i="1"/>
  <c r="N50" i="1"/>
  <c r="N62" i="1"/>
  <c r="N71" i="1"/>
  <c r="N74" i="1"/>
  <c r="N56" i="1"/>
  <c r="N47" i="1"/>
  <c r="N68" i="1"/>
  <c r="N77" i="1"/>
  <c r="N65" i="1"/>
  <c r="N59" i="1"/>
  <c r="AF59" i="7" l="1"/>
  <c r="AH59" i="7"/>
  <c r="AE27" i="7"/>
  <c r="AD23" i="7"/>
  <c r="AH23" i="7"/>
  <c r="Y4" i="3"/>
  <c r="X4" i="3"/>
  <c r="F4" i="7" l="1"/>
  <c r="F5" i="7" s="1"/>
  <c r="AD24" i="7"/>
  <c r="F98" i="7"/>
  <c r="AE28" i="7"/>
  <c r="AF60" i="7"/>
  <c r="AF61" i="7" l="1"/>
  <c r="AE29" i="7"/>
  <c r="AD25" i="7"/>
  <c r="W15" i="7" l="1"/>
  <c r="AB15" i="7"/>
  <c r="AD26" i="7"/>
  <c r="AH26" i="7"/>
  <c r="G98" i="7"/>
  <c r="H98" i="7" s="1"/>
  <c r="AE42" i="7"/>
  <c r="AJ21" i="7"/>
  <c r="AF62" i="7"/>
  <c r="AH62" i="7"/>
  <c r="AF63" i="7" l="1"/>
  <c r="AE43" i="7"/>
  <c r="AE44" i="7" s="1"/>
  <c r="AE45" i="7" s="1"/>
  <c r="AJ33" i="7"/>
  <c r="AD27" i="7"/>
  <c r="X33" i="7" l="1"/>
  <c r="AD28" i="7"/>
  <c r="AE46" i="7"/>
  <c r="AF64" i="7"/>
  <c r="AF65" i="7" l="1"/>
  <c r="AH65" i="7"/>
  <c r="AE47" i="7"/>
  <c r="AJ45" i="7" s="1"/>
  <c r="AJ81" i="7" s="1"/>
  <c r="AE81" i="7"/>
  <c r="AD29" i="7"/>
  <c r="AH29" i="7"/>
  <c r="W18" i="7"/>
  <c r="AB18" i="7"/>
  <c r="Z9" i="7" l="1"/>
  <c r="AD30" i="7"/>
  <c r="V95" i="7"/>
  <c r="F87" i="7"/>
  <c r="F97" i="7"/>
  <c r="AF66" i="7"/>
  <c r="AF67" i="7" l="1"/>
  <c r="F96" i="7"/>
  <c r="F99" i="7" s="1"/>
  <c r="F102" i="7" s="1"/>
  <c r="F89" i="7"/>
  <c r="G87" i="7"/>
  <c r="AD31" i="7"/>
  <c r="R4" i="3"/>
  <c r="T4" i="3"/>
  <c r="Y6" i="1"/>
  <c r="L89" i="1"/>
  <c r="W21" i="7" l="1"/>
  <c r="AB21" i="7"/>
  <c r="AA9" i="7"/>
  <c r="X45" i="7"/>
  <c r="AD32" i="7"/>
  <c r="AI21" i="7"/>
  <c r="AH32" i="7"/>
  <c r="AF68" i="7"/>
  <c r="AI57" i="7"/>
  <c r="AH68" i="7"/>
  <c r="AF69" i="7" l="1"/>
  <c r="AD33" i="7"/>
  <c r="AD34" i="7" l="1"/>
  <c r="AF70" i="7"/>
  <c r="AF71" i="7" l="1"/>
  <c r="AI69" i="7" s="1"/>
  <c r="AF81" i="7"/>
  <c r="AH71" i="7"/>
  <c r="AD35" i="7"/>
  <c r="AH35" i="7"/>
  <c r="AB24" i="7"/>
  <c r="W24" i="7"/>
  <c r="X57" i="7" l="1"/>
  <c r="AD36" i="7"/>
  <c r="G97" i="7"/>
  <c r="G96" i="7" l="1"/>
  <c r="G99" i="7" s="1"/>
  <c r="G102" i="7" s="1"/>
  <c r="AD37" i="7"/>
  <c r="W27" i="7" l="1"/>
  <c r="AB27" i="7"/>
  <c r="AD38" i="7"/>
  <c r="AH38" i="7"/>
  <c r="AD39" i="7" l="1"/>
  <c r="X69" i="7"/>
  <c r="X81" i="7" s="1"/>
  <c r="K106" i="1"/>
  <c r="AD40" i="7" l="1"/>
  <c r="L106" i="1"/>
  <c r="M106" i="1" s="1"/>
  <c r="AD41" i="7" l="1"/>
  <c r="AH41" i="7"/>
  <c r="W30" i="7"/>
  <c r="AB30" i="7"/>
  <c r="L83" i="7"/>
  <c r="W4" i="3"/>
  <c r="V4" i="3"/>
  <c r="U4" i="3"/>
  <c r="S4" i="3"/>
  <c r="Q4" i="3"/>
  <c r="P4" i="3"/>
  <c r="Z21" i="7" l="1"/>
  <c r="AD42" i="7"/>
  <c r="N20" i="1"/>
  <c r="N44" i="1"/>
  <c r="M89" i="1"/>
  <c r="N29" i="1"/>
  <c r="N35" i="1"/>
  <c r="N26" i="1"/>
  <c r="N17" i="1"/>
  <c r="N41" i="1"/>
  <c r="N14" i="1"/>
  <c r="N38" i="1"/>
  <c r="N23" i="1"/>
  <c r="N32" i="1"/>
  <c r="N11" i="1"/>
  <c r="AD43" i="7" l="1"/>
  <c r="Q11" i="1"/>
  <c r="Q14" i="1" s="1"/>
  <c r="Q17" i="1" s="1"/>
  <c r="Q20" i="1" s="1"/>
  <c r="Q23" i="1" s="1"/>
  <c r="Q26" i="1" s="1"/>
  <c r="Q29" i="1" s="1"/>
  <c r="Q32" i="1" s="1"/>
  <c r="Q35" i="1" s="1"/>
  <c r="Q38" i="1" s="1"/>
  <c r="Q41" i="1" s="1"/>
  <c r="Q44" i="1" s="1"/>
  <c r="Q47" i="1" s="1"/>
  <c r="Q50" i="1" s="1"/>
  <c r="Q53" i="1" s="1"/>
  <c r="Q56" i="1" s="1"/>
  <c r="Q59" i="1" s="1"/>
  <c r="Q62" i="1" s="1"/>
  <c r="Q65" i="1" s="1"/>
  <c r="Q68" i="1" s="1"/>
  <c r="Q71" i="1" s="1"/>
  <c r="Q74" i="1" s="1"/>
  <c r="Q77" i="1" s="1"/>
  <c r="Q80" i="1" s="1"/>
  <c r="K4" i="7"/>
  <c r="N89" i="1"/>
  <c r="W33" i="7" l="1"/>
  <c r="AB33" i="7"/>
  <c r="AA21" i="7"/>
  <c r="AD44" i="7"/>
  <c r="AI33" i="7"/>
  <c r="AH44" i="7"/>
  <c r="O10" i="1"/>
  <c r="O11" i="1" s="1"/>
  <c r="O12" i="1" s="1"/>
  <c r="O13" i="1" s="1"/>
  <c r="O14" i="1" s="1"/>
  <c r="O15" i="1" s="1"/>
  <c r="O16" i="1" s="1"/>
  <c r="O17" i="1" s="1"/>
  <c r="O18" i="1" s="1"/>
  <c r="O19" i="1" s="1"/>
  <c r="Z4" i="3"/>
  <c r="R11" i="1"/>
  <c r="Y11" i="1" l="1"/>
  <c r="AD45" i="7"/>
  <c r="AA4" i="3"/>
  <c r="G9" i="3" s="1"/>
  <c r="V11" i="1"/>
  <c r="G8" i="3" l="1"/>
  <c r="G7" i="3"/>
  <c r="H9" i="3"/>
  <c r="H7" i="3"/>
  <c r="H8" i="3"/>
  <c r="AD46" i="7"/>
  <c r="S12" i="1"/>
  <c r="T12" i="1" s="1"/>
  <c r="R14" i="1" s="1"/>
  <c r="B8" i="3" l="1"/>
  <c r="Y14" i="1"/>
  <c r="H14" i="1" s="1"/>
  <c r="AD47" i="7"/>
  <c r="AI45" i="7" s="1"/>
  <c r="AI81" i="7" s="1"/>
  <c r="AD81" i="7"/>
  <c r="AH47" i="7"/>
  <c r="W36" i="7"/>
  <c r="AB36" i="7"/>
  <c r="O20" i="1"/>
  <c r="V17" i="1"/>
  <c r="P20" i="1" l="1"/>
  <c r="U20" i="1" s="1"/>
  <c r="G105" i="1"/>
  <c r="H17" i="1"/>
  <c r="G17" i="1" s="1"/>
  <c r="G14" i="1"/>
  <c r="AH81" i="7"/>
  <c r="V89" i="7"/>
  <c r="AG89" i="7"/>
  <c r="O21" i="1"/>
  <c r="G104" i="1" l="1"/>
  <c r="G107" i="1" s="1"/>
  <c r="G110" i="1" s="1"/>
  <c r="V100" i="7"/>
  <c r="V96" i="7"/>
  <c r="H97" i="7"/>
  <c r="AH82" i="7"/>
  <c r="O22" i="1"/>
  <c r="H20" i="1" l="1"/>
  <c r="W39" i="7"/>
  <c r="AB39" i="7"/>
  <c r="V82" i="7"/>
  <c r="O23" i="1"/>
  <c r="P23" i="1" s="1"/>
  <c r="U23" i="1" s="1"/>
  <c r="V20" i="1"/>
  <c r="H96" i="7" l="1"/>
  <c r="H99" i="7" s="1"/>
  <c r="O24" i="1"/>
  <c r="G23" i="1" l="1"/>
  <c r="G89" i="1" s="1"/>
  <c r="H102" i="7"/>
  <c r="O25" i="1"/>
  <c r="W42" i="7" l="1"/>
  <c r="AB42" i="7"/>
  <c r="V23" i="1"/>
  <c r="O26" i="1"/>
  <c r="P26" i="1" s="1"/>
  <c r="U26" i="1" s="1"/>
  <c r="H26" i="1" l="1"/>
  <c r="Z33" i="7"/>
  <c r="O27" i="1"/>
  <c r="O28" i="1" l="1"/>
  <c r="H29" i="1" l="1"/>
  <c r="H105" i="1"/>
  <c r="W45" i="7"/>
  <c r="AB45" i="7"/>
  <c r="AA33" i="7"/>
  <c r="V26" i="1"/>
  <c r="O29" i="1"/>
  <c r="P29" i="1" s="1"/>
  <c r="U29" i="1" s="1"/>
  <c r="H104" i="1" l="1"/>
  <c r="H107" i="1" s="1"/>
  <c r="H110" i="1" s="1"/>
  <c r="O30" i="1"/>
  <c r="H32" i="1" l="1"/>
  <c r="O31" i="1"/>
  <c r="H35" i="1"/>
  <c r="W48" i="7" l="1"/>
  <c r="AB48" i="7"/>
  <c r="O32" i="1"/>
  <c r="P32" i="1" s="1"/>
  <c r="U32" i="1" s="1"/>
  <c r="V29" i="1"/>
  <c r="H38" i="1"/>
  <c r="O33" i="1" l="1"/>
  <c r="H41" i="1"/>
  <c r="I104" i="1" s="1"/>
  <c r="I130" i="1"/>
  <c r="I105" i="1" l="1"/>
  <c r="I107" i="1" s="1"/>
  <c r="I110" i="1" s="1"/>
  <c r="O34" i="1"/>
  <c r="H44" i="1" l="1"/>
  <c r="W51" i="7"/>
  <c r="AB51" i="7"/>
  <c r="O35" i="1"/>
  <c r="P35" i="1" s="1"/>
  <c r="U35" i="1" s="1"/>
  <c r="V32" i="1"/>
  <c r="O36" i="1" l="1"/>
  <c r="V35" i="1" l="1"/>
  <c r="W36" i="1" s="1"/>
  <c r="X36" i="1" s="1"/>
  <c r="O37" i="1"/>
  <c r="W54" i="7" l="1"/>
  <c r="AB54" i="7"/>
  <c r="O38" i="1"/>
  <c r="P38" i="1" s="1"/>
  <c r="U38" i="1" s="1"/>
  <c r="Z45" i="7" l="1"/>
  <c r="O39" i="1"/>
  <c r="O40" i="1" l="1"/>
  <c r="V38" i="1"/>
  <c r="W39" i="1" s="1"/>
  <c r="X39" i="1" s="1"/>
  <c r="W57" i="7" l="1"/>
  <c r="AB57" i="7"/>
  <c r="AA45" i="7"/>
  <c r="O41" i="1"/>
  <c r="P41" i="1" s="1"/>
  <c r="U41" i="1" s="1"/>
  <c r="O42" i="1" l="1"/>
  <c r="V41" i="1" l="1"/>
  <c r="W42" i="1" s="1"/>
  <c r="X42" i="1" s="1"/>
  <c r="O43" i="1"/>
  <c r="W60" i="7" l="1"/>
  <c r="AB60" i="7"/>
  <c r="O44" i="1"/>
  <c r="P44" i="1" s="1"/>
  <c r="U44" i="1" s="1"/>
  <c r="O45" i="1" l="1"/>
  <c r="O46" i="1" l="1"/>
  <c r="W63" i="7" l="1"/>
  <c r="AB63" i="7"/>
  <c r="O47" i="1"/>
  <c r="V44" i="1"/>
  <c r="W45" i="1" s="1"/>
  <c r="X45" i="1" s="1"/>
  <c r="P47" i="1" l="1"/>
  <c r="U47" i="1" s="1"/>
  <c r="O48" i="1"/>
  <c r="V47" i="1" l="1"/>
  <c r="W48" i="1" s="1"/>
  <c r="X48" i="1" s="1"/>
  <c r="O49" i="1"/>
  <c r="W66" i="7" l="1"/>
  <c r="AB66" i="7"/>
  <c r="O50" i="1"/>
  <c r="Z57" i="7" l="1"/>
  <c r="P50" i="1"/>
  <c r="U50" i="1" s="1"/>
  <c r="O51" i="1"/>
  <c r="V50" i="1" l="1"/>
  <c r="W51" i="1" s="1"/>
  <c r="X51" i="1" s="1"/>
  <c r="O52" i="1"/>
  <c r="W69" i="7" l="1"/>
  <c r="AB69" i="7"/>
  <c r="AA57" i="7"/>
  <c r="O53" i="1"/>
  <c r="A18" i="1"/>
  <c r="A30" i="1" s="1"/>
  <c r="A42" i="1" s="1"/>
  <c r="A54" i="1" s="1"/>
  <c r="A66" i="1" s="1"/>
  <c r="A78" i="1" s="1"/>
  <c r="B18" i="1"/>
  <c r="B30" i="1" s="1"/>
  <c r="B42" i="1" s="1"/>
  <c r="B54" i="1" s="1"/>
  <c r="B66" i="1" s="1"/>
  <c r="B78" i="1" s="1"/>
  <c r="C12" i="1"/>
  <c r="C15" i="1" s="1"/>
  <c r="C21" i="1" s="1"/>
  <c r="C24" i="1" s="1"/>
  <c r="C27" i="1" s="1"/>
  <c r="C33" i="1" s="1"/>
  <c r="C36" i="1" s="1"/>
  <c r="C39" i="1" s="1"/>
  <c r="C45" i="1" s="1"/>
  <c r="C48" i="1" s="1"/>
  <c r="C51" i="1" s="1"/>
  <c r="C57" i="1" s="1"/>
  <c r="C60" i="1" s="1"/>
  <c r="C63" i="1" s="1"/>
  <c r="C69" i="1" s="1"/>
  <c r="C72" i="1" s="1"/>
  <c r="C75" i="1" s="1"/>
  <c r="P53" i="1" l="1"/>
  <c r="U53" i="1" s="1"/>
  <c r="V53" i="1" s="1"/>
  <c r="W54" i="1" s="1"/>
  <c r="X54" i="1" s="1"/>
  <c r="O54" i="1"/>
  <c r="O55" i="1" l="1"/>
  <c r="W72" i="7" l="1"/>
  <c r="AB72" i="7"/>
  <c r="O56" i="1"/>
  <c r="P56" i="1" l="1"/>
  <c r="U56" i="1" s="1"/>
  <c r="V56" i="1" s="1"/>
  <c r="W57" i="1" s="1"/>
  <c r="X57" i="1" s="1"/>
  <c r="O57" i="1"/>
  <c r="D13" i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O58" i="1" l="1"/>
  <c r="W75" i="7" l="1"/>
  <c r="AB75" i="7"/>
  <c r="O59" i="1"/>
  <c r="Z69" i="7" l="1"/>
  <c r="P59" i="1"/>
  <c r="U59" i="1" s="1"/>
  <c r="O60" i="1"/>
  <c r="N83" i="7" l="1"/>
  <c r="V59" i="1"/>
  <c r="W60" i="1" s="1"/>
  <c r="X60" i="1" s="1"/>
  <c r="O61" i="1"/>
  <c r="M85" i="7" l="1"/>
  <c r="M86" i="7" s="1"/>
  <c r="W78" i="7"/>
  <c r="W82" i="7" s="1"/>
  <c r="AB78" i="7"/>
  <c r="AA69" i="7"/>
  <c r="AA81" i="7" s="1"/>
  <c r="W83" i="7"/>
  <c r="O62" i="1"/>
  <c r="H47" i="1" l="1"/>
  <c r="Z81" i="7"/>
  <c r="H50" i="1"/>
  <c r="P62" i="1"/>
  <c r="U62" i="1" s="1"/>
  <c r="O63" i="1"/>
  <c r="G89" i="7" l="1"/>
  <c r="G91" i="7" s="1"/>
  <c r="F92" i="7" s="1"/>
  <c r="V85" i="7"/>
  <c r="V86" i="7" s="1"/>
  <c r="V97" i="7" s="1"/>
  <c r="W98" i="7" s="1"/>
  <c r="V62" i="1"/>
  <c r="W63" i="1" s="1"/>
  <c r="X63" i="1" s="1"/>
  <c r="O64" i="1"/>
  <c r="O65" i="1" l="1"/>
  <c r="H53" i="1" l="1"/>
  <c r="J104" i="1" s="1"/>
  <c r="J105" i="1"/>
  <c r="P65" i="1"/>
  <c r="U65" i="1" s="1"/>
  <c r="O66" i="1"/>
  <c r="J107" i="1" l="1"/>
  <c r="J110" i="1" s="1"/>
  <c r="O67" i="1"/>
  <c r="V65" i="1"/>
  <c r="W66" i="1" s="1"/>
  <c r="X66" i="1" s="1"/>
  <c r="H56" i="1"/>
  <c r="O68" i="1" l="1"/>
  <c r="P68" i="1" l="1"/>
  <c r="U68" i="1" s="1"/>
  <c r="O69" i="1"/>
  <c r="H59" i="1"/>
  <c r="O70" i="1" l="1"/>
  <c r="V68" i="1"/>
  <c r="W69" i="1" s="1"/>
  <c r="X69" i="1" s="1"/>
  <c r="I132" i="1"/>
  <c r="K97" i="1" l="1"/>
  <c r="O71" i="1"/>
  <c r="H62" i="1"/>
  <c r="P71" i="1" l="1"/>
  <c r="U71" i="1" s="1"/>
  <c r="V71" i="1" s="1"/>
  <c r="W72" i="1" s="1"/>
  <c r="X72" i="1" s="1"/>
  <c r="O72" i="1"/>
  <c r="O73" i="1" l="1"/>
  <c r="H65" i="1" l="1"/>
  <c r="O74" i="1"/>
  <c r="K104" i="1"/>
  <c r="K105" i="1" l="1"/>
  <c r="K107" i="1" s="1"/>
  <c r="K110" i="1" s="1"/>
  <c r="P74" i="1"/>
  <c r="U74" i="1" s="1"/>
  <c r="V74" i="1" s="1"/>
  <c r="W75" i="1" s="1"/>
  <c r="X75" i="1" s="1"/>
  <c r="O75" i="1"/>
  <c r="H68" i="1"/>
  <c r="O76" i="1" l="1"/>
  <c r="H71" i="1"/>
  <c r="O77" i="1" l="1"/>
  <c r="P77" i="1" s="1"/>
  <c r="H74" i="1" l="1"/>
  <c r="H89" i="1" s="1"/>
  <c r="I89" i="1"/>
  <c r="P89" i="1"/>
  <c r="U77" i="1"/>
  <c r="V77" i="1" s="1"/>
  <c r="W78" i="1" s="1"/>
  <c r="X78" i="1" s="1"/>
  <c r="I95" i="1" l="1"/>
  <c r="I126" i="1"/>
  <c r="W89" i="1"/>
  <c r="L105" i="1" l="1"/>
  <c r="M105" i="1" s="1"/>
  <c r="L95" i="1"/>
  <c r="L104" i="1"/>
  <c r="L107" i="1" s="1"/>
  <c r="L110" i="1" s="1"/>
  <c r="I131" i="1" l="1"/>
  <c r="I133" i="1" s="1"/>
  <c r="Z12" i="1" l="1"/>
  <c r="Z81" i="1" l="1"/>
  <c r="M104" i="1" l="1"/>
  <c r="M107" i="1" s="1"/>
  <c r="S15" i="1"/>
  <c r="M110" i="1" l="1"/>
  <c r="J138" i="1"/>
  <c r="Z15" i="1"/>
  <c r="T15" i="1"/>
  <c r="R17" i="1" s="1"/>
  <c r="Y17" i="1" l="1"/>
  <c r="S18" i="1"/>
  <c r="T18" i="1" l="1"/>
  <c r="R20" i="1" s="1"/>
  <c r="Z18" i="1"/>
  <c r="Y20" i="1" l="1"/>
  <c r="S21" i="1" s="1"/>
  <c r="T21" i="1" l="1"/>
  <c r="R23" i="1" s="1"/>
  <c r="Z21" i="1"/>
  <c r="Y23" i="1" l="1"/>
  <c r="S24" i="1"/>
  <c r="Z24" i="1" l="1"/>
  <c r="T24" i="1"/>
  <c r="R26" i="1" s="1"/>
  <c r="Y26" i="1" s="1"/>
  <c r="S27" i="1" l="1"/>
  <c r="Z27" i="1" l="1"/>
  <c r="T27" i="1"/>
  <c r="R29" i="1" s="1"/>
  <c r="Y29" i="1" s="1"/>
  <c r="S30" i="1" l="1"/>
  <c r="T30" i="1" l="1"/>
  <c r="R32" i="1" s="1"/>
  <c r="Y32" i="1" s="1"/>
  <c r="Z30" i="1"/>
  <c r="S33" i="1" l="1"/>
  <c r="T33" i="1" s="1"/>
  <c r="R35" i="1" s="1"/>
  <c r="Y35" i="1" s="1"/>
  <c r="Z33" i="1" l="1"/>
  <c r="S36" i="1"/>
  <c r="T36" i="1" l="1"/>
  <c r="R38" i="1" s="1"/>
  <c r="Y38" i="1" s="1"/>
  <c r="Z36" i="1"/>
  <c r="S39" i="1" l="1"/>
  <c r="Z39" i="1" l="1"/>
  <c r="T39" i="1"/>
  <c r="R41" i="1" s="1"/>
  <c r="Y41" i="1" s="1"/>
  <c r="S42" i="1" l="1"/>
  <c r="T42" i="1" l="1"/>
  <c r="R44" i="1" s="1"/>
  <c r="Y44" i="1" s="1"/>
  <c r="Z42" i="1"/>
  <c r="S45" i="1" l="1"/>
  <c r="T45" i="1" s="1"/>
  <c r="R47" i="1" s="1"/>
  <c r="Y47" i="1" s="1"/>
  <c r="Z45" i="1" l="1"/>
  <c r="S48" i="1" l="1"/>
  <c r="T48" i="1" l="1"/>
  <c r="R50" i="1" s="1"/>
  <c r="Y50" i="1" s="1"/>
  <c r="Z48" i="1"/>
  <c r="S51" i="1" l="1"/>
  <c r="Z51" i="1" l="1"/>
  <c r="T51" i="1"/>
  <c r="R53" i="1" s="1"/>
  <c r="Y53" i="1" s="1"/>
  <c r="S54" i="1" l="1"/>
  <c r="T54" i="1" l="1"/>
  <c r="R56" i="1" s="1"/>
  <c r="Y56" i="1" s="1"/>
  <c r="Z54" i="1"/>
  <c r="S57" i="1" l="1"/>
  <c r="T57" i="1" l="1"/>
  <c r="R59" i="1" s="1"/>
  <c r="Y59" i="1" s="1"/>
  <c r="Z57" i="1"/>
  <c r="S60" i="1" l="1"/>
  <c r="T60" i="1" l="1"/>
  <c r="R62" i="1" s="1"/>
  <c r="Y62" i="1" s="1"/>
  <c r="Z60" i="1"/>
  <c r="S63" i="1" l="1"/>
  <c r="T63" i="1" l="1"/>
  <c r="R65" i="1" s="1"/>
  <c r="Y65" i="1" s="1"/>
  <c r="Z63" i="1"/>
  <c r="S66" i="1" l="1"/>
  <c r="Z66" i="1" l="1"/>
  <c r="T66" i="1"/>
  <c r="R68" i="1" s="1"/>
  <c r="Y68" i="1" s="1"/>
  <c r="S69" i="1" l="1"/>
  <c r="Z69" i="1" s="1"/>
  <c r="T69" i="1" l="1"/>
  <c r="R71" i="1" s="1"/>
  <c r="Y71" i="1" l="1"/>
  <c r="S72" i="1" s="1"/>
  <c r="T72" i="1" l="1"/>
  <c r="R74" i="1" s="1"/>
  <c r="Y74" i="1" s="1"/>
  <c r="Z72" i="1"/>
  <c r="S75" i="1"/>
  <c r="Z75" i="1" s="1"/>
  <c r="T75" i="1" l="1"/>
  <c r="R77" i="1" s="1"/>
  <c r="Y77" i="1" s="1"/>
  <c r="S78" i="1" l="1"/>
  <c r="T78" i="1" l="1"/>
  <c r="R80" i="1" s="1"/>
  <c r="S89" i="1"/>
  <c r="Z78" i="1"/>
  <c r="Y81" i="1" l="1"/>
  <c r="Z89" i="1"/>
  <c r="Y89" i="1"/>
  <c r="I96" i="1" l="1"/>
  <c r="I97" i="1" s="1"/>
  <c r="I127" i="1"/>
  <c r="I128" i="1" s="1"/>
  <c r="I138" i="1" s="1"/>
  <c r="J139" i="1" s="1"/>
  <c r="L97" i="1"/>
  <c r="L99" i="1" s="1"/>
  <c r="K10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tc={951BB082-DF3F-45A3-A4E8-685B56480F02}</author>
  </authors>
  <commentList>
    <comment ref="G23" authorId="0" shapeId="0" xr:uid="{951BB082-DF3F-45A3-A4E8-685B56480F02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incluye la suma de 445.881,07 dejado de pagar del 2023</t>
      </text>
    </comment>
  </commentList>
</comments>
</file>

<file path=xl/sharedStrings.xml><?xml version="1.0" encoding="utf-8"?>
<sst xmlns="http://schemas.openxmlformats.org/spreadsheetml/2006/main" count="160" uniqueCount="100">
  <si>
    <t>año</t>
  </si>
  <si>
    <t>trimestre</t>
  </si>
  <si>
    <t>mes</t>
  </si>
  <si>
    <t>ejecución</t>
  </si>
  <si>
    <t>Etapa II</t>
  </si>
  <si>
    <t>Etapa I</t>
  </si>
  <si>
    <t>TOTAL</t>
  </si>
  <si>
    <t>periodos</t>
  </si>
  <si>
    <t>Obra</t>
  </si>
  <si>
    <t>Interventoria</t>
  </si>
  <si>
    <t>%</t>
  </si>
  <si>
    <t>Reajustes</t>
  </si>
  <si>
    <t>Io</t>
  </si>
  <si>
    <t>If</t>
  </si>
  <si>
    <t>2021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</si>
  <si>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</si>
  <si>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</si>
  <si>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</si>
  <si>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</si>
  <si>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</si>
  <si>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</si>
  <si>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</si>
  <si>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</si>
  <si>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</si>
  <si>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</si>
  <si>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</si>
  <si>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</si>
  <si>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Puertos, canales, presas, sistemas de riego y otras obras hidráulicas (acueductos)</t>
  </si>
  <si>
    <t>Reajuste (IPCC)</t>
  </si>
  <si>
    <t>Total</t>
  </si>
  <si>
    <t>Trimestre</t>
  </si>
  <si>
    <t>Año</t>
  </si>
  <si>
    <t>Fiducia</t>
  </si>
  <si>
    <t>Total reajustes acumulado</t>
  </si>
  <si>
    <t>Saldo por Pagar de Obra</t>
  </si>
  <si>
    <t>ABONO A OBRA</t>
  </si>
  <si>
    <t>ABONO A REAJUSTES</t>
  </si>
  <si>
    <t>Saldo por pagar de reajustes</t>
  </si>
  <si>
    <t>acumulado</t>
  </si>
  <si>
    <t>Abono a Obra acumulado</t>
  </si>
  <si>
    <t>Abono a reajustes acumulado</t>
  </si>
  <si>
    <t>DISPONIBILIDAD PARA PROYECTO</t>
  </si>
  <si>
    <t>Total Pago a Contratista de obra</t>
  </si>
  <si>
    <t>FIDUCIA</t>
  </si>
  <si>
    <t>SALDO</t>
  </si>
  <si>
    <t>TOTAL PAGO INTERVENTORIA</t>
  </si>
  <si>
    <t>reajustes</t>
  </si>
  <si>
    <t>Impuestos</t>
  </si>
  <si>
    <t xml:space="preserve">Total obra acumulada </t>
  </si>
  <si>
    <t>especial</t>
  </si>
  <si>
    <t>pro universidad</t>
  </si>
  <si>
    <t>ica</t>
  </si>
  <si>
    <t>retefuente</t>
  </si>
  <si>
    <t>total</t>
  </si>
  <si>
    <t>trimestrales</t>
  </si>
  <si>
    <t>Calculo de Intereses  (descontar el valor de los impuestos el 8% del valor de la obra ejcutada en el trimestre)</t>
  </si>
  <si>
    <t>cupo de credito</t>
  </si>
  <si>
    <t>OBRA</t>
  </si>
  <si>
    <t>AÑO</t>
  </si>
  <si>
    <t>PRESUPUESTO OFICIAL</t>
  </si>
  <si>
    <t>ETAPA I</t>
  </si>
  <si>
    <t>ETAPA II</t>
  </si>
  <si>
    <t>APROBADO EN ACUERDO</t>
  </si>
  <si>
    <t>INTERVENTORIA</t>
  </si>
  <si>
    <t>VALOR TOTAL DE OBRAS</t>
  </si>
  <si>
    <t>VALPR TOTAL DE SEGUMIENTO Y MONITOREO</t>
  </si>
  <si>
    <t>VALRO TOTAL DE REAJUSTES</t>
  </si>
  <si>
    <t>VALOR TOTAL COSTO FINANCIERO</t>
  </si>
  <si>
    <t>VALOR TOTAL INTERVENTORIA</t>
  </si>
  <si>
    <t>VALOR TOTAL INTERVENTORIA OBRAS</t>
  </si>
  <si>
    <t>VALOR TOTAL INTERVENTORIA SEGUMIENTO Y MONITOREO</t>
  </si>
  <si>
    <t>VALOR TOTAL REAJUSTES INTERVENTORIA</t>
  </si>
  <si>
    <t>VALOR TOTAL FIDUCIA</t>
  </si>
  <si>
    <t>Ind. Icoviv</t>
  </si>
  <si>
    <t>obra</t>
  </si>
  <si>
    <t>costo financiero</t>
  </si>
  <si>
    <t>vigencias</t>
  </si>
  <si>
    <t>interventoria</t>
  </si>
  <si>
    <t>reajustes inter</t>
  </si>
  <si>
    <t>TOTAL VIGENCIAS APROBADAS</t>
  </si>
  <si>
    <t xml:space="preserve">LO LLAMADO PROYECTO </t>
  </si>
  <si>
    <t xml:space="preserve">4 = 1 + 2 + 3 </t>
  </si>
  <si>
    <t>7 = 5 + 6</t>
  </si>
  <si>
    <t>8 = 4 + 7</t>
  </si>
  <si>
    <t>10 = 1 + 5</t>
  </si>
  <si>
    <t>REAJUSTES</t>
  </si>
  <si>
    <t>COSTO FINANCIERO</t>
  </si>
  <si>
    <t>EXCEDENTE (-) MAYOR VALOR (+) VIGENCIAS</t>
  </si>
  <si>
    <t>promedio mensual</t>
  </si>
  <si>
    <t>año 2022</t>
  </si>
  <si>
    <t>segundo semestre 2022</t>
  </si>
  <si>
    <t>cuarto trimestre 2022</t>
  </si>
  <si>
    <t>T de crecimiento</t>
  </si>
  <si>
    <t xml:space="preserve">marzo </t>
  </si>
  <si>
    <t>abril</t>
  </si>
  <si>
    <t>mayo</t>
  </si>
  <si>
    <t>junio</t>
  </si>
  <si>
    <t>se toma para Io, marzo proyectado 2023</t>
  </si>
  <si>
    <t>se toma para If, del primer mes Junio proyectado 2023</t>
  </si>
  <si>
    <t>proyectado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</si>
</sst>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"/>
    <numFmt numFmtId="165" formatCode="0.000%"/>
    <numFmt numFmtId="166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Segoe UI"/>
      <family val="2"/>
    </font>
    <font>
      <sz val="9"/>
      <name val="Segoe UI"/>
      <family val="2"/>
    </font>
    <font>
      <sz val="11"/>
      <name val="Calibri"/>
      <family val="2"/>
    </font>
    <font>
      <sz val="9"/>
      <color theme="1"/>
      <name val="Segoe UI"/>
      <family val="2"/>
    </font>
    <font>
      <b/>
      <sz val="9"/>
      <color theme="1"/>
      <name val="Segoe U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5" fillId="0" borderId="0"/>
    <xf numFmtId="0" fontId="11" fillId="0" borderId="0"/>
    <xf numFmtId="9" fontId="1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81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10" fontId="0" fillId="0" borderId="0" xfId="3" applyNumberFormat="1" applyFont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0" fontId="0" fillId="0" borderId="0" xfId="3" applyNumberFormat="1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0" fontId="0" fillId="0" borderId="0" xfId="0" applyNumberFormat="1"/>
    <xf numFmtId="1" fontId="4" fillId="4" borderId="5" xfId="0" applyNumberFormat="1" applyFont="1" applyFill="1" applyBorder="1" applyAlignment="1">
      <alignment horizontal="left"/>
    </xf>
    <xf numFmtId="2" fontId="4" fillId="4" borderId="0" xfId="0" applyNumberFormat="1" applyFont="1" applyFill="1" applyAlignment="1">
      <alignment horizontal="center"/>
    </xf>
    <xf numFmtId="164" fontId="4" fillId="4" borderId="0" xfId="0" applyNumberFormat="1" applyFont="1" applyFill="1" applyAlignment="1">
      <alignment horizontal="left"/>
    </xf>
    <xf numFmtId="2" fontId="6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2" fillId="0" borderId="0" xfId="0" applyFont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10" fontId="2" fillId="6" borderId="1" xfId="3" applyNumberFormat="1" applyFont="1" applyFill="1" applyBorder="1" applyAlignment="1">
      <alignment horizontal="center"/>
    </xf>
    <xf numFmtId="44" fontId="2" fillId="6" borderId="1" xfId="2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0" fontId="2" fillId="6" borderId="1" xfId="3" applyNumberFormat="1" applyFont="1" applyFill="1" applyBorder="1" applyAlignment="1"/>
    <xf numFmtId="43" fontId="0" fillId="0" borderId="0" xfId="1" applyFont="1"/>
    <xf numFmtId="43" fontId="0" fillId="0" borderId="0" xfId="0" applyNumberFormat="1"/>
    <xf numFmtId="43" fontId="0" fillId="0" borderId="0" xfId="1" applyFont="1" applyAlignment="1">
      <alignment horizontal="center"/>
    </xf>
    <xf numFmtId="43" fontId="2" fillId="2" borderId="1" xfId="1" applyFont="1" applyFill="1" applyBorder="1" applyAlignment="1">
      <alignment horizontal="center"/>
    </xf>
    <xf numFmtId="43" fontId="2" fillId="0" borderId="0" xfId="1" applyFont="1" applyAlignment="1">
      <alignment horizontal="center"/>
    </xf>
    <xf numFmtId="43" fontId="2" fillId="6" borderId="1" xfId="1" applyFont="1" applyFill="1" applyBorder="1" applyAlignment="1">
      <alignment horizontal="center"/>
    </xf>
    <xf numFmtId="43" fontId="2" fillId="6" borderId="1" xfId="1" applyFont="1" applyFill="1" applyBorder="1" applyAlignment="1"/>
    <xf numFmtId="43" fontId="2" fillId="6" borderId="1" xfId="1" applyFont="1" applyFill="1" applyBorder="1"/>
    <xf numFmtId="43" fontId="2" fillId="0" borderId="0" xfId="1" applyFont="1"/>
    <xf numFmtId="0" fontId="2" fillId="7" borderId="1" xfId="0" applyFont="1" applyFill="1" applyBorder="1" applyAlignment="1">
      <alignment horizontal="center"/>
    </xf>
    <xf numFmtId="43" fontId="2" fillId="7" borderId="1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/>
    </xf>
    <xf numFmtId="10" fontId="0" fillId="8" borderId="0" xfId="3" applyNumberFormat="1" applyFont="1" applyFill="1"/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/>
    </xf>
    <xf numFmtId="43" fontId="0" fillId="0" borderId="1" xfId="1" applyFont="1" applyBorder="1" applyAlignment="1">
      <alignment horizontal="center"/>
    </xf>
    <xf numFmtId="10" fontId="0" fillId="0" borderId="1" xfId="3" applyNumberFormat="1" applyFont="1" applyBorder="1" applyAlignment="1">
      <alignment horizontal="center"/>
    </xf>
    <xf numFmtId="43" fontId="0" fillId="0" borderId="1" xfId="1" applyFont="1" applyBorder="1"/>
    <xf numFmtId="2" fontId="0" fillId="0" borderId="1" xfId="0" applyNumberFormat="1" applyBorder="1" applyAlignment="1">
      <alignment horizontal="center"/>
    </xf>
    <xf numFmtId="43" fontId="0" fillId="0" borderId="1" xfId="0" applyNumberFormat="1" applyBorder="1"/>
    <xf numFmtId="43" fontId="0" fillId="8" borderId="1" xfId="1" applyFont="1" applyFill="1" applyBorder="1"/>
    <xf numFmtId="43" fontId="2" fillId="0" borderId="1" xfId="1" applyFont="1" applyBorder="1" applyAlignment="1">
      <alignment horizontal="center"/>
    </xf>
    <xf numFmtId="43" fontId="2" fillId="0" borderId="1" xfId="1" applyFont="1" applyBorder="1"/>
    <xf numFmtId="10" fontId="9" fillId="0" borderId="0" xfId="3" applyNumberFormat="1" applyFont="1"/>
    <xf numFmtId="0" fontId="2" fillId="2" borderId="1" xfId="0" applyFont="1" applyFill="1" applyBorder="1" applyAlignment="1">
      <alignment horizontal="center" vertical="center" wrapText="1"/>
    </xf>
    <xf numFmtId="10" fontId="2" fillId="0" borderId="1" xfId="3" applyNumberFormat="1" applyFont="1" applyBorder="1" applyAlignment="1">
      <alignment horizontal="center"/>
    </xf>
    <xf numFmtId="10" fontId="2" fillId="6" borderId="1" xfId="3" applyNumberFormat="1" applyFont="1" applyFill="1" applyBorder="1" applyAlignment="1">
      <alignment horizontal="center" vertical="center" wrapText="1"/>
    </xf>
    <xf numFmtId="10" fontId="10" fillId="6" borderId="1" xfId="3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165" fontId="0" fillId="0" borderId="1" xfId="3" applyNumberFormat="1" applyFont="1" applyBorder="1" applyAlignment="1">
      <alignment horizontal="center"/>
    </xf>
    <xf numFmtId="44" fontId="2" fillId="0" borderId="1" xfId="2" applyFont="1" applyBorder="1" applyAlignment="1">
      <alignment horizontal="center" vertical="center" wrapText="1"/>
    </xf>
    <xf numFmtId="10" fontId="2" fillId="0" borderId="0" xfId="3" applyNumberFormat="1" applyFont="1"/>
    <xf numFmtId="43" fontId="0" fillId="10" borderId="1" xfId="1" applyFont="1" applyFill="1" applyBorder="1"/>
    <xf numFmtId="2" fontId="0" fillId="0" borderId="0" xfId="0" applyNumberFormat="1"/>
    <xf numFmtId="43" fontId="0" fillId="0" borderId="10" xfId="1" applyFont="1" applyBorder="1" applyAlignment="1">
      <alignment horizontal="center"/>
    </xf>
    <xf numFmtId="9" fontId="0" fillId="0" borderId="0" xfId="1" applyNumberFormat="1" applyFont="1"/>
    <xf numFmtId="43" fontId="0" fillId="0" borderId="20" xfId="1" applyFont="1" applyBorder="1" applyAlignment="1">
      <alignment horizontal="center"/>
    </xf>
    <xf numFmtId="43" fontId="2" fillId="0" borderId="19" xfId="1" applyFont="1" applyBorder="1" applyAlignment="1">
      <alignment horizontal="center"/>
    </xf>
    <xf numFmtId="166" fontId="1" fillId="0" borderId="14" xfId="1" applyNumberFormat="1" applyFont="1" applyBorder="1" applyAlignment="1">
      <alignment horizontal="center"/>
    </xf>
    <xf numFmtId="166" fontId="1" fillId="0" borderId="15" xfId="1" applyNumberFormat="1" applyFont="1" applyBorder="1" applyAlignment="1">
      <alignment horizontal="center"/>
    </xf>
    <xf numFmtId="43" fontId="2" fillId="0" borderId="20" xfId="1" applyFont="1" applyBorder="1" applyAlignment="1">
      <alignment horizontal="center"/>
    </xf>
    <xf numFmtId="43" fontId="1" fillId="0" borderId="16" xfId="1" applyFont="1" applyBorder="1" applyAlignment="1">
      <alignment horizontal="center"/>
    </xf>
    <xf numFmtId="43" fontId="1" fillId="0" borderId="1" xfId="1" applyFont="1" applyBorder="1" applyAlignment="1">
      <alignment horizontal="center"/>
    </xf>
    <xf numFmtId="43" fontId="1" fillId="0" borderId="1" xfId="3" applyNumberFormat="1" applyFont="1" applyBorder="1" applyAlignment="1">
      <alignment horizontal="center"/>
    </xf>
    <xf numFmtId="43" fontId="1" fillId="0" borderId="1" xfId="1" applyFont="1" applyBorder="1"/>
    <xf numFmtId="43" fontId="1" fillId="0" borderId="17" xfId="1" applyFont="1" applyBorder="1" applyAlignment="1">
      <alignment horizontal="center"/>
    </xf>
    <xf numFmtId="43" fontId="1" fillId="0" borderId="18" xfId="1" applyFont="1" applyBorder="1"/>
    <xf numFmtId="43" fontId="2" fillId="0" borderId="21" xfId="1" applyFont="1" applyBorder="1" applyAlignment="1">
      <alignment horizontal="center"/>
    </xf>
    <xf numFmtId="43" fontId="0" fillId="0" borderId="14" xfId="1" applyFont="1" applyBorder="1" applyAlignment="1">
      <alignment horizontal="center"/>
    </xf>
    <xf numFmtId="43" fontId="0" fillId="0" borderId="15" xfId="1" applyFont="1" applyBorder="1" applyAlignment="1">
      <alignment horizontal="center"/>
    </xf>
    <xf numFmtId="43" fontId="2" fillId="0" borderId="16" xfId="1" applyFont="1" applyBorder="1"/>
    <xf numFmtId="43" fontId="0" fillId="0" borderId="19" xfId="1" applyFont="1" applyBorder="1" applyAlignment="1">
      <alignment horizontal="center"/>
    </xf>
    <xf numFmtId="43" fontId="0" fillId="0" borderId="21" xfId="1" applyFont="1" applyBorder="1" applyAlignment="1">
      <alignment horizontal="center"/>
    </xf>
    <xf numFmtId="43" fontId="0" fillId="0" borderId="1" xfId="1" applyFont="1" applyBorder="1" applyAlignment="1">
      <alignment horizontal="left"/>
    </xf>
    <xf numFmtId="43" fontId="2" fillId="0" borderId="1" xfId="1" applyFont="1" applyBorder="1" applyAlignment="1">
      <alignment horizontal="left"/>
    </xf>
    <xf numFmtId="43" fontId="0" fillId="0" borderId="14" xfId="1" applyFont="1" applyBorder="1" applyAlignment="1">
      <alignment horizontal="left"/>
    </xf>
    <xf numFmtId="43" fontId="0" fillId="0" borderId="17" xfId="1" applyFont="1" applyBorder="1" applyAlignment="1">
      <alignment horizontal="left"/>
    </xf>
    <xf numFmtId="43" fontId="0" fillId="0" borderId="0" xfId="1" applyFont="1" applyAlignment="1"/>
    <xf numFmtId="166" fontId="0" fillId="0" borderId="1" xfId="1" applyNumberFormat="1" applyFont="1" applyBorder="1" applyAlignment="1"/>
    <xf numFmtId="43" fontId="2" fillId="0" borderId="1" xfId="1" applyFont="1" applyBorder="1" applyAlignment="1"/>
    <xf numFmtId="43" fontId="0" fillId="0" borderId="2" xfId="1" applyFont="1" applyBorder="1"/>
    <xf numFmtId="43" fontId="0" fillId="11" borderId="1" xfId="1" applyFont="1" applyFill="1" applyBorder="1"/>
    <xf numFmtId="43" fontId="0" fillId="11" borderId="0" xfId="1" applyFont="1" applyFill="1"/>
    <xf numFmtId="43" fontId="0" fillId="0" borderId="25" xfId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43" fontId="2" fillId="0" borderId="2" xfId="1" applyFont="1" applyBorder="1" applyAlignment="1">
      <alignment horizontal="center"/>
    </xf>
    <xf numFmtId="43" fontId="0" fillId="0" borderId="12" xfId="3" applyNumberFormat="1" applyFont="1" applyBorder="1" applyAlignment="1">
      <alignment horizontal="center"/>
    </xf>
    <xf numFmtId="43" fontId="0" fillId="0" borderId="13" xfId="3" applyNumberFormat="1" applyFont="1" applyBorder="1" applyAlignment="1">
      <alignment horizontal="center"/>
    </xf>
    <xf numFmtId="43" fontId="0" fillId="0" borderId="24" xfId="1" applyFont="1" applyBorder="1" applyAlignment="1">
      <alignment horizontal="center"/>
    </xf>
    <xf numFmtId="43" fontId="0" fillId="0" borderId="0" xfId="1" applyFont="1" applyBorder="1" applyAlignment="1">
      <alignment horizontal="center"/>
    </xf>
    <xf numFmtId="43" fontId="0" fillId="0" borderId="9" xfId="1" applyFont="1" applyBorder="1" applyAlignment="1">
      <alignment horizontal="center"/>
    </xf>
    <xf numFmtId="10" fontId="0" fillId="9" borderId="26" xfId="3" applyNumberFormat="1" applyFont="1" applyFill="1" applyBorder="1" applyAlignment="1">
      <alignment horizontal="center"/>
    </xf>
    <xf numFmtId="43" fontId="0" fillId="0" borderId="16" xfId="3" applyNumberFormat="1" applyFont="1" applyBorder="1" applyAlignment="1">
      <alignment horizontal="center"/>
    </xf>
    <xf numFmtId="10" fontId="0" fillId="9" borderId="18" xfId="3" applyNumberFormat="1" applyFont="1" applyFill="1" applyBorder="1" applyAlignment="1">
      <alignment horizontal="center"/>
    </xf>
    <xf numFmtId="43" fontId="2" fillId="0" borderId="22" xfId="1" applyFont="1" applyBorder="1" applyAlignment="1">
      <alignment horizontal="center"/>
    </xf>
    <xf numFmtId="43" fontId="0" fillId="0" borderId="27" xfId="3" applyNumberFormat="1" applyFont="1" applyBorder="1" applyAlignment="1">
      <alignment horizontal="center"/>
    </xf>
    <xf numFmtId="43" fontId="0" fillId="0" borderId="29" xfId="3" applyNumberFormat="1" applyFont="1" applyBorder="1" applyAlignment="1">
      <alignment horizontal="center"/>
    </xf>
    <xf numFmtId="43" fontId="0" fillId="0" borderId="0" xfId="3" applyNumberFormat="1" applyFont="1" applyBorder="1" applyAlignment="1">
      <alignment horizontal="center"/>
    </xf>
    <xf numFmtId="43" fontId="0" fillId="0" borderId="32" xfId="1" applyFont="1" applyBorder="1" applyAlignment="1">
      <alignment horizontal="center"/>
    </xf>
    <xf numFmtId="43" fontId="0" fillId="0" borderId="33" xfId="1" applyFont="1" applyBorder="1" applyAlignment="1">
      <alignment horizontal="center"/>
    </xf>
    <xf numFmtId="43" fontId="0" fillId="0" borderId="28" xfId="1" applyFont="1" applyBorder="1" applyAlignment="1">
      <alignment horizontal="center"/>
    </xf>
    <xf numFmtId="43" fontId="0" fillId="0" borderId="22" xfId="1" applyFont="1" applyBorder="1" applyAlignment="1">
      <alignment horizontal="center"/>
    </xf>
    <xf numFmtId="43" fontId="2" fillId="2" borderId="22" xfId="1" applyFont="1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43" fontId="0" fillId="0" borderId="0" xfId="1" applyFont="1" applyBorder="1"/>
    <xf numFmtId="43" fontId="2" fillId="0" borderId="0" xfId="1" applyFont="1" applyBorder="1"/>
    <xf numFmtId="43" fontId="0" fillId="11" borderId="0" xfId="1" applyFont="1" applyFill="1" applyBorder="1"/>
    <xf numFmtId="166" fontId="0" fillId="0" borderId="0" xfId="1" applyNumberFormat="1" applyFont="1" applyBorder="1" applyAlignment="1"/>
    <xf numFmtId="43" fontId="0" fillId="0" borderId="0" xfId="1" applyFont="1" applyBorder="1" applyAlignment="1">
      <alignment horizontal="left"/>
    </xf>
    <xf numFmtId="9" fontId="0" fillId="0" borderId="0" xfId="1" applyNumberFormat="1" applyFont="1" applyBorder="1"/>
    <xf numFmtId="43" fontId="2" fillId="0" borderId="0" xfId="1" applyFont="1" applyBorder="1" applyAlignment="1">
      <alignment horizontal="left"/>
    </xf>
    <xf numFmtId="43" fontId="0" fillId="0" borderId="0" xfId="1" applyFont="1" applyBorder="1" applyAlignment="1"/>
    <xf numFmtId="43" fontId="2" fillId="0" borderId="0" xfId="1" applyFont="1" applyBorder="1" applyAlignment="1"/>
    <xf numFmtId="0" fontId="3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" fontId="0" fillId="0" borderId="1" xfId="0" applyNumberFormat="1" applyBorder="1"/>
    <xf numFmtId="2" fontId="4" fillId="4" borderId="1" xfId="3" applyNumberFormat="1" applyFont="1" applyFill="1" applyBorder="1" applyAlignment="1">
      <alignment horizontal="center"/>
    </xf>
    <xf numFmtId="2" fontId="4" fillId="3" borderId="1" xfId="3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3" fontId="0" fillId="0" borderId="1" xfId="1" applyFont="1" applyBorder="1" applyAlignment="1">
      <alignment horizont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3" fontId="2" fillId="7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 applyAlignment="1">
      <alignment horizontal="center"/>
    </xf>
    <xf numFmtId="43" fontId="10" fillId="0" borderId="30" xfId="3" applyNumberFormat="1" applyFont="1" applyBorder="1" applyAlignment="1">
      <alignment horizontal="center"/>
    </xf>
    <xf numFmtId="43" fontId="10" fillId="0" borderId="31" xfId="3" applyNumberFormat="1" applyFont="1" applyBorder="1" applyAlignment="1">
      <alignment horizontal="center"/>
    </xf>
    <xf numFmtId="43" fontId="0" fillId="0" borderId="1" xfId="1" applyFont="1" applyBorder="1" applyAlignment="1">
      <alignment horizontal="left"/>
    </xf>
    <xf numFmtId="43" fontId="2" fillId="0" borderId="1" xfId="1" applyFont="1" applyBorder="1" applyAlignment="1">
      <alignment horizontal="left"/>
    </xf>
    <xf numFmtId="43" fontId="0" fillId="0" borderId="22" xfId="1" applyFont="1" applyBorder="1" applyAlignment="1">
      <alignment horizontal="center"/>
    </xf>
    <xf numFmtId="43" fontId="0" fillId="0" borderId="23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30" xfId="1" applyFont="1" applyBorder="1" applyAlignment="1">
      <alignment horizontal="center"/>
    </xf>
    <xf numFmtId="43" fontId="0" fillId="0" borderId="37" xfId="1" applyFont="1" applyBorder="1" applyAlignment="1">
      <alignment horizontal="center"/>
    </xf>
    <xf numFmtId="43" fontId="0" fillId="0" borderId="38" xfId="1" applyFont="1" applyBorder="1" applyAlignment="1">
      <alignment horizontal="center"/>
    </xf>
    <xf numFmtId="43" fontId="0" fillId="0" borderId="34" xfId="1" applyFont="1" applyBorder="1" applyAlignment="1">
      <alignment horizontal="center"/>
    </xf>
    <xf numFmtId="43" fontId="0" fillId="0" borderId="35" xfId="1" applyFont="1" applyBorder="1" applyAlignment="1">
      <alignment horizontal="center" vertical="center" wrapText="1"/>
    </xf>
    <xf numFmtId="43" fontId="0" fillId="0" borderId="36" xfId="1" applyFont="1" applyBorder="1" applyAlignment="1">
      <alignment horizontal="center" vertical="center" wrapText="1"/>
    </xf>
    <xf numFmtId="43" fontId="0" fillId="0" borderId="2" xfId="1" applyFont="1" applyBorder="1" applyAlignment="1">
      <alignment horizontal="left"/>
    </xf>
    <xf numFmtId="43" fontId="0" fillId="0" borderId="3" xfId="1" applyFont="1" applyBorder="1" applyAlignment="1">
      <alignment horizontal="left"/>
    </xf>
    <xf numFmtId="43" fontId="0" fillId="0" borderId="4" xfId="1" applyFont="1" applyBorder="1" applyAlignment="1">
      <alignment horizontal="left"/>
    </xf>
    <xf numFmtId="43" fontId="0" fillId="0" borderId="2" xfId="1" applyFont="1" applyBorder="1" applyAlignment="1">
      <alignment horizontal="center"/>
    </xf>
    <xf numFmtId="43" fontId="0" fillId="0" borderId="4" xfId="1" applyFont="1" applyBorder="1" applyAlignment="1">
      <alignment horizontal="center"/>
    </xf>
    <xf numFmtId="43" fontId="0" fillId="0" borderId="25" xfId="1" applyFont="1" applyBorder="1" applyAlignment="1">
      <alignment horizontal="center"/>
    </xf>
    <xf numFmtId="43" fontId="0" fillId="0" borderId="39" xfId="1" applyFont="1" applyBorder="1" applyAlignment="1">
      <alignment horizontal="center"/>
    </xf>
    <xf numFmtId="43" fontId="0" fillId="0" borderId="40" xfId="1" applyFont="1" applyBorder="1" applyAlignment="1">
      <alignment horizontal="center"/>
    </xf>
    <xf numFmtId="43" fontId="0" fillId="0" borderId="3" xfId="1" applyFont="1" applyBorder="1" applyAlignment="1">
      <alignment horizontal="center"/>
    </xf>
    <xf numFmtId="43" fontId="0" fillId="0" borderId="41" xfId="1" applyFont="1" applyBorder="1" applyAlignment="1">
      <alignment horizontal="left"/>
    </xf>
    <xf numFmtId="43" fontId="0" fillId="0" borderId="42" xfId="1" applyFont="1" applyBorder="1" applyAlignment="1">
      <alignment horizontal="left"/>
    </xf>
    <xf numFmtId="43" fontId="0" fillId="0" borderId="43" xfId="1" applyFont="1" applyBorder="1" applyAlignment="1">
      <alignment horizontal="left"/>
    </xf>
    <xf numFmtId="43" fontId="2" fillId="0" borderId="2" xfId="1" applyFont="1" applyBorder="1" applyAlignment="1">
      <alignment horizontal="left"/>
    </xf>
    <xf numFmtId="43" fontId="2" fillId="0" borderId="3" xfId="1" applyFont="1" applyBorder="1" applyAlignment="1">
      <alignment horizontal="left"/>
    </xf>
    <xf numFmtId="43" fontId="2" fillId="0" borderId="4" xfId="1" applyFont="1" applyBorder="1" applyAlignment="1">
      <alignment horizontal="left"/>
    </xf>
    <xf numFmtId="43" fontId="2" fillId="2" borderId="2" xfId="1" applyFont="1" applyFill="1" applyBorder="1" applyAlignment="1">
      <alignment horizontal="center"/>
    </xf>
    <xf numFmtId="43" fontId="2" fillId="2" borderId="4" xfId="1" applyFont="1" applyFill="1" applyBorder="1" applyAlignment="1">
      <alignment horizontal="center"/>
    </xf>
    <xf numFmtId="43" fontId="2" fillId="2" borderId="3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</cellXfs>
  <cellStyles count="10">
    <cellStyle name="Millares" xfId="1" builtinId="3"/>
    <cellStyle name="Millares 2" xfId="4" xr:uid="{6A2B4385-8D8E-405E-81F9-1DA8C9A29BAE}"/>
    <cellStyle name="Millares 2 2" xfId="9" xr:uid="{97EC609A-8D2F-4803-B49C-883AD6B50E6E}"/>
    <cellStyle name="Moneda" xfId="2" builtinId="4"/>
    <cellStyle name="Normal" xfId="0" builtinId="0"/>
    <cellStyle name="Normal 2" xfId="5" xr:uid="{97F96EBB-D124-4B9E-BED6-FAD1D247A830}"/>
    <cellStyle name="Normal 3" xfId="6" xr:uid="{CB0F67F7-CC6B-4B46-AA57-6E8195B3B486}"/>
    <cellStyle name="Normal 4" xfId="7" xr:uid="{803A3E63-3B4B-40CE-93BE-76A88D810258}"/>
    <cellStyle name="Porcentaje" xfId="3" builtinId="5"/>
    <cellStyle name="Porcentaje 2" xfId="8" xr:uid="{5518C3F5-577A-4FDA-930C-559FD3FF9A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102</xdr:row>
      <xdr:rowOff>165100</xdr:rowOff>
    </xdr:from>
    <xdr:to>
      <xdr:col>13</xdr:col>
      <xdr:colOff>127501</xdr:colOff>
      <xdr:row>112</xdr:row>
      <xdr:rowOff>127000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280F8F96-0DDE-46F0-ABED-D345DD7CD20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228850" y="21396325"/>
          <a:ext cx="7950701" cy="1866900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110</xdr:row>
      <xdr:rowOff>165100</xdr:rowOff>
    </xdr:from>
    <xdr:to>
      <xdr:col>10</xdr:col>
      <xdr:colOff>1198111</xdr:colOff>
      <xdr:row>120</xdr:row>
      <xdr:rowOff>134620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C813AC05-B780-094C-3828-FEC5C58FA06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120900" y="18408650"/>
          <a:ext cx="8166100" cy="1803400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136526</xdr:colOff>
      <xdr:row>12</xdr:row>
      <xdr:rowOff>0</xdr:rowOff>
    </xdr:from>
    <xdr:to>
      <xdr:col>23</xdr:col>
      <xdr:colOff>666751</xdr:colOff>
      <xdr:row>36</xdr:row>
      <xdr:rowOff>134620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489C9A6-92BF-40FE-A36A-EDDB1FEA1A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2196" t="19346" r="3881" b="37199"/>
        <a:stretch/>
      </xdr:blipFill>
      <xdr:spPr>
        <a:xfrm>
          <a:off x="136526" y="2444750"/>
          <a:ext cx="16917035" cy="4702810"/>
        </a:xfrm>
        <a:prstGeom prst="rect">
          <a:avLst/>
        </a:prstGeom>
      </xdr:spPr>
    </xdr:pic>
    <xdr:clientData/>
  </xdr:twoCellAnchor>
  <xdr:twoCellAnchor editAs="oneCell">
    <xdr:from>
      <xdr:col>26</xdr:col>
      <xdr:colOff>381000</xdr:colOff>
      <xdr:row>7</xdr:row>
      <xdr:rowOff>81643</xdr:rowOff>
    </xdr:from>
    <xdr:to>
      <xdr:col>39</xdr:col>
      <xdr:colOff>680357</xdr:colOff>
      <xdr:row>38</xdr:row>
      <xdr:rowOff>139881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2620C7C-9E83-405D-8AE9-EB607A274B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1784" r="24827" b="44617"/>
        <a:stretch/>
      </xdr:blipFill>
      <xdr:spPr>
        <a:xfrm>
          <a:off x="18669000" y="1578429"/>
          <a:ext cx="10395857" cy="59637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truj/OneDrive/Im&#225;genes/Documents/asesorias/Platanal%202022/241222/PRESUPUESTO%20PLATANAL_2412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Inter ET2"/>
      <sheetName val="Ppto Inter ET1"/>
      <sheetName val="FM"/>
      <sheetName val="CRON-A. PLATANAL."/>
      <sheetName val="CRONOGRAMA "/>
      <sheetName val="Ppto Obra ET1"/>
      <sheetName val="Ppto obra ET2"/>
      <sheetName val="MATERIALES"/>
      <sheetName val="EQUIPOS"/>
      <sheetName val="OTROS"/>
      <sheetName val="RES. MOV."/>
      <sheetName val="CANT. "/>
      <sheetName val="ACERO"/>
      <sheetName val="CONCRETO"/>
      <sheetName val="AIU"/>
      <sheetName val="1,01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Excavacion y Limpieza"/>
      <sheetName val="Revision y Mantenimiento"/>
      <sheetName val="Transporte"/>
    </sheetNames>
    <sheetDataSet>
      <sheetData sheetId="0"/>
      <sheetData sheetId="1"/>
      <sheetData sheetId="2"/>
      <sheetData sheetId="3"/>
      <sheetData sheetId="4"/>
      <sheetData sheetId="5">
        <row r="62">
          <cell r="I62">
            <v>26136787990</v>
          </cell>
        </row>
        <row r="82">
          <cell r="I82">
            <v>27959061172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ESAR AUGUSTO CARO PINILLA" id="{3F9BC5FA-4B83-4EF8-9F5A-BCC9EC59C4D3}" userId="S::cesar.caro1@unisimon.edu.co::d218a422-690c-40b4-8b96-f8002a105745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23" dT="2023-01-12T19:46:43.12" personId="{3F9BC5FA-4B83-4EF8-9F5A-BCC9EC59C4D3}" id="{951BB082-DF3F-45A3-A4E8-685B56480F02}">
    <text>Se incluye la suma de 445.881,07 dejado de pagar del 2023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DC505-2132-4F92-B2A1-4941C3BD069E}">
  <sheetPr>
    <tabColor rgb="FF00B050"/>
    <pageSetUpPr fitToPage="1"/>
  </sheetPr>
  <dimension ref="A1:AO131"/>
  <sheetViews>
    <sheetView view="pageBreakPreview" zoomScale="60" zoomScaleNormal="95" workbookViewId="0">
      <pane xSplit="5" ySplit="6" topLeftCell="G63" activePane="bottomRight" state="frozen"/>
      <selection pane="topRight" activeCell="E1" sqref="E1"/>
      <selection pane="bottomLeft" activeCell="A3" sqref="A3"/>
      <selection pane="bottomRight" activeCell="T80" sqref="T80"/>
    </sheetView>
  </sheetViews>
  <sheetFormatPr baseColWidth="10" defaultRowHeight="15" x14ac:dyDescent="0.2"/>
  <cols>
    <col min="1" max="1" width="2" bestFit="1" customWidth="1"/>
    <col min="2" max="2" width="7.5" customWidth="1"/>
    <col min="3" max="3" width="8.6640625" bestFit="1" customWidth="1"/>
    <col min="4" max="4" width="4" style="1" bestFit="1" customWidth="1"/>
    <col min="5" max="5" width="10.83203125" style="1" customWidth="1"/>
    <col min="6" max="6" width="14.83203125" style="28" hidden="1" customWidth="1"/>
    <col min="7" max="7" width="12.33203125" style="7" customWidth="1"/>
    <col min="8" max="8" width="20.5" style="26" bestFit="1" customWidth="1"/>
    <col min="9" max="9" width="20.1640625" style="26" bestFit="1" customWidth="1"/>
    <col min="10" max="10" width="9.5" style="1" bestFit="1" customWidth="1"/>
    <col min="11" max="11" width="18" style="26" bestFit="1" customWidth="1"/>
    <col min="12" max="12" width="18.1640625" style="26" customWidth="1"/>
    <col min="13" max="13" width="18.5" style="26" customWidth="1"/>
    <col min="14" max="14" width="20.1640625" style="26" bestFit="1" customWidth="1"/>
    <col min="15" max="15" width="16.5" style="26" customWidth="1"/>
    <col min="16" max="16" width="17.6640625" style="26" customWidth="1"/>
    <col min="17" max="17" width="17.5" style="26" customWidth="1"/>
    <col min="18" max="18" width="18" style="26" bestFit="1" customWidth="1"/>
    <col min="19" max="19" width="16.6640625" style="26" customWidth="1"/>
    <col min="20" max="20" width="20.5" style="26" customWidth="1"/>
    <col min="21" max="21" width="19" style="26" bestFit="1" customWidth="1"/>
    <col min="22" max="22" width="20.5" style="26" bestFit="1" customWidth="1"/>
    <col min="23" max="23" width="15.33203125" style="26" customWidth="1"/>
    <col min="24" max="25" width="14" style="26" customWidth="1"/>
    <col min="26" max="26" width="14.5" style="26" bestFit="1" customWidth="1"/>
    <col min="27" max="27" width="15" style="26" bestFit="1" customWidth="1"/>
    <col min="28" max="28" width="16.5" style="26" customWidth="1"/>
    <col min="29" max="29" width="8.5" style="26" customWidth="1"/>
    <col min="30" max="30" width="14" style="26" bestFit="1" customWidth="1"/>
    <col min="31" max="31" width="15.33203125" style="26" bestFit="1" customWidth="1"/>
    <col min="32" max="32" width="12.33203125" bestFit="1" customWidth="1"/>
    <col min="33" max="33" width="15.33203125" style="26" bestFit="1" customWidth="1"/>
    <col min="34" max="34" width="15.1640625" customWidth="1"/>
    <col min="35" max="35" width="13" hidden="1" customWidth="1"/>
    <col min="36" max="36" width="0" hidden="1" customWidth="1"/>
    <col min="37" max="37" width="12.83203125" bestFit="1" customWidth="1"/>
  </cols>
  <sheetData>
    <row r="1" spans="1:36" s="19" customFormat="1" ht="14.5" customHeight="1" x14ac:dyDescent="0.2">
      <c r="A1" s="125" t="s">
        <v>7</v>
      </c>
      <c r="B1" s="125"/>
      <c r="C1" s="125"/>
      <c r="D1" s="125"/>
      <c r="E1" s="125"/>
      <c r="F1" s="37"/>
      <c r="G1" s="126" t="s">
        <v>3</v>
      </c>
      <c r="H1" s="126"/>
      <c r="I1" s="126"/>
      <c r="J1" s="126" t="s">
        <v>11</v>
      </c>
      <c r="K1" s="126"/>
      <c r="L1" s="127" t="s">
        <v>48</v>
      </c>
      <c r="M1" s="127" t="s">
        <v>34</v>
      </c>
      <c r="N1" s="127" t="s">
        <v>35</v>
      </c>
      <c r="O1" s="138" t="s">
        <v>39</v>
      </c>
      <c r="P1" s="127" t="s">
        <v>33</v>
      </c>
      <c r="Q1" s="127" t="s">
        <v>37</v>
      </c>
      <c r="R1" s="127" t="s">
        <v>36</v>
      </c>
      <c r="S1" s="138" t="s">
        <v>40</v>
      </c>
      <c r="T1" s="135" t="s">
        <v>47</v>
      </c>
      <c r="U1" s="138" t="s">
        <v>55</v>
      </c>
      <c r="V1" s="129" t="s">
        <v>42</v>
      </c>
      <c r="W1" s="51"/>
      <c r="X1" s="40" t="s">
        <v>46</v>
      </c>
      <c r="Y1" s="40"/>
      <c r="Z1" s="40"/>
      <c r="AA1" s="40"/>
      <c r="AB1" s="141"/>
      <c r="AC1" s="40"/>
      <c r="AD1" s="142" t="s">
        <v>9</v>
      </c>
      <c r="AE1" s="142"/>
      <c r="AF1" s="142"/>
      <c r="AG1" s="142"/>
      <c r="AH1" s="142"/>
    </row>
    <row r="2" spans="1:36" s="19" customFormat="1" ht="16" x14ac:dyDescent="0.2">
      <c r="A2" s="125" t="s">
        <v>0</v>
      </c>
      <c r="B2" s="125"/>
      <c r="C2" s="20" t="s">
        <v>1</v>
      </c>
      <c r="D2" s="125" t="s">
        <v>2</v>
      </c>
      <c r="E2" s="125"/>
      <c r="F2" s="37"/>
      <c r="G2" s="126"/>
      <c r="H2" s="126"/>
      <c r="I2" s="126"/>
      <c r="J2" s="21" t="s">
        <v>73</v>
      </c>
      <c r="K2" s="31"/>
      <c r="L2" s="127"/>
      <c r="M2" s="127"/>
      <c r="N2" s="127"/>
      <c r="O2" s="139"/>
      <c r="P2" s="127"/>
      <c r="Q2" s="127"/>
      <c r="R2" s="127"/>
      <c r="S2" s="139"/>
      <c r="T2" s="136"/>
      <c r="U2" s="139"/>
      <c r="V2" s="129"/>
      <c r="W2" s="51"/>
      <c r="X2" s="40" t="s">
        <v>0</v>
      </c>
      <c r="Y2" s="40">
        <v>2.24E-2</v>
      </c>
      <c r="Z2" s="40"/>
      <c r="AA2" s="40"/>
      <c r="AB2" s="141"/>
      <c r="AC2" s="40"/>
      <c r="AD2" s="142" t="s">
        <v>5</v>
      </c>
      <c r="AE2" s="142"/>
      <c r="AF2" s="128" t="s">
        <v>4</v>
      </c>
      <c r="AG2" s="128"/>
      <c r="AH2" s="129" t="s">
        <v>45</v>
      </c>
    </row>
    <row r="3" spans="1:36" s="19" customFormat="1" x14ac:dyDescent="0.2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37"/>
      <c r="G3" s="24">
        <v>6</v>
      </c>
      <c r="H3" s="24">
        <v>7</v>
      </c>
      <c r="I3" s="24">
        <v>8</v>
      </c>
      <c r="J3" s="21">
        <v>9</v>
      </c>
      <c r="K3" s="31">
        <v>10</v>
      </c>
      <c r="L3" s="127"/>
      <c r="M3" s="127"/>
      <c r="N3" s="127"/>
      <c r="O3" s="139"/>
      <c r="P3" s="127"/>
      <c r="Q3" s="127"/>
      <c r="R3" s="127"/>
      <c r="S3" s="139"/>
      <c r="T3" s="137"/>
      <c r="U3" s="140"/>
      <c r="V3" s="129"/>
      <c r="W3" s="51"/>
      <c r="X3" s="40"/>
      <c r="Y3" s="40">
        <v>4.3200000000000002E-2</v>
      </c>
      <c r="Z3" s="57">
        <v>1543586.8884998816</v>
      </c>
      <c r="AA3" s="40"/>
      <c r="AB3" s="141"/>
      <c r="AC3" s="40"/>
      <c r="AD3" s="36"/>
      <c r="AE3" s="36"/>
      <c r="AF3" s="35"/>
      <c r="AG3" s="35"/>
      <c r="AH3" s="129"/>
    </row>
    <row r="4" spans="1:36" s="19" customFormat="1" ht="16" x14ac:dyDescent="0.2">
      <c r="A4" s="20"/>
      <c r="B4" s="20"/>
      <c r="C4" s="20"/>
      <c r="D4" s="20"/>
      <c r="E4" s="20"/>
      <c r="F4" s="37" t="e">
        <f>+#REF!-SUM(#REF!)</f>
        <v>#REF!</v>
      </c>
      <c r="G4" s="22" t="s">
        <v>10</v>
      </c>
      <c r="H4" s="31" t="s">
        <v>2</v>
      </c>
      <c r="I4" s="31" t="s">
        <v>1</v>
      </c>
      <c r="J4" s="23" t="s">
        <v>12</v>
      </c>
      <c r="K4" s="33">
        <f>+'Tabla de reajustes'!Z3</f>
        <v>117.05</v>
      </c>
      <c r="L4" s="127"/>
      <c r="M4" s="127"/>
      <c r="N4" s="127"/>
      <c r="O4" s="139"/>
      <c r="P4" s="127"/>
      <c r="Q4" s="127"/>
      <c r="R4" s="127"/>
      <c r="S4" s="139"/>
      <c r="T4" s="21" t="s">
        <v>54</v>
      </c>
      <c r="U4" s="54"/>
      <c r="V4" s="129"/>
      <c r="W4" s="51"/>
      <c r="X4" s="40"/>
      <c r="Y4" s="40">
        <v>0.09</v>
      </c>
      <c r="Z4" s="57">
        <v>6261548.9601959689</v>
      </c>
      <c r="AA4" s="40"/>
      <c r="AB4" s="141"/>
      <c r="AC4" s="40"/>
      <c r="AD4" s="36"/>
      <c r="AE4" s="36"/>
      <c r="AF4" s="35"/>
      <c r="AG4" s="36"/>
      <c r="AH4" s="129"/>
    </row>
    <row r="5" spans="1:36" s="19" customFormat="1" x14ac:dyDescent="0.2">
      <c r="A5" s="20"/>
      <c r="B5" s="20"/>
      <c r="C5" s="20"/>
      <c r="D5" s="20"/>
      <c r="E5" s="20"/>
      <c r="F5" s="37" t="e">
        <f>+#REF!+F4</f>
        <v>#REF!</v>
      </c>
      <c r="G5" s="22"/>
      <c r="H5" s="31"/>
      <c r="I5" s="31"/>
      <c r="J5" s="23"/>
      <c r="K5" s="33"/>
      <c r="L5" s="127"/>
      <c r="M5" s="127"/>
      <c r="N5" s="127"/>
      <c r="O5" s="139"/>
      <c r="P5" s="127"/>
      <c r="Q5" s="127"/>
      <c r="R5" s="127"/>
      <c r="S5" s="139"/>
      <c r="T5" s="21"/>
      <c r="U5" s="53"/>
      <c r="V5" s="129"/>
      <c r="W5" s="51"/>
      <c r="X5" s="40"/>
      <c r="Y5" s="40"/>
      <c r="Z5" s="40"/>
      <c r="AA5" s="40"/>
      <c r="AB5" s="141"/>
      <c r="AC5" s="40"/>
      <c r="AD5" s="36"/>
      <c r="AE5" s="36"/>
      <c r="AF5" s="35"/>
      <c r="AG5" s="36"/>
      <c r="AH5" s="129"/>
    </row>
    <row r="6" spans="1:36" s="19" customFormat="1" x14ac:dyDescent="0.2">
      <c r="A6" s="20"/>
      <c r="B6" s="20"/>
      <c r="C6" s="20"/>
      <c r="D6" s="20"/>
      <c r="E6" s="20"/>
      <c r="F6" s="37"/>
      <c r="G6" s="25"/>
      <c r="H6" s="32"/>
      <c r="I6" s="32"/>
      <c r="J6" s="24" t="s">
        <v>13</v>
      </c>
      <c r="K6" s="31" t="s">
        <v>1</v>
      </c>
      <c r="L6" s="127"/>
      <c r="M6" s="127"/>
      <c r="N6" s="127"/>
      <c r="O6" s="140"/>
      <c r="P6" s="127"/>
      <c r="Q6" s="127"/>
      <c r="R6" s="127"/>
      <c r="S6" s="140"/>
      <c r="T6" s="21"/>
      <c r="U6" s="53"/>
      <c r="V6" s="129"/>
      <c r="W6" s="51"/>
      <c r="X6" s="40"/>
      <c r="Y6" s="40"/>
      <c r="Z6" s="40"/>
      <c r="AA6" s="40"/>
      <c r="AB6" s="141"/>
      <c r="AC6" s="40"/>
      <c r="AD6" s="36" t="s">
        <v>2</v>
      </c>
      <c r="AE6" s="36" t="s">
        <v>28</v>
      </c>
      <c r="AF6" s="36" t="s">
        <v>2</v>
      </c>
      <c r="AG6" s="36" t="s">
        <v>28</v>
      </c>
      <c r="AH6" s="129"/>
    </row>
    <row r="7" spans="1:36" s="19" customFormat="1" x14ac:dyDescent="0.2">
      <c r="A7" s="20"/>
      <c r="B7" s="20"/>
      <c r="C7" s="20"/>
      <c r="D7" s="20"/>
      <c r="E7" s="20"/>
      <c r="F7" s="37"/>
      <c r="G7" s="25"/>
      <c r="H7" s="32"/>
      <c r="I7" s="32"/>
      <c r="J7" s="24"/>
      <c r="K7" s="31"/>
      <c r="L7" s="21">
        <v>11</v>
      </c>
      <c r="M7" s="21">
        <v>12</v>
      </c>
      <c r="N7" s="21">
        <v>13</v>
      </c>
      <c r="O7" s="21">
        <v>14</v>
      </c>
      <c r="P7" s="21">
        <v>15</v>
      </c>
      <c r="Q7" s="21">
        <v>16</v>
      </c>
      <c r="R7" s="21">
        <v>17</v>
      </c>
      <c r="S7" s="21">
        <v>18</v>
      </c>
      <c r="T7" s="21">
        <v>19</v>
      </c>
      <c r="U7" s="21">
        <v>20</v>
      </c>
      <c r="V7" s="51">
        <v>21</v>
      </c>
      <c r="W7" s="51"/>
      <c r="X7" s="40"/>
      <c r="Y7" s="40"/>
      <c r="Z7" s="40"/>
      <c r="AA7" s="40"/>
      <c r="AB7" s="40"/>
      <c r="AC7" s="40"/>
      <c r="AD7" s="36"/>
      <c r="AE7" s="36"/>
      <c r="AF7" s="36"/>
      <c r="AG7" s="36"/>
      <c r="AH7" s="51"/>
    </row>
    <row r="8" spans="1:36" x14ac:dyDescent="0.2">
      <c r="A8" s="6">
        <v>0</v>
      </c>
      <c r="B8" s="6">
        <v>2022</v>
      </c>
      <c r="C8" s="6">
        <v>0</v>
      </c>
      <c r="D8" s="6">
        <v>0</v>
      </c>
      <c r="E8" s="41">
        <v>44896</v>
      </c>
      <c r="F8" s="42"/>
      <c r="G8" s="43"/>
      <c r="H8" s="44"/>
      <c r="I8" s="44"/>
      <c r="J8" s="6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5"/>
      <c r="AG8" s="44"/>
      <c r="AH8" s="5"/>
    </row>
    <row r="9" spans="1:36" x14ac:dyDescent="0.2">
      <c r="A9" s="130">
        <v>1</v>
      </c>
      <c r="B9" s="130">
        <v>2023</v>
      </c>
      <c r="C9" s="133">
        <v>2</v>
      </c>
      <c r="D9" s="6">
        <v>0</v>
      </c>
      <c r="E9" s="41">
        <v>45017</v>
      </c>
      <c r="F9" s="134"/>
      <c r="G9" s="56"/>
      <c r="H9" s="44"/>
      <c r="I9" s="44"/>
      <c r="J9" s="4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134">
        <f>+SUM(R10:R21)</f>
        <v>0</v>
      </c>
      <c r="Y9" s="44"/>
      <c r="Z9" s="134">
        <f>+SUM(U9:U20)</f>
        <v>0</v>
      </c>
      <c r="AA9" s="134">
        <f>+SUM(V10:V21)</f>
        <v>0</v>
      </c>
      <c r="AB9" s="44"/>
      <c r="AC9" s="44"/>
      <c r="AD9" s="44"/>
      <c r="AE9" s="44"/>
      <c r="AF9" s="5"/>
      <c r="AG9" s="44"/>
      <c r="AH9" s="5"/>
      <c r="AI9" s="144">
        <f>+SUM(AD9:AD20)+SUM(AF9:AF20)</f>
        <v>457274.36500000005</v>
      </c>
      <c r="AJ9" s="144" t="e">
        <f>+SUM(AE9:AE20)+SUM(AG9:AG20)</f>
        <v>#REF!</v>
      </c>
    </row>
    <row r="10" spans="1:36" x14ac:dyDescent="0.2">
      <c r="A10" s="131"/>
      <c r="B10" s="131"/>
      <c r="C10" s="133"/>
      <c r="D10" s="6">
        <v>0</v>
      </c>
      <c r="E10" s="41">
        <v>45047</v>
      </c>
      <c r="F10" s="134"/>
      <c r="G10" s="56"/>
      <c r="H10" s="44"/>
      <c r="I10" s="44"/>
      <c r="J10" s="45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134"/>
      <c r="Y10" s="44"/>
      <c r="Z10" s="134"/>
      <c r="AA10" s="134"/>
      <c r="AB10" s="44"/>
      <c r="AC10" s="44"/>
      <c r="AD10" s="44"/>
      <c r="AE10" s="44"/>
      <c r="AF10" s="5"/>
      <c r="AG10" s="44"/>
      <c r="AH10" s="5"/>
      <c r="AI10" s="144"/>
      <c r="AJ10" s="144"/>
    </row>
    <row r="11" spans="1:36" x14ac:dyDescent="0.2">
      <c r="A11" s="131"/>
      <c r="B11" s="131"/>
      <c r="C11" s="133"/>
      <c r="D11" s="6">
        <v>0</v>
      </c>
      <c r="E11" s="41">
        <v>45078</v>
      </c>
      <c r="F11" s="134"/>
      <c r="G11" s="56"/>
      <c r="H11" s="44"/>
      <c r="I11" s="44"/>
      <c r="J11" s="45"/>
      <c r="K11" s="42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134"/>
      <c r="Y11" s="44"/>
      <c r="Z11" s="134"/>
      <c r="AA11" s="134"/>
      <c r="AB11" s="44"/>
      <c r="AC11" s="44"/>
      <c r="AD11" s="44"/>
      <c r="AE11" s="44"/>
      <c r="AF11" s="5"/>
      <c r="AG11" s="44"/>
      <c r="AH11" s="46">
        <f>SUM(AD9:AG11)</f>
        <v>0</v>
      </c>
      <c r="AI11" s="144"/>
      <c r="AJ11" s="144"/>
    </row>
    <row r="12" spans="1:36" x14ac:dyDescent="0.2">
      <c r="A12" s="131"/>
      <c r="B12" s="131"/>
      <c r="C12" s="133">
        <f>1+C9</f>
        <v>3</v>
      </c>
      <c r="D12" s="6">
        <v>1</v>
      </c>
      <c r="E12" s="41">
        <v>45108</v>
      </c>
      <c r="F12" s="134"/>
      <c r="G12" s="56"/>
      <c r="H12" s="44"/>
      <c r="I12" s="44"/>
      <c r="J12" s="45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 t="e">
        <f>+V12-#REF!</f>
        <v>#REF!</v>
      </c>
      <c r="X12" s="134"/>
      <c r="Y12" s="44"/>
      <c r="Z12" s="134"/>
      <c r="AA12" s="134"/>
      <c r="AB12" s="44" t="e">
        <f>+#REF!-V12</f>
        <v>#REF!</v>
      </c>
      <c r="AC12" s="44"/>
      <c r="AD12" s="44">
        <f>+F83/36</f>
        <v>50808.262777777774</v>
      </c>
      <c r="AE12" s="44"/>
      <c r="AF12" s="5"/>
      <c r="AG12" s="44"/>
      <c r="AH12" s="5"/>
      <c r="AI12" s="144"/>
      <c r="AJ12" s="144"/>
    </row>
    <row r="13" spans="1:36" x14ac:dyDescent="0.2">
      <c r="A13" s="131"/>
      <c r="B13" s="131"/>
      <c r="C13" s="133"/>
      <c r="D13" s="6">
        <f t="shared" ref="D13:D76" si="0">1+D12</f>
        <v>2</v>
      </c>
      <c r="E13" s="41">
        <v>45139</v>
      </c>
      <c r="F13" s="134"/>
      <c r="G13" s="56"/>
      <c r="H13" s="44"/>
      <c r="I13" s="44"/>
      <c r="J13" s="45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134"/>
      <c r="Y13" s="44"/>
      <c r="Z13" s="134"/>
      <c r="AA13" s="134"/>
      <c r="AB13" s="44"/>
      <c r="AC13" s="44"/>
      <c r="AD13" s="44">
        <f t="shared" ref="AD13:AE28" si="1">+AD12</f>
        <v>50808.262777777774</v>
      </c>
      <c r="AE13" s="44"/>
      <c r="AF13" s="5"/>
      <c r="AG13" s="44"/>
      <c r="AH13" s="5"/>
      <c r="AI13" s="144"/>
      <c r="AJ13" s="144"/>
    </row>
    <row r="14" spans="1:36" x14ac:dyDescent="0.2">
      <c r="A14" s="131"/>
      <c r="B14" s="131"/>
      <c r="C14" s="133"/>
      <c r="D14" s="6">
        <f t="shared" si="0"/>
        <v>3</v>
      </c>
      <c r="E14" s="41">
        <v>45170</v>
      </c>
      <c r="F14" s="134"/>
      <c r="G14" s="56"/>
      <c r="H14" s="44"/>
      <c r="I14" s="44"/>
      <c r="J14" s="45"/>
      <c r="K14" s="42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134"/>
      <c r="Y14" s="44"/>
      <c r="Z14" s="134"/>
      <c r="AA14" s="134"/>
      <c r="AB14" s="44"/>
      <c r="AC14" s="44"/>
      <c r="AD14" s="44">
        <f t="shared" si="1"/>
        <v>50808.262777777774</v>
      </c>
      <c r="AE14" s="44"/>
      <c r="AF14" s="5"/>
      <c r="AG14" s="44"/>
      <c r="AH14" s="46">
        <f t="shared" ref="AH14" si="2">SUM(AD12:AG14)</f>
        <v>152424.78833333333</v>
      </c>
      <c r="AI14" s="144"/>
      <c r="AJ14" s="144"/>
    </row>
    <row r="15" spans="1:36" x14ac:dyDescent="0.2">
      <c r="A15" s="131"/>
      <c r="B15" s="131"/>
      <c r="C15" s="133">
        <f t="shared" ref="C15" si="3">1+C12</f>
        <v>4</v>
      </c>
      <c r="D15" s="6">
        <f t="shared" si="0"/>
        <v>4</v>
      </c>
      <c r="E15" s="41">
        <v>45200</v>
      </c>
      <c r="F15" s="134"/>
      <c r="G15" s="56"/>
      <c r="H15" s="44"/>
      <c r="I15" s="44"/>
      <c r="J15" s="45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 t="e">
        <f>+V15-#REF!</f>
        <v>#REF!</v>
      </c>
      <c r="X15" s="134"/>
      <c r="Y15" s="44"/>
      <c r="Z15" s="134"/>
      <c r="AA15" s="134"/>
      <c r="AB15" s="44" t="e">
        <f>+#REF!-V15</f>
        <v>#REF!</v>
      </c>
      <c r="AC15" s="44"/>
      <c r="AD15" s="44">
        <f t="shared" si="1"/>
        <v>50808.262777777774</v>
      </c>
      <c r="AE15" s="44"/>
      <c r="AF15" s="5"/>
      <c r="AG15" s="44"/>
      <c r="AH15" s="5"/>
      <c r="AI15" s="144"/>
      <c r="AJ15" s="144"/>
    </row>
    <row r="16" spans="1:36" x14ac:dyDescent="0.2">
      <c r="A16" s="131"/>
      <c r="B16" s="131"/>
      <c r="C16" s="133"/>
      <c r="D16" s="6">
        <f t="shared" si="0"/>
        <v>5</v>
      </c>
      <c r="E16" s="41">
        <v>45231</v>
      </c>
      <c r="F16" s="134"/>
      <c r="G16" s="43"/>
      <c r="H16" s="44"/>
      <c r="I16" s="44"/>
      <c r="J16" s="45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134"/>
      <c r="Y16" s="44"/>
      <c r="Z16" s="134"/>
      <c r="AA16" s="134"/>
      <c r="AB16" s="44"/>
      <c r="AC16" s="44"/>
      <c r="AD16" s="44">
        <f t="shared" si="1"/>
        <v>50808.262777777774</v>
      </c>
      <c r="AE16" s="44"/>
      <c r="AF16" s="5"/>
      <c r="AG16" s="44"/>
      <c r="AH16" s="5"/>
      <c r="AI16" s="144"/>
      <c r="AJ16" s="144"/>
    </row>
    <row r="17" spans="1:36" x14ac:dyDescent="0.2">
      <c r="A17" s="132"/>
      <c r="B17" s="132"/>
      <c r="C17" s="133"/>
      <c r="D17" s="6">
        <f t="shared" si="0"/>
        <v>6</v>
      </c>
      <c r="E17" s="41">
        <v>45261</v>
      </c>
      <c r="F17" s="134"/>
      <c r="G17" s="43"/>
      <c r="H17" s="44"/>
      <c r="I17" s="44"/>
      <c r="J17" s="45"/>
      <c r="K17" s="42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134"/>
      <c r="Y17" s="44"/>
      <c r="Z17" s="134"/>
      <c r="AA17" s="134"/>
      <c r="AB17" s="44"/>
      <c r="AC17" s="44"/>
      <c r="AD17" s="44">
        <f t="shared" si="1"/>
        <v>50808.262777777774</v>
      </c>
      <c r="AE17" s="44"/>
      <c r="AF17" s="5"/>
      <c r="AG17" s="44"/>
      <c r="AH17" s="46">
        <f t="shared" ref="AH17" si="4">SUM(AD15:AG17)</f>
        <v>152424.78833333333</v>
      </c>
      <c r="AI17" s="144"/>
      <c r="AJ17" s="144"/>
    </row>
    <row r="18" spans="1:36" x14ac:dyDescent="0.2">
      <c r="A18" s="130">
        <f>1+A9</f>
        <v>2</v>
      </c>
      <c r="B18" s="130">
        <f>1+B9</f>
        <v>2024</v>
      </c>
      <c r="C18" s="133">
        <v>1</v>
      </c>
      <c r="D18" s="6">
        <f t="shared" si="0"/>
        <v>7</v>
      </c>
      <c r="E18" s="41">
        <v>45292</v>
      </c>
      <c r="F18" s="134"/>
      <c r="G18" s="43"/>
      <c r="H18" s="44"/>
      <c r="I18" s="44"/>
      <c r="J18" s="45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 t="e">
        <f>+V18-#REF!</f>
        <v>#REF!</v>
      </c>
      <c r="X18" s="134"/>
      <c r="Y18" s="44"/>
      <c r="Z18" s="134"/>
      <c r="AA18" s="134"/>
      <c r="AB18" s="44" t="e">
        <f>+#REF!-V18</f>
        <v>#REF!</v>
      </c>
      <c r="AC18" s="44"/>
      <c r="AD18" s="44">
        <f t="shared" si="1"/>
        <v>50808.262777777774</v>
      </c>
      <c r="AE18" s="44" t="e">
        <f>+#REF!/12000</f>
        <v>#REF!</v>
      </c>
      <c r="AF18" s="5"/>
      <c r="AG18" s="44"/>
      <c r="AH18" s="5"/>
      <c r="AI18" s="144"/>
      <c r="AJ18" s="144"/>
    </row>
    <row r="19" spans="1:36" x14ac:dyDescent="0.2">
      <c r="A19" s="131"/>
      <c r="B19" s="131"/>
      <c r="C19" s="133"/>
      <c r="D19" s="6">
        <f t="shared" si="0"/>
        <v>8</v>
      </c>
      <c r="E19" s="41">
        <v>45323</v>
      </c>
      <c r="F19" s="134"/>
      <c r="G19" s="43"/>
      <c r="H19" s="44"/>
      <c r="I19" s="44"/>
      <c r="J19" s="45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134"/>
      <c r="Y19" s="44"/>
      <c r="Z19" s="134"/>
      <c r="AA19" s="134"/>
      <c r="AB19" s="44"/>
      <c r="AC19" s="44"/>
      <c r="AD19" s="44">
        <f t="shared" si="1"/>
        <v>50808.262777777774</v>
      </c>
      <c r="AE19" s="44" t="e">
        <f>+AE18</f>
        <v>#REF!</v>
      </c>
      <c r="AF19" s="5"/>
      <c r="AG19" s="44"/>
      <c r="AH19" s="5"/>
      <c r="AI19" s="144"/>
      <c r="AJ19" s="144"/>
    </row>
    <row r="20" spans="1:36" x14ac:dyDescent="0.2">
      <c r="A20" s="131"/>
      <c r="B20" s="131"/>
      <c r="C20" s="133"/>
      <c r="D20" s="6">
        <f t="shared" si="0"/>
        <v>9</v>
      </c>
      <c r="E20" s="41">
        <v>45352</v>
      </c>
      <c r="F20" s="134"/>
      <c r="G20" s="43"/>
      <c r="H20" s="44"/>
      <c r="I20" s="44"/>
      <c r="J20" s="45"/>
      <c r="K20" s="42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134"/>
      <c r="Y20" s="44"/>
      <c r="Z20" s="134"/>
      <c r="AA20" s="134"/>
      <c r="AB20" s="44"/>
      <c r="AC20" s="44"/>
      <c r="AD20" s="44">
        <f t="shared" si="1"/>
        <v>50808.262777777774</v>
      </c>
      <c r="AE20" s="44" t="e">
        <f t="shared" si="1"/>
        <v>#REF!</v>
      </c>
      <c r="AF20" s="5"/>
      <c r="AG20" s="44"/>
      <c r="AH20" s="46" t="e">
        <f t="shared" ref="AH20" si="5">SUM(AD18:AG20)</f>
        <v>#REF!</v>
      </c>
      <c r="AI20" s="144"/>
      <c r="AJ20" s="144"/>
    </row>
    <row r="21" spans="1:36" x14ac:dyDescent="0.2">
      <c r="A21" s="131"/>
      <c r="B21" s="131"/>
      <c r="C21" s="143">
        <f t="shared" ref="C21" si="6">1+C18</f>
        <v>2</v>
      </c>
      <c r="D21" s="6">
        <f t="shared" si="0"/>
        <v>10</v>
      </c>
      <c r="E21" s="41">
        <v>45383</v>
      </c>
      <c r="F21" s="134"/>
      <c r="G21" s="43"/>
      <c r="H21" s="44"/>
      <c r="I21" s="44"/>
      <c r="J21" s="45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 t="e">
        <f>+V21-#REF!</f>
        <v>#REF!</v>
      </c>
      <c r="X21" s="134">
        <f>+SUM(R22:R33)</f>
        <v>0</v>
      </c>
      <c r="Y21" s="44"/>
      <c r="Z21" s="134">
        <f>+SUM(U21:U32)</f>
        <v>0</v>
      </c>
      <c r="AA21" s="134">
        <f>+SUM(V22:V33)</f>
        <v>0</v>
      </c>
      <c r="AB21" s="44" t="e">
        <f>+#REF!-V21</f>
        <v>#REF!</v>
      </c>
      <c r="AC21" s="44"/>
      <c r="AD21" s="44">
        <f t="shared" si="1"/>
        <v>50808.262777777774</v>
      </c>
      <c r="AE21" s="44" t="e">
        <f t="shared" si="1"/>
        <v>#REF!</v>
      </c>
      <c r="AF21" s="5"/>
      <c r="AG21" s="44"/>
      <c r="AH21" s="5"/>
      <c r="AI21" s="144">
        <f>+SUM(AD21:AD32)+SUM(AF21:AF32)</f>
        <v>609699.15333333332</v>
      </c>
      <c r="AJ21" s="144" t="e">
        <f>+SUM(AE21:AE32)+SUM(AG21:AG32)</f>
        <v>#REF!</v>
      </c>
    </row>
    <row r="22" spans="1:36" x14ac:dyDescent="0.2">
      <c r="A22" s="131"/>
      <c r="B22" s="131"/>
      <c r="C22" s="143"/>
      <c r="D22" s="6">
        <f t="shared" si="0"/>
        <v>11</v>
      </c>
      <c r="E22" s="41">
        <v>45413</v>
      </c>
      <c r="F22" s="134"/>
      <c r="G22" s="43"/>
      <c r="H22" s="44"/>
      <c r="I22" s="44"/>
      <c r="J22" s="45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134"/>
      <c r="Y22" s="44"/>
      <c r="Z22" s="134"/>
      <c r="AA22" s="134"/>
      <c r="AB22" s="44"/>
      <c r="AC22" s="44"/>
      <c r="AD22" s="44">
        <f t="shared" si="1"/>
        <v>50808.262777777774</v>
      </c>
      <c r="AE22" s="44" t="e">
        <f t="shared" si="1"/>
        <v>#REF!</v>
      </c>
      <c r="AF22" s="5"/>
      <c r="AG22" s="44"/>
      <c r="AH22" s="5"/>
      <c r="AI22" s="144"/>
      <c r="AJ22" s="144"/>
    </row>
    <row r="23" spans="1:36" x14ac:dyDescent="0.2">
      <c r="A23" s="131"/>
      <c r="B23" s="131"/>
      <c r="C23" s="143"/>
      <c r="D23" s="6">
        <f t="shared" si="0"/>
        <v>12</v>
      </c>
      <c r="E23" s="41">
        <v>45444</v>
      </c>
      <c r="F23" s="134"/>
      <c r="G23" s="43"/>
      <c r="H23" s="44"/>
      <c r="I23" s="44"/>
      <c r="J23" s="45"/>
      <c r="K23" s="42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34"/>
      <c r="Y23" s="44"/>
      <c r="Z23" s="134"/>
      <c r="AA23" s="134"/>
      <c r="AB23" s="44"/>
      <c r="AC23" s="47">
        <v>0.25</v>
      </c>
      <c r="AD23" s="44">
        <f t="shared" si="1"/>
        <v>50808.262777777774</v>
      </c>
      <c r="AE23" s="44" t="e">
        <f t="shared" si="1"/>
        <v>#REF!</v>
      </c>
      <c r="AF23" s="5"/>
      <c r="AG23" s="44"/>
      <c r="AH23" s="46" t="e">
        <f t="shared" ref="AH23" si="7">SUM(AD21:AG23)</f>
        <v>#REF!</v>
      </c>
      <c r="AI23" s="144"/>
      <c r="AJ23" s="144"/>
    </row>
    <row r="24" spans="1:36" x14ac:dyDescent="0.2">
      <c r="A24" s="131"/>
      <c r="B24" s="131"/>
      <c r="C24" s="143">
        <f t="shared" ref="C24" si="8">1+C21</f>
        <v>3</v>
      </c>
      <c r="D24" s="6">
        <f t="shared" si="0"/>
        <v>13</v>
      </c>
      <c r="E24" s="41">
        <v>45474</v>
      </c>
      <c r="F24" s="134"/>
      <c r="G24" s="43"/>
      <c r="H24" s="44"/>
      <c r="I24" s="44"/>
      <c r="J24" s="45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 t="e">
        <f>+V24-#REF!</f>
        <v>#REF!</v>
      </c>
      <c r="X24" s="134"/>
      <c r="Y24" s="44"/>
      <c r="Z24" s="134"/>
      <c r="AA24" s="134"/>
      <c r="AB24" s="44" t="e">
        <f>+#REF!-V24</f>
        <v>#REF!</v>
      </c>
      <c r="AC24" s="44"/>
      <c r="AD24" s="44">
        <f t="shared" si="1"/>
        <v>50808.262777777774</v>
      </c>
      <c r="AE24" s="44" t="e">
        <f t="shared" si="1"/>
        <v>#REF!</v>
      </c>
      <c r="AF24" s="5"/>
      <c r="AG24" s="44"/>
      <c r="AH24" s="5"/>
      <c r="AI24" s="144"/>
      <c r="AJ24" s="144"/>
    </row>
    <row r="25" spans="1:36" x14ac:dyDescent="0.2">
      <c r="A25" s="131"/>
      <c r="B25" s="131"/>
      <c r="C25" s="143"/>
      <c r="D25" s="6">
        <f t="shared" si="0"/>
        <v>14</v>
      </c>
      <c r="E25" s="41">
        <v>45505</v>
      </c>
      <c r="F25" s="134"/>
      <c r="G25" s="43"/>
      <c r="H25" s="44"/>
      <c r="I25" s="44"/>
      <c r="J25" s="45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134"/>
      <c r="Y25" s="44"/>
      <c r="Z25" s="134"/>
      <c r="AA25" s="134"/>
      <c r="AB25" s="44"/>
      <c r="AC25" s="44"/>
      <c r="AD25" s="44">
        <f t="shared" si="1"/>
        <v>50808.262777777774</v>
      </c>
      <c r="AE25" s="44" t="e">
        <f t="shared" si="1"/>
        <v>#REF!</v>
      </c>
      <c r="AF25" s="5"/>
      <c r="AG25" s="44"/>
      <c r="AH25" s="5"/>
      <c r="AI25" s="144"/>
      <c r="AJ25" s="144"/>
    </row>
    <row r="26" spans="1:36" x14ac:dyDescent="0.2">
      <c r="A26" s="131"/>
      <c r="B26" s="131"/>
      <c r="C26" s="143"/>
      <c r="D26" s="6">
        <f t="shared" si="0"/>
        <v>15</v>
      </c>
      <c r="E26" s="41">
        <v>45536</v>
      </c>
      <c r="F26" s="134"/>
      <c r="G26" s="43"/>
      <c r="H26" s="44"/>
      <c r="I26" s="44"/>
      <c r="J26" s="45"/>
      <c r="K26" s="42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134"/>
      <c r="Y26" s="44"/>
      <c r="Z26" s="134"/>
      <c r="AA26" s="134"/>
      <c r="AB26" s="44"/>
      <c r="AC26" s="44"/>
      <c r="AD26" s="44">
        <f t="shared" si="1"/>
        <v>50808.262777777774</v>
      </c>
      <c r="AE26" s="44" t="e">
        <f t="shared" si="1"/>
        <v>#REF!</v>
      </c>
      <c r="AF26" s="5"/>
      <c r="AG26" s="44"/>
      <c r="AH26" s="46" t="e">
        <f t="shared" ref="AH26" si="9">SUM(AD24:AG26)</f>
        <v>#REF!</v>
      </c>
      <c r="AI26" s="144"/>
      <c r="AJ26" s="144"/>
    </row>
    <row r="27" spans="1:36" x14ac:dyDescent="0.2">
      <c r="A27" s="131"/>
      <c r="B27" s="131"/>
      <c r="C27" s="143">
        <f t="shared" ref="C27" si="10">1+C24</f>
        <v>4</v>
      </c>
      <c r="D27" s="6">
        <f t="shared" si="0"/>
        <v>16</v>
      </c>
      <c r="E27" s="41">
        <v>45566</v>
      </c>
      <c r="F27" s="134"/>
      <c r="G27" s="43"/>
      <c r="H27" s="44"/>
      <c r="I27" s="44"/>
      <c r="J27" s="45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 t="e">
        <f>+V27-#REF!</f>
        <v>#REF!</v>
      </c>
      <c r="X27" s="134"/>
      <c r="Y27" s="44"/>
      <c r="Z27" s="134"/>
      <c r="AA27" s="134"/>
      <c r="AB27" s="44" t="e">
        <f>+#REF!-V27</f>
        <v>#REF!</v>
      </c>
      <c r="AC27" s="44"/>
      <c r="AD27" s="44">
        <f t="shared" si="1"/>
        <v>50808.262777777774</v>
      </c>
      <c r="AE27" s="44" t="e">
        <f t="shared" si="1"/>
        <v>#REF!</v>
      </c>
      <c r="AF27" s="5"/>
      <c r="AG27" s="44"/>
      <c r="AH27" s="5"/>
      <c r="AI27" s="144"/>
      <c r="AJ27" s="144"/>
    </row>
    <row r="28" spans="1:36" x14ac:dyDescent="0.2">
      <c r="A28" s="131"/>
      <c r="B28" s="131"/>
      <c r="C28" s="143"/>
      <c r="D28" s="6">
        <f t="shared" si="0"/>
        <v>17</v>
      </c>
      <c r="E28" s="41">
        <v>45597</v>
      </c>
      <c r="F28" s="134"/>
      <c r="G28" s="43"/>
      <c r="H28" s="44"/>
      <c r="I28" s="44"/>
      <c r="J28" s="45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134"/>
      <c r="Y28" s="44"/>
      <c r="Z28" s="134"/>
      <c r="AA28" s="134"/>
      <c r="AB28" s="44"/>
      <c r="AC28" s="44"/>
      <c r="AD28" s="44">
        <f t="shared" si="1"/>
        <v>50808.262777777774</v>
      </c>
      <c r="AE28" s="44" t="e">
        <f t="shared" si="1"/>
        <v>#REF!</v>
      </c>
      <c r="AF28" s="5"/>
      <c r="AG28" s="44"/>
      <c r="AH28" s="5"/>
      <c r="AI28" s="144"/>
      <c r="AJ28" s="144"/>
    </row>
    <row r="29" spans="1:36" x14ac:dyDescent="0.2">
      <c r="A29" s="132"/>
      <c r="B29" s="132"/>
      <c r="C29" s="143"/>
      <c r="D29" s="6">
        <f t="shared" si="0"/>
        <v>18</v>
      </c>
      <c r="E29" s="41">
        <v>45627</v>
      </c>
      <c r="F29" s="134"/>
      <c r="G29" s="43"/>
      <c r="H29" s="44"/>
      <c r="I29" s="44"/>
      <c r="J29" s="45"/>
      <c r="K29" s="42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134"/>
      <c r="Y29" s="44"/>
      <c r="Z29" s="134"/>
      <c r="AA29" s="134"/>
      <c r="AB29" s="44"/>
      <c r="AC29" s="44"/>
      <c r="AD29" s="44">
        <f t="shared" ref="AD29:AE44" si="11">+AD28</f>
        <v>50808.262777777774</v>
      </c>
      <c r="AE29" s="44" t="e">
        <f t="shared" si="11"/>
        <v>#REF!</v>
      </c>
      <c r="AF29" s="5"/>
      <c r="AG29" s="44"/>
      <c r="AH29" s="46" t="e">
        <f t="shared" ref="AH29" si="12">SUM(AD27:AG29)</f>
        <v>#REF!</v>
      </c>
      <c r="AI29" s="144"/>
      <c r="AJ29" s="144"/>
    </row>
    <row r="30" spans="1:36" x14ac:dyDescent="0.2">
      <c r="A30" s="130">
        <f>1+A18</f>
        <v>3</v>
      </c>
      <c r="B30" s="130">
        <f>1+B18</f>
        <v>2025</v>
      </c>
      <c r="C30" s="143">
        <v>1</v>
      </c>
      <c r="D30" s="6">
        <f t="shared" si="0"/>
        <v>19</v>
      </c>
      <c r="E30" s="41">
        <v>45658</v>
      </c>
      <c r="F30" s="134"/>
      <c r="G30" s="43"/>
      <c r="H30" s="44"/>
      <c r="I30" s="44"/>
      <c r="J30" s="45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 t="e">
        <f>+V30-#REF!</f>
        <v>#REF!</v>
      </c>
      <c r="X30" s="134"/>
      <c r="Y30" s="44"/>
      <c r="Z30" s="134"/>
      <c r="AA30" s="134"/>
      <c r="AB30" s="44" t="e">
        <f>+#REF!-V30</f>
        <v>#REF!</v>
      </c>
      <c r="AC30" s="44"/>
      <c r="AD30" s="44">
        <f t="shared" si="11"/>
        <v>50808.262777777774</v>
      </c>
      <c r="AE30" s="44" t="e">
        <f>+#REF!/12000</f>
        <v>#REF!</v>
      </c>
      <c r="AF30" s="5"/>
      <c r="AG30" s="44"/>
      <c r="AH30" s="5"/>
      <c r="AI30" s="144"/>
      <c r="AJ30" s="144"/>
    </row>
    <row r="31" spans="1:36" x14ac:dyDescent="0.2">
      <c r="A31" s="131"/>
      <c r="B31" s="131"/>
      <c r="C31" s="143"/>
      <c r="D31" s="6">
        <f t="shared" si="0"/>
        <v>20</v>
      </c>
      <c r="E31" s="41">
        <v>45689</v>
      </c>
      <c r="F31" s="134"/>
      <c r="G31" s="43"/>
      <c r="H31" s="44"/>
      <c r="I31" s="44"/>
      <c r="J31" s="45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134"/>
      <c r="Y31" s="44"/>
      <c r="Z31" s="134"/>
      <c r="AA31" s="134"/>
      <c r="AB31" s="44"/>
      <c r="AC31" s="44"/>
      <c r="AD31" s="44">
        <f t="shared" si="11"/>
        <v>50808.262777777774</v>
      </c>
      <c r="AE31" s="44" t="e">
        <f>+AE30</f>
        <v>#REF!</v>
      </c>
      <c r="AF31" s="5"/>
      <c r="AG31" s="44"/>
      <c r="AH31" s="5"/>
      <c r="AI31" s="144"/>
      <c r="AJ31" s="144"/>
    </row>
    <row r="32" spans="1:36" x14ac:dyDescent="0.2">
      <c r="A32" s="131"/>
      <c r="B32" s="131"/>
      <c r="C32" s="143"/>
      <c r="D32" s="6">
        <f t="shared" si="0"/>
        <v>21</v>
      </c>
      <c r="E32" s="41">
        <v>45717</v>
      </c>
      <c r="F32" s="134"/>
      <c r="G32" s="43"/>
      <c r="H32" s="44"/>
      <c r="I32" s="44"/>
      <c r="J32" s="45"/>
      <c r="K32" s="42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134"/>
      <c r="Y32" s="44"/>
      <c r="Z32" s="134"/>
      <c r="AA32" s="134"/>
      <c r="AB32" s="44"/>
      <c r="AC32" s="44"/>
      <c r="AD32" s="44">
        <f t="shared" si="11"/>
        <v>50808.262777777774</v>
      </c>
      <c r="AE32" s="44" t="e">
        <f t="shared" si="11"/>
        <v>#REF!</v>
      </c>
      <c r="AF32" s="5"/>
      <c r="AG32" s="44"/>
      <c r="AH32" s="46" t="e">
        <f t="shared" ref="AH32" si="13">SUM(AD30:AG32)</f>
        <v>#REF!</v>
      </c>
      <c r="AI32" s="144"/>
      <c r="AJ32" s="144"/>
    </row>
    <row r="33" spans="1:36" x14ac:dyDescent="0.2">
      <c r="A33" s="131"/>
      <c r="B33" s="131"/>
      <c r="C33" s="143">
        <f t="shared" ref="C33" si="14">1+C30</f>
        <v>2</v>
      </c>
      <c r="D33" s="6">
        <f t="shared" si="0"/>
        <v>22</v>
      </c>
      <c r="E33" s="41">
        <v>45748</v>
      </c>
      <c r="F33" s="134"/>
      <c r="G33" s="43"/>
      <c r="H33" s="44"/>
      <c r="I33" s="44"/>
      <c r="J33" s="45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 t="e">
        <f>+V33-#REF!</f>
        <v>#REF!</v>
      </c>
      <c r="X33" s="134">
        <f>+SUM(R34:R45)</f>
        <v>0</v>
      </c>
      <c r="Y33" s="44"/>
      <c r="Z33" s="134">
        <f>+SUM(U33:U44)</f>
        <v>0</v>
      </c>
      <c r="AA33" s="134">
        <f>+SUM(V34:V45)</f>
        <v>0</v>
      </c>
      <c r="AB33" s="44" t="e">
        <f>+#REF!-V33</f>
        <v>#REF!</v>
      </c>
      <c r="AC33" s="44"/>
      <c r="AD33" s="44">
        <f t="shared" si="11"/>
        <v>50808.262777777774</v>
      </c>
      <c r="AE33" s="44" t="e">
        <f>+#REF!/12000</f>
        <v>#REF!</v>
      </c>
      <c r="AF33" s="5"/>
      <c r="AG33" s="44"/>
      <c r="AH33" s="5"/>
      <c r="AI33" s="144">
        <f>+SUM(AD33:AD44)+SUM(AF33:AF44)</f>
        <v>609699.15333333332</v>
      </c>
      <c r="AJ33" s="144" t="e">
        <f>+SUM(AE33:AE44)+SUM(AG33:AG44)</f>
        <v>#REF!</v>
      </c>
    </row>
    <row r="34" spans="1:36" x14ac:dyDescent="0.2">
      <c r="A34" s="131"/>
      <c r="B34" s="131"/>
      <c r="C34" s="143"/>
      <c r="D34" s="6">
        <f t="shared" si="0"/>
        <v>23</v>
      </c>
      <c r="E34" s="41">
        <v>45778</v>
      </c>
      <c r="F34" s="134"/>
      <c r="G34" s="43"/>
      <c r="H34" s="44"/>
      <c r="I34" s="44"/>
      <c r="J34" s="45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134"/>
      <c r="Y34" s="44"/>
      <c r="Z34" s="134"/>
      <c r="AA34" s="134"/>
      <c r="AB34" s="44"/>
      <c r="AC34" s="44"/>
      <c r="AD34" s="44">
        <f t="shared" si="11"/>
        <v>50808.262777777774</v>
      </c>
      <c r="AE34" s="44" t="e">
        <f>+AE33</f>
        <v>#REF!</v>
      </c>
      <c r="AF34" s="5"/>
      <c r="AG34" s="44"/>
      <c r="AH34" s="5"/>
      <c r="AI34" s="144"/>
      <c r="AJ34" s="144"/>
    </row>
    <row r="35" spans="1:36" x14ac:dyDescent="0.2">
      <c r="A35" s="131"/>
      <c r="B35" s="131"/>
      <c r="C35" s="143"/>
      <c r="D35" s="6">
        <f t="shared" si="0"/>
        <v>24</v>
      </c>
      <c r="E35" s="41">
        <v>45809</v>
      </c>
      <c r="F35" s="134"/>
      <c r="G35" s="43"/>
      <c r="H35" s="44"/>
      <c r="I35" s="44"/>
      <c r="J35" s="45"/>
      <c r="K35" s="42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134"/>
      <c r="Y35" s="44"/>
      <c r="Z35" s="134"/>
      <c r="AA35" s="134"/>
      <c r="AB35" s="44"/>
      <c r="AC35" s="44">
        <v>0.5</v>
      </c>
      <c r="AD35" s="44">
        <f t="shared" si="11"/>
        <v>50808.262777777774</v>
      </c>
      <c r="AE35" s="44" t="e">
        <f t="shared" si="11"/>
        <v>#REF!</v>
      </c>
      <c r="AF35" s="5"/>
      <c r="AG35" s="44"/>
      <c r="AH35" s="46" t="e">
        <f t="shared" ref="AH35" si="15">SUM(AD33:AG35)</f>
        <v>#REF!</v>
      </c>
      <c r="AI35" s="144"/>
      <c r="AJ35" s="144"/>
    </row>
    <row r="36" spans="1:36" x14ac:dyDescent="0.2">
      <c r="A36" s="131"/>
      <c r="B36" s="131"/>
      <c r="C36" s="143">
        <f t="shared" ref="C36" si="16">1+C33</f>
        <v>3</v>
      </c>
      <c r="D36" s="6">
        <f t="shared" si="0"/>
        <v>25</v>
      </c>
      <c r="E36" s="41">
        <v>45839</v>
      </c>
      <c r="F36" s="134"/>
      <c r="G36" s="43"/>
      <c r="H36" s="44"/>
      <c r="I36" s="44"/>
      <c r="J36" s="45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 t="e">
        <f>+V36-#REF!</f>
        <v>#REF!</v>
      </c>
      <c r="X36" s="134"/>
      <c r="Y36" s="44"/>
      <c r="Z36" s="134"/>
      <c r="AA36" s="134"/>
      <c r="AB36" s="44" t="e">
        <f>+#REF!-V36</f>
        <v>#REF!</v>
      </c>
      <c r="AC36" s="44"/>
      <c r="AD36" s="44">
        <f t="shared" si="11"/>
        <v>50808.262777777774</v>
      </c>
      <c r="AE36" s="44" t="e">
        <f t="shared" si="11"/>
        <v>#REF!</v>
      </c>
      <c r="AF36" s="5"/>
      <c r="AG36" s="44"/>
      <c r="AH36" s="5"/>
      <c r="AI36" s="144"/>
      <c r="AJ36" s="144"/>
    </row>
    <row r="37" spans="1:36" x14ac:dyDescent="0.2">
      <c r="A37" s="131"/>
      <c r="B37" s="131"/>
      <c r="C37" s="143"/>
      <c r="D37" s="6">
        <f t="shared" si="0"/>
        <v>26</v>
      </c>
      <c r="E37" s="41">
        <v>45870</v>
      </c>
      <c r="F37" s="134"/>
      <c r="G37" s="43"/>
      <c r="H37" s="44"/>
      <c r="I37" s="44"/>
      <c r="J37" s="45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134"/>
      <c r="Y37" s="44"/>
      <c r="Z37" s="134"/>
      <c r="AA37" s="134"/>
      <c r="AB37" s="44"/>
      <c r="AC37" s="44"/>
      <c r="AD37" s="44">
        <f t="shared" si="11"/>
        <v>50808.262777777774</v>
      </c>
      <c r="AE37" s="44" t="e">
        <f t="shared" si="11"/>
        <v>#REF!</v>
      </c>
      <c r="AF37" s="5"/>
      <c r="AG37" s="44"/>
      <c r="AH37" s="5"/>
      <c r="AI37" s="144"/>
      <c r="AJ37" s="144"/>
    </row>
    <row r="38" spans="1:36" x14ac:dyDescent="0.2">
      <c r="A38" s="131"/>
      <c r="B38" s="131"/>
      <c r="C38" s="143"/>
      <c r="D38" s="6">
        <f t="shared" si="0"/>
        <v>27</v>
      </c>
      <c r="E38" s="41">
        <v>45901</v>
      </c>
      <c r="F38" s="134"/>
      <c r="G38" s="43"/>
      <c r="H38" s="44"/>
      <c r="I38" s="44"/>
      <c r="J38" s="45"/>
      <c r="K38" s="42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134"/>
      <c r="Y38" s="44"/>
      <c r="Z38" s="134"/>
      <c r="AA38" s="134"/>
      <c r="AB38" s="44"/>
      <c r="AC38" s="44"/>
      <c r="AD38" s="44">
        <f t="shared" si="11"/>
        <v>50808.262777777774</v>
      </c>
      <c r="AE38" s="44" t="e">
        <f t="shared" si="11"/>
        <v>#REF!</v>
      </c>
      <c r="AF38" s="5"/>
      <c r="AG38" s="44"/>
      <c r="AH38" s="46" t="e">
        <f t="shared" ref="AH38" si="17">SUM(AD36:AG38)</f>
        <v>#REF!</v>
      </c>
      <c r="AI38" s="144"/>
      <c r="AJ38" s="144"/>
    </row>
    <row r="39" spans="1:36" x14ac:dyDescent="0.2">
      <c r="A39" s="131"/>
      <c r="B39" s="131"/>
      <c r="C39" s="143">
        <f t="shared" ref="C39" si="18">1+C36</f>
        <v>4</v>
      </c>
      <c r="D39" s="6">
        <f t="shared" si="0"/>
        <v>28</v>
      </c>
      <c r="E39" s="41">
        <v>45931</v>
      </c>
      <c r="F39" s="134"/>
      <c r="G39" s="43"/>
      <c r="H39" s="44"/>
      <c r="I39" s="44"/>
      <c r="J39" s="45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 t="e">
        <f>+V39-#REF!</f>
        <v>#REF!</v>
      </c>
      <c r="X39" s="134"/>
      <c r="Y39" s="44"/>
      <c r="Z39" s="134"/>
      <c r="AA39" s="134"/>
      <c r="AB39" s="44" t="e">
        <f>+#REF!-V39</f>
        <v>#REF!</v>
      </c>
      <c r="AC39" s="44"/>
      <c r="AD39" s="44">
        <f t="shared" si="11"/>
        <v>50808.262777777774</v>
      </c>
      <c r="AE39" s="44" t="e">
        <f t="shared" si="11"/>
        <v>#REF!</v>
      </c>
      <c r="AF39" s="5"/>
      <c r="AG39" s="44"/>
      <c r="AH39" s="5"/>
      <c r="AI39" s="144"/>
      <c r="AJ39" s="144"/>
    </row>
    <row r="40" spans="1:36" x14ac:dyDescent="0.2">
      <c r="A40" s="131"/>
      <c r="B40" s="131"/>
      <c r="C40" s="143"/>
      <c r="D40" s="6">
        <f t="shared" si="0"/>
        <v>29</v>
      </c>
      <c r="E40" s="41">
        <v>45962</v>
      </c>
      <c r="F40" s="134"/>
      <c r="G40" s="43"/>
      <c r="H40" s="44"/>
      <c r="I40" s="44"/>
      <c r="J40" s="45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134"/>
      <c r="Y40" s="44"/>
      <c r="Z40" s="134"/>
      <c r="AA40" s="134"/>
      <c r="AB40" s="44"/>
      <c r="AC40" s="44"/>
      <c r="AD40" s="44">
        <f t="shared" si="11"/>
        <v>50808.262777777774</v>
      </c>
      <c r="AE40" s="44" t="e">
        <f t="shared" si="11"/>
        <v>#REF!</v>
      </c>
      <c r="AF40" s="5"/>
      <c r="AG40" s="44"/>
      <c r="AH40" s="5"/>
      <c r="AI40" s="144"/>
      <c r="AJ40" s="144"/>
    </row>
    <row r="41" spans="1:36" x14ac:dyDescent="0.2">
      <c r="A41" s="132"/>
      <c r="B41" s="132"/>
      <c r="C41" s="143"/>
      <c r="D41" s="6">
        <f t="shared" si="0"/>
        <v>30</v>
      </c>
      <c r="E41" s="41">
        <v>45992</v>
      </c>
      <c r="F41" s="134"/>
      <c r="G41" s="43"/>
      <c r="H41" s="44"/>
      <c r="I41" s="44"/>
      <c r="J41" s="45"/>
      <c r="K41" s="42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134"/>
      <c r="Y41" s="44"/>
      <c r="Z41" s="134"/>
      <c r="AA41" s="134"/>
      <c r="AB41" s="44"/>
      <c r="AC41" s="44"/>
      <c r="AD41" s="44">
        <f t="shared" si="11"/>
        <v>50808.262777777774</v>
      </c>
      <c r="AE41" s="44" t="e">
        <f t="shared" si="11"/>
        <v>#REF!</v>
      </c>
      <c r="AF41" s="5"/>
      <c r="AG41" s="44"/>
      <c r="AH41" s="46" t="e">
        <f t="shared" ref="AH41" si="19">SUM(AD39:AG41)</f>
        <v>#REF!</v>
      </c>
      <c r="AI41" s="144"/>
      <c r="AJ41" s="144"/>
    </row>
    <row r="42" spans="1:36" x14ac:dyDescent="0.2">
      <c r="A42" s="130">
        <f>1+A30</f>
        <v>4</v>
      </c>
      <c r="B42" s="130">
        <f>1+B30</f>
        <v>2026</v>
      </c>
      <c r="C42" s="143">
        <v>1</v>
      </c>
      <c r="D42" s="6">
        <f t="shared" si="0"/>
        <v>31</v>
      </c>
      <c r="E42" s="41">
        <v>46023</v>
      </c>
      <c r="F42" s="134"/>
      <c r="G42" s="43"/>
      <c r="H42" s="44"/>
      <c r="I42" s="44"/>
      <c r="J42" s="45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 t="e">
        <f>+V42-#REF!</f>
        <v>#REF!</v>
      </c>
      <c r="X42" s="134"/>
      <c r="Y42" s="44"/>
      <c r="Z42" s="134"/>
      <c r="AA42" s="134"/>
      <c r="AB42" s="44" t="e">
        <f>+#REF!-V42</f>
        <v>#REF!</v>
      </c>
      <c r="AC42" s="44"/>
      <c r="AD42" s="44">
        <f t="shared" si="11"/>
        <v>50808.262777777774</v>
      </c>
      <c r="AE42" s="44" t="e">
        <f>+AE41*(AE30-AE29)/AE29+AE41</f>
        <v>#REF!</v>
      </c>
      <c r="AF42" s="5"/>
      <c r="AG42" s="44"/>
      <c r="AH42" s="5"/>
      <c r="AI42" s="144"/>
      <c r="AJ42" s="144"/>
    </row>
    <row r="43" spans="1:36" x14ac:dyDescent="0.2">
      <c r="A43" s="131"/>
      <c r="B43" s="131"/>
      <c r="C43" s="143"/>
      <c r="D43" s="6">
        <f t="shared" si="0"/>
        <v>32</v>
      </c>
      <c r="E43" s="41">
        <v>46054</v>
      </c>
      <c r="F43" s="134"/>
      <c r="G43" s="43"/>
      <c r="H43" s="44"/>
      <c r="I43" s="44"/>
      <c r="J43" s="45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134"/>
      <c r="Y43" s="44"/>
      <c r="Z43" s="134"/>
      <c r="AA43" s="134"/>
      <c r="AB43" s="44"/>
      <c r="AC43" s="44"/>
      <c r="AD43" s="44">
        <f t="shared" si="11"/>
        <v>50808.262777777774</v>
      </c>
      <c r="AE43" s="44" t="e">
        <f t="shared" si="11"/>
        <v>#REF!</v>
      </c>
      <c r="AF43" s="5"/>
      <c r="AG43" s="44"/>
      <c r="AH43" s="5"/>
      <c r="AI43" s="144"/>
      <c r="AJ43" s="144"/>
    </row>
    <row r="44" spans="1:36" x14ac:dyDescent="0.2">
      <c r="A44" s="131"/>
      <c r="B44" s="131"/>
      <c r="C44" s="143"/>
      <c r="D44" s="6">
        <f t="shared" si="0"/>
        <v>33</v>
      </c>
      <c r="E44" s="41">
        <v>46082</v>
      </c>
      <c r="F44" s="134"/>
      <c r="G44" s="43"/>
      <c r="H44" s="44"/>
      <c r="I44" s="44"/>
      <c r="J44" s="45"/>
      <c r="K44" s="42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134"/>
      <c r="Y44" s="44"/>
      <c r="Z44" s="134"/>
      <c r="AA44" s="134"/>
      <c r="AB44" s="44"/>
      <c r="AC44" s="44"/>
      <c r="AD44" s="44">
        <f t="shared" si="11"/>
        <v>50808.262777777774</v>
      </c>
      <c r="AE44" s="44" t="e">
        <f t="shared" si="11"/>
        <v>#REF!</v>
      </c>
      <c r="AF44" s="5"/>
      <c r="AG44" s="44"/>
      <c r="AH44" s="46" t="e">
        <f t="shared" ref="AH44" si="20">SUM(AD42:AG44)</f>
        <v>#REF!</v>
      </c>
      <c r="AI44" s="144"/>
      <c r="AJ44" s="144"/>
    </row>
    <row r="45" spans="1:36" x14ac:dyDescent="0.2">
      <c r="A45" s="131"/>
      <c r="B45" s="131"/>
      <c r="C45" s="143">
        <f t="shared" ref="C45" si="21">1+C42</f>
        <v>2</v>
      </c>
      <c r="D45" s="6">
        <f t="shared" si="0"/>
        <v>34</v>
      </c>
      <c r="E45" s="41">
        <v>46113</v>
      </c>
      <c r="F45" s="134"/>
      <c r="G45" s="43"/>
      <c r="H45" s="44"/>
      <c r="I45" s="44"/>
      <c r="J45" s="45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 t="e">
        <f>+V45-#REF!</f>
        <v>#REF!</v>
      </c>
      <c r="X45" s="134">
        <f>+SUM(R46:R57)</f>
        <v>0</v>
      </c>
      <c r="Y45" s="44"/>
      <c r="Z45" s="134">
        <f>+SUM(U45:U56)</f>
        <v>0</v>
      </c>
      <c r="AA45" s="134">
        <f>+SUM(V46:V57)</f>
        <v>0</v>
      </c>
      <c r="AB45" s="44" t="e">
        <f>+#REF!-V45</f>
        <v>#REF!</v>
      </c>
      <c r="AC45" s="44"/>
      <c r="AD45" s="44">
        <f t="shared" ref="AD45:AE47" si="22">+AD44</f>
        <v>50808.262777777774</v>
      </c>
      <c r="AE45" s="44" t="e">
        <f t="shared" si="22"/>
        <v>#REF!</v>
      </c>
      <c r="AF45" s="44"/>
      <c r="AG45" s="44"/>
      <c r="AH45" s="5"/>
      <c r="AI45" s="144">
        <f>+SUM(AD45:AD56)+SUM(AF45:AF56)</f>
        <v>390282.57608333335</v>
      </c>
      <c r="AJ45" s="144" t="e">
        <f>+SUM(AE45:AE56)+SUM(AG45:AG56)</f>
        <v>#REF!</v>
      </c>
    </row>
    <row r="46" spans="1:36" x14ac:dyDescent="0.2">
      <c r="A46" s="131"/>
      <c r="B46" s="131"/>
      <c r="C46" s="143"/>
      <c r="D46" s="6">
        <f t="shared" si="0"/>
        <v>35</v>
      </c>
      <c r="E46" s="41">
        <v>46143</v>
      </c>
      <c r="F46" s="134"/>
      <c r="G46" s="43"/>
      <c r="H46" s="44"/>
      <c r="I46" s="44"/>
      <c r="J46" s="45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134"/>
      <c r="Y46" s="44"/>
      <c r="Z46" s="134"/>
      <c r="AA46" s="134"/>
      <c r="AB46" s="44"/>
      <c r="AC46" s="44"/>
      <c r="AD46" s="44">
        <f t="shared" si="22"/>
        <v>50808.262777777774</v>
      </c>
      <c r="AE46" s="44" t="e">
        <f t="shared" si="22"/>
        <v>#REF!</v>
      </c>
      <c r="AF46" s="46"/>
      <c r="AG46" s="44"/>
      <c r="AH46" s="5"/>
      <c r="AI46" s="144"/>
      <c r="AJ46" s="144"/>
    </row>
    <row r="47" spans="1:36" x14ac:dyDescent="0.2">
      <c r="A47" s="131"/>
      <c r="B47" s="131"/>
      <c r="C47" s="143"/>
      <c r="D47" s="6">
        <f t="shared" si="0"/>
        <v>36</v>
      </c>
      <c r="E47" s="41">
        <v>46174</v>
      </c>
      <c r="F47" s="134"/>
      <c r="G47" s="43"/>
      <c r="H47" s="44"/>
      <c r="I47" s="44"/>
      <c r="J47" s="45"/>
      <c r="K47" s="42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134"/>
      <c r="Y47" s="44"/>
      <c r="Z47" s="134"/>
      <c r="AA47" s="134"/>
      <c r="AB47" s="44"/>
      <c r="AC47" s="44">
        <v>0.75</v>
      </c>
      <c r="AD47" s="44">
        <f t="shared" si="22"/>
        <v>50808.262777777774</v>
      </c>
      <c r="AE47" s="44" t="e">
        <f t="shared" si="22"/>
        <v>#REF!</v>
      </c>
      <c r="AF47" s="46"/>
      <c r="AG47" s="44"/>
      <c r="AH47" s="46" t="e">
        <f t="shared" ref="AH47" si="23">SUM(AD45:AG47)</f>
        <v>#REF!</v>
      </c>
      <c r="AI47" s="144"/>
      <c r="AJ47" s="144"/>
    </row>
    <row r="48" spans="1:36" x14ac:dyDescent="0.2">
      <c r="A48" s="131"/>
      <c r="B48" s="131"/>
      <c r="C48" s="143">
        <f t="shared" ref="C48" si="24">1+C45</f>
        <v>3</v>
      </c>
      <c r="D48" s="6">
        <f t="shared" si="0"/>
        <v>37</v>
      </c>
      <c r="E48" s="41">
        <v>46204</v>
      </c>
      <c r="F48" s="134"/>
      <c r="G48" s="43"/>
      <c r="H48" s="44"/>
      <c r="I48" s="44"/>
      <c r="J48" s="45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 t="e">
        <f>+V48-#REF!</f>
        <v>#REF!</v>
      </c>
      <c r="X48" s="134"/>
      <c r="Y48" s="44"/>
      <c r="Z48" s="134"/>
      <c r="AA48" s="134"/>
      <c r="AB48" s="44" t="e">
        <f>+#REF!-V48</f>
        <v>#REF!</v>
      </c>
      <c r="AC48" s="44"/>
      <c r="AD48" s="44"/>
      <c r="AE48" s="44"/>
      <c r="AF48" s="46">
        <f>+F84/24</f>
        <v>26428.643083333332</v>
      </c>
      <c r="AG48" s="44" t="e">
        <f>+#REF!/12000</f>
        <v>#REF!</v>
      </c>
      <c r="AH48" s="5"/>
      <c r="AI48" s="144"/>
      <c r="AJ48" s="144"/>
    </row>
    <row r="49" spans="1:36" x14ac:dyDescent="0.2">
      <c r="A49" s="131"/>
      <c r="B49" s="131"/>
      <c r="C49" s="143"/>
      <c r="D49" s="6">
        <f t="shared" si="0"/>
        <v>38</v>
      </c>
      <c r="E49" s="41">
        <v>46235</v>
      </c>
      <c r="F49" s="134"/>
      <c r="G49" s="43"/>
      <c r="H49" s="44"/>
      <c r="I49" s="44"/>
      <c r="J49" s="45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134"/>
      <c r="Y49" s="44"/>
      <c r="Z49" s="134"/>
      <c r="AA49" s="134"/>
      <c r="AB49" s="44"/>
      <c r="AC49" s="44"/>
      <c r="AD49" s="44"/>
      <c r="AE49" s="44"/>
      <c r="AF49" s="46">
        <f t="shared" ref="AF49:AG64" si="25">+AF48</f>
        <v>26428.643083333332</v>
      </c>
      <c r="AG49" s="44" t="e">
        <f t="shared" si="25"/>
        <v>#REF!</v>
      </c>
      <c r="AH49" s="5"/>
      <c r="AI49" s="144"/>
      <c r="AJ49" s="144"/>
    </row>
    <row r="50" spans="1:36" x14ac:dyDescent="0.2">
      <c r="A50" s="131"/>
      <c r="B50" s="131"/>
      <c r="C50" s="143"/>
      <c r="D50" s="6">
        <f t="shared" si="0"/>
        <v>39</v>
      </c>
      <c r="E50" s="41">
        <v>46266</v>
      </c>
      <c r="F50" s="134"/>
      <c r="G50" s="43"/>
      <c r="H50" s="44"/>
      <c r="I50" s="44"/>
      <c r="J50" s="45"/>
      <c r="K50" s="42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134"/>
      <c r="Y50" s="44"/>
      <c r="Z50" s="134"/>
      <c r="AA50" s="134"/>
      <c r="AB50" s="44"/>
      <c r="AC50" s="44"/>
      <c r="AD50" s="44"/>
      <c r="AE50" s="44"/>
      <c r="AF50" s="46">
        <f t="shared" si="25"/>
        <v>26428.643083333332</v>
      </c>
      <c r="AG50" s="44" t="e">
        <f t="shared" si="25"/>
        <v>#REF!</v>
      </c>
      <c r="AH50" s="46" t="e">
        <f t="shared" ref="AH50" si="26">SUM(AD48:AG50)</f>
        <v>#REF!</v>
      </c>
      <c r="AI50" s="144"/>
      <c r="AJ50" s="144"/>
    </row>
    <row r="51" spans="1:36" x14ac:dyDescent="0.2">
      <c r="A51" s="131"/>
      <c r="B51" s="131"/>
      <c r="C51" s="143">
        <f t="shared" ref="C51" si="27">1+C48</f>
        <v>4</v>
      </c>
      <c r="D51" s="6">
        <f t="shared" si="0"/>
        <v>40</v>
      </c>
      <c r="E51" s="41">
        <v>46296</v>
      </c>
      <c r="F51" s="134"/>
      <c r="G51" s="43"/>
      <c r="H51" s="44"/>
      <c r="I51" s="44"/>
      <c r="J51" s="45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 t="e">
        <f>+V51-#REF!</f>
        <v>#REF!</v>
      </c>
      <c r="X51" s="134"/>
      <c r="Y51" s="44"/>
      <c r="Z51" s="134"/>
      <c r="AA51" s="134"/>
      <c r="AB51" s="44" t="e">
        <f>+#REF!-V51</f>
        <v>#REF!</v>
      </c>
      <c r="AC51" s="44"/>
      <c r="AD51" s="44"/>
      <c r="AE51" s="44"/>
      <c r="AF51" s="46">
        <f t="shared" si="25"/>
        <v>26428.643083333332</v>
      </c>
      <c r="AG51" s="44" t="e">
        <f t="shared" si="25"/>
        <v>#REF!</v>
      </c>
      <c r="AH51" s="5"/>
      <c r="AI51" s="144"/>
      <c r="AJ51" s="144"/>
    </row>
    <row r="52" spans="1:36" x14ac:dyDescent="0.2">
      <c r="A52" s="131"/>
      <c r="B52" s="131"/>
      <c r="C52" s="143"/>
      <c r="D52" s="6">
        <f t="shared" si="0"/>
        <v>41</v>
      </c>
      <c r="E52" s="41">
        <v>46327</v>
      </c>
      <c r="F52" s="134"/>
      <c r="G52" s="43"/>
      <c r="H52" s="44"/>
      <c r="I52" s="44"/>
      <c r="J52" s="45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134"/>
      <c r="Y52" s="44"/>
      <c r="Z52" s="134"/>
      <c r="AA52" s="134"/>
      <c r="AB52" s="44"/>
      <c r="AC52" s="44"/>
      <c r="AD52" s="44"/>
      <c r="AE52" s="44"/>
      <c r="AF52" s="46">
        <f t="shared" si="25"/>
        <v>26428.643083333332</v>
      </c>
      <c r="AG52" s="44" t="e">
        <f t="shared" si="25"/>
        <v>#REF!</v>
      </c>
      <c r="AH52" s="5"/>
      <c r="AI52" s="144"/>
      <c r="AJ52" s="144"/>
    </row>
    <row r="53" spans="1:36" x14ac:dyDescent="0.2">
      <c r="A53" s="132"/>
      <c r="B53" s="132"/>
      <c r="C53" s="143"/>
      <c r="D53" s="6">
        <f t="shared" si="0"/>
        <v>42</v>
      </c>
      <c r="E53" s="41">
        <v>46357</v>
      </c>
      <c r="F53" s="134"/>
      <c r="G53" s="43"/>
      <c r="H53" s="44"/>
      <c r="I53" s="44"/>
      <c r="J53" s="45"/>
      <c r="K53" s="42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134"/>
      <c r="Y53" s="44"/>
      <c r="Z53" s="134"/>
      <c r="AA53" s="134"/>
      <c r="AB53" s="44"/>
      <c r="AC53" s="44"/>
      <c r="AD53" s="44"/>
      <c r="AE53" s="44"/>
      <c r="AF53" s="46">
        <f t="shared" si="25"/>
        <v>26428.643083333332</v>
      </c>
      <c r="AG53" s="44" t="e">
        <f t="shared" si="25"/>
        <v>#REF!</v>
      </c>
      <c r="AH53" s="46" t="e">
        <f t="shared" ref="AH53" si="28">SUM(AD51:AG53)</f>
        <v>#REF!</v>
      </c>
      <c r="AI53" s="144"/>
      <c r="AJ53" s="144"/>
    </row>
    <row r="54" spans="1:36" x14ac:dyDescent="0.2">
      <c r="A54" s="130">
        <f>1+A42</f>
        <v>5</v>
      </c>
      <c r="B54" s="130">
        <f>1+B42</f>
        <v>2027</v>
      </c>
      <c r="C54" s="143">
        <v>1</v>
      </c>
      <c r="D54" s="6">
        <f t="shared" si="0"/>
        <v>43</v>
      </c>
      <c r="E54" s="41">
        <v>46388</v>
      </c>
      <c r="F54" s="134"/>
      <c r="G54" s="43"/>
      <c r="H54" s="44"/>
      <c r="I54" s="44"/>
      <c r="J54" s="45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 t="e">
        <f>+V54-#REF!</f>
        <v>#REF!</v>
      </c>
      <c r="X54" s="134"/>
      <c r="Y54" s="44"/>
      <c r="Z54" s="134"/>
      <c r="AA54" s="134"/>
      <c r="AB54" s="44" t="e">
        <f>+#REF!-V54</f>
        <v>#REF!</v>
      </c>
      <c r="AC54" s="44"/>
      <c r="AD54" s="44"/>
      <c r="AE54" s="44"/>
      <c r="AF54" s="46">
        <f t="shared" si="25"/>
        <v>26428.643083333332</v>
      </c>
      <c r="AG54" s="44" t="e">
        <f t="shared" si="25"/>
        <v>#REF!</v>
      </c>
      <c r="AH54" s="5"/>
      <c r="AI54" s="144"/>
      <c r="AJ54" s="144"/>
    </row>
    <row r="55" spans="1:36" x14ac:dyDescent="0.2">
      <c r="A55" s="131"/>
      <c r="B55" s="131"/>
      <c r="C55" s="143"/>
      <c r="D55" s="6">
        <f t="shared" si="0"/>
        <v>44</v>
      </c>
      <c r="E55" s="41">
        <v>46419</v>
      </c>
      <c r="F55" s="134"/>
      <c r="G55" s="43"/>
      <c r="H55" s="44"/>
      <c r="I55" s="44"/>
      <c r="J55" s="45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134"/>
      <c r="Y55" s="44"/>
      <c r="Z55" s="134"/>
      <c r="AA55" s="134"/>
      <c r="AB55" s="44"/>
      <c r="AC55" s="44"/>
      <c r="AD55" s="44"/>
      <c r="AE55" s="44"/>
      <c r="AF55" s="46">
        <f t="shared" si="25"/>
        <v>26428.643083333332</v>
      </c>
      <c r="AG55" s="44" t="e">
        <f t="shared" si="25"/>
        <v>#REF!</v>
      </c>
      <c r="AH55" s="5"/>
      <c r="AI55" s="144"/>
      <c r="AJ55" s="144"/>
    </row>
    <row r="56" spans="1:36" x14ac:dyDescent="0.2">
      <c r="A56" s="131"/>
      <c r="B56" s="131"/>
      <c r="C56" s="143"/>
      <c r="D56" s="6">
        <f t="shared" si="0"/>
        <v>45</v>
      </c>
      <c r="E56" s="41">
        <v>46447</v>
      </c>
      <c r="F56" s="134"/>
      <c r="G56" s="43"/>
      <c r="H56" s="44"/>
      <c r="I56" s="44"/>
      <c r="J56" s="45"/>
      <c r="K56" s="42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134"/>
      <c r="Y56" s="44"/>
      <c r="Z56" s="134"/>
      <c r="AA56" s="134"/>
      <c r="AB56" s="44"/>
      <c r="AC56" s="44"/>
      <c r="AD56" s="44"/>
      <c r="AE56" s="44"/>
      <c r="AF56" s="46">
        <f t="shared" si="25"/>
        <v>26428.643083333332</v>
      </c>
      <c r="AG56" s="44" t="e">
        <f t="shared" si="25"/>
        <v>#REF!</v>
      </c>
      <c r="AH56" s="46" t="e">
        <f t="shared" ref="AH56" si="29">SUM(AD54:AG56)</f>
        <v>#REF!</v>
      </c>
      <c r="AI56" s="144"/>
      <c r="AJ56" s="144"/>
    </row>
    <row r="57" spans="1:36" x14ac:dyDescent="0.2">
      <c r="A57" s="131"/>
      <c r="B57" s="131"/>
      <c r="C57" s="143">
        <f t="shared" ref="C57" si="30">1+C54</f>
        <v>2</v>
      </c>
      <c r="D57" s="6">
        <f t="shared" si="0"/>
        <v>46</v>
      </c>
      <c r="E57" s="41">
        <v>46478</v>
      </c>
      <c r="F57" s="134"/>
      <c r="G57" s="43"/>
      <c r="H57" s="44"/>
      <c r="I57" s="44"/>
      <c r="J57" s="45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 t="e">
        <f>+V57-#REF!</f>
        <v>#REF!</v>
      </c>
      <c r="X57" s="134">
        <f>+SUM(R58:R69)</f>
        <v>0</v>
      </c>
      <c r="Y57" s="44"/>
      <c r="Z57" s="134">
        <f>+SUM(U57:U68)</f>
        <v>0</v>
      </c>
      <c r="AA57" s="134">
        <f>+SUM(V58:V69)</f>
        <v>0</v>
      </c>
      <c r="AB57" s="44" t="e">
        <f>+#REF!-V57</f>
        <v>#REF!</v>
      </c>
      <c r="AC57" s="44"/>
      <c r="AD57" s="44"/>
      <c r="AE57" s="44"/>
      <c r="AF57" s="46">
        <f t="shared" si="25"/>
        <v>26428.643083333332</v>
      </c>
      <c r="AG57" s="44" t="e">
        <f>+#REF!/12000</f>
        <v>#REF!</v>
      </c>
      <c r="AH57" s="5"/>
      <c r="AI57" s="144">
        <f>+SUM(AD57:AD68)+SUM(AF57:AF68)</f>
        <v>317143.717</v>
      </c>
      <c r="AJ57" s="144" t="e">
        <f>+SUM(AE57:AE68)+SUM(AG57:AG68)</f>
        <v>#REF!</v>
      </c>
    </row>
    <row r="58" spans="1:36" x14ac:dyDescent="0.2">
      <c r="A58" s="131"/>
      <c r="B58" s="131"/>
      <c r="C58" s="143"/>
      <c r="D58" s="6">
        <f t="shared" si="0"/>
        <v>47</v>
      </c>
      <c r="E58" s="41">
        <v>46508</v>
      </c>
      <c r="F58" s="134"/>
      <c r="G58" s="43"/>
      <c r="H58" s="44"/>
      <c r="I58" s="44"/>
      <c r="J58" s="45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134"/>
      <c r="Y58" s="44"/>
      <c r="Z58" s="134"/>
      <c r="AA58" s="134"/>
      <c r="AB58" s="44"/>
      <c r="AC58" s="44"/>
      <c r="AD58" s="44"/>
      <c r="AE58" s="44"/>
      <c r="AF58" s="46">
        <f t="shared" si="25"/>
        <v>26428.643083333332</v>
      </c>
      <c r="AG58" s="44" t="e">
        <f>+AG57</f>
        <v>#REF!</v>
      </c>
      <c r="AH58" s="5"/>
      <c r="AI58" s="144"/>
      <c r="AJ58" s="144"/>
    </row>
    <row r="59" spans="1:36" x14ac:dyDescent="0.2">
      <c r="A59" s="131"/>
      <c r="B59" s="131"/>
      <c r="C59" s="143"/>
      <c r="D59" s="6">
        <f t="shared" si="0"/>
        <v>48</v>
      </c>
      <c r="E59" s="41">
        <v>46539</v>
      </c>
      <c r="F59" s="134"/>
      <c r="G59" s="43"/>
      <c r="H59" s="44"/>
      <c r="I59" s="44"/>
      <c r="J59" s="45"/>
      <c r="K59" s="42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134"/>
      <c r="Y59" s="44"/>
      <c r="Z59" s="134"/>
      <c r="AA59" s="134"/>
      <c r="AB59" s="44"/>
      <c r="AC59" s="44"/>
      <c r="AD59" s="44"/>
      <c r="AE59" s="44"/>
      <c r="AF59" s="46">
        <f t="shared" si="25"/>
        <v>26428.643083333332</v>
      </c>
      <c r="AG59" s="44" t="e">
        <f t="shared" si="25"/>
        <v>#REF!</v>
      </c>
      <c r="AH59" s="46" t="e">
        <f t="shared" ref="AH59" si="31">SUM(AD57:AG59)</f>
        <v>#REF!</v>
      </c>
      <c r="AI59" s="144"/>
      <c r="AJ59" s="144"/>
    </row>
    <row r="60" spans="1:36" x14ac:dyDescent="0.2">
      <c r="A60" s="131"/>
      <c r="B60" s="131"/>
      <c r="C60" s="143">
        <f t="shared" ref="C60" si="32">1+C57</f>
        <v>3</v>
      </c>
      <c r="D60" s="6">
        <f t="shared" si="0"/>
        <v>49</v>
      </c>
      <c r="E60" s="41">
        <v>46569</v>
      </c>
      <c r="F60" s="134"/>
      <c r="G60" s="43"/>
      <c r="H60" s="44"/>
      <c r="I60" s="44"/>
      <c r="J60" s="45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 t="e">
        <f>+V60-#REF!</f>
        <v>#REF!</v>
      </c>
      <c r="X60" s="134"/>
      <c r="Y60" s="44"/>
      <c r="Z60" s="134"/>
      <c r="AA60" s="134"/>
      <c r="AB60" s="44" t="e">
        <f>+#REF!-V60</f>
        <v>#REF!</v>
      </c>
      <c r="AC60" s="44"/>
      <c r="AD60" s="44"/>
      <c r="AE60" s="44"/>
      <c r="AF60" s="46">
        <f t="shared" si="25"/>
        <v>26428.643083333332</v>
      </c>
      <c r="AG60" s="44" t="e">
        <f t="shared" si="25"/>
        <v>#REF!</v>
      </c>
      <c r="AH60" s="5"/>
      <c r="AI60" s="144"/>
      <c r="AJ60" s="144"/>
    </row>
    <row r="61" spans="1:36" x14ac:dyDescent="0.2">
      <c r="A61" s="131"/>
      <c r="B61" s="131"/>
      <c r="C61" s="143"/>
      <c r="D61" s="6">
        <f t="shared" si="0"/>
        <v>50</v>
      </c>
      <c r="E61" s="41">
        <v>46600</v>
      </c>
      <c r="F61" s="134"/>
      <c r="G61" s="43"/>
      <c r="H61" s="44"/>
      <c r="I61" s="44"/>
      <c r="J61" s="45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134"/>
      <c r="Y61" s="44"/>
      <c r="Z61" s="134"/>
      <c r="AA61" s="134"/>
      <c r="AB61" s="44"/>
      <c r="AC61" s="44"/>
      <c r="AD61" s="44"/>
      <c r="AE61" s="44"/>
      <c r="AF61" s="46">
        <f t="shared" si="25"/>
        <v>26428.643083333332</v>
      </c>
      <c r="AG61" s="44" t="e">
        <f t="shared" si="25"/>
        <v>#REF!</v>
      </c>
      <c r="AH61" s="5"/>
      <c r="AI61" s="144"/>
      <c r="AJ61" s="144"/>
    </row>
    <row r="62" spans="1:36" x14ac:dyDescent="0.2">
      <c r="A62" s="131"/>
      <c r="B62" s="131"/>
      <c r="C62" s="143"/>
      <c r="D62" s="6">
        <f t="shared" si="0"/>
        <v>51</v>
      </c>
      <c r="E62" s="41">
        <v>46631</v>
      </c>
      <c r="F62" s="134"/>
      <c r="G62" s="43"/>
      <c r="H62" s="44"/>
      <c r="I62" s="44"/>
      <c r="J62" s="45"/>
      <c r="K62" s="42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134"/>
      <c r="Y62" s="44"/>
      <c r="Z62" s="134"/>
      <c r="AA62" s="134"/>
      <c r="AB62" s="44"/>
      <c r="AC62" s="44"/>
      <c r="AD62" s="44"/>
      <c r="AE62" s="44"/>
      <c r="AF62" s="46">
        <f t="shared" si="25"/>
        <v>26428.643083333332</v>
      </c>
      <c r="AG62" s="44" t="e">
        <f t="shared" si="25"/>
        <v>#REF!</v>
      </c>
      <c r="AH62" s="46" t="e">
        <f t="shared" ref="AH62" si="33">SUM(AD60:AG62)</f>
        <v>#REF!</v>
      </c>
      <c r="AI62" s="144"/>
      <c r="AJ62" s="144"/>
    </row>
    <row r="63" spans="1:36" x14ac:dyDescent="0.2">
      <c r="A63" s="131"/>
      <c r="B63" s="131"/>
      <c r="C63" s="143">
        <f t="shared" ref="C63" si="34">1+C60</f>
        <v>4</v>
      </c>
      <c r="D63" s="6">
        <f t="shared" si="0"/>
        <v>52</v>
      </c>
      <c r="E63" s="41">
        <v>46661</v>
      </c>
      <c r="F63" s="134"/>
      <c r="G63" s="43"/>
      <c r="H63" s="44"/>
      <c r="I63" s="44"/>
      <c r="J63" s="45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 t="e">
        <f>+V63-#REF!</f>
        <v>#REF!</v>
      </c>
      <c r="X63" s="134"/>
      <c r="Y63" s="44"/>
      <c r="Z63" s="134"/>
      <c r="AA63" s="134"/>
      <c r="AB63" s="44" t="e">
        <f>+#REF!-V63</f>
        <v>#REF!</v>
      </c>
      <c r="AC63" s="44"/>
      <c r="AD63" s="44"/>
      <c r="AE63" s="44"/>
      <c r="AF63" s="46">
        <f t="shared" si="25"/>
        <v>26428.643083333332</v>
      </c>
      <c r="AG63" s="44" t="e">
        <f t="shared" si="25"/>
        <v>#REF!</v>
      </c>
      <c r="AH63" s="5"/>
      <c r="AI63" s="144"/>
      <c r="AJ63" s="144"/>
    </row>
    <row r="64" spans="1:36" x14ac:dyDescent="0.2">
      <c r="A64" s="131"/>
      <c r="B64" s="131"/>
      <c r="C64" s="143"/>
      <c r="D64" s="6">
        <f t="shared" si="0"/>
        <v>53</v>
      </c>
      <c r="E64" s="41">
        <v>46692</v>
      </c>
      <c r="F64" s="134"/>
      <c r="G64" s="43"/>
      <c r="H64" s="44"/>
      <c r="I64" s="44"/>
      <c r="J64" s="45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134"/>
      <c r="Y64" s="44"/>
      <c r="Z64" s="134"/>
      <c r="AA64" s="134"/>
      <c r="AB64" s="44"/>
      <c r="AC64" s="44"/>
      <c r="AD64" s="44"/>
      <c r="AE64" s="44"/>
      <c r="AF64" s="46">
        <f t="shared" si="25"/>
        <v>26428.643083333332</v>
      </c>
      <c r="AG64" s="44" t="e">
        <f t="shared" si="25"/>
        <v>#REF!</v>
      </c>
      <c r="AH64" s="5"/>
      <c r="AI64" s="144"/>
      <c r="AJ64" s="144"/>
    </row>
    <row r="65" spans="1:36" x14ac:dyDescent="0.2">
      <c r="A65" s="132"/>
      <c r="B65" s="132"/>
      <c r="C65" s="143"/>
      <c r="D65" s="6">
        <f t="shared" si="0"/>
        <v>54</v>
      </c>
      <c r="E65" s="41">
        <v>46722</v>
      </c>
      <c r="F65" s="134"/>
      <c r="G65" s="43"/>
      <c r="H65" s="44"/>
      <c r="I65" s="44"/>
      <c r="J65" s="45"/>
      <c r="K65" s="42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134"/>
      <c r="Y65" s="44"/>
      <c r="Z65" s="134"/>
      <c r="AA65" s="134"/>
      <c r="AB65" s="44"/>
      <c r="AC65" s="44"/>
      <c r="AD65" s="44"/>
      <c r="AE65" s="44"/>
      <c r="AF65" s="46">
        <f t="shared" ref="AF65:AG71" si="35">+AF64</f>
        <v>26428.643083333332</v>
      </c>
      <c r="AG65" s="44" t="e">
        <f t="shared" si="35"/>
        <v>#REF!</v>
      </c>
      <c r="AH65" s="46" t="e">
        <f t="shared" ref="AH65" si="36">SUM(AD63:AG65)</f>
        <v>#REF!</v>
      </c>
      <c r="AI65" s="144"/>
      <c r="AJ65" s="144"/>
    </row>
    <row r="66" spans="1:36" x14ac:dyDescent="0.2">
      <c r="A66" s="130">
        <f>1+A54</f>
        <v>6</v>
      </c>
      <c r="B66" s="130">
        <f>1+B54</f>
        <v>2028</v>
      </c>
      <c r="C66" s="143">
        <v>1</v>
      </c>
      <c r="D66" s="6">
        <f t="shared" si="0"/>
        <v>55</v>
      </c>
      <c r="E66" s="41">
        <v>46753</v>
      </c>
      <c r="F66" s="134"/>
      <c r="G66" s="43"/>
      <c r="H66" s="44"/>
      <c r="I66" s="44"/>
      <c r="J66" s="45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 t="e">
        <f>+V66-#REF!</f>
        <v>#REF!</v>
      </c>
      <c r="X66" s="134"/>
      <c r="Y66" s="44"/>
      <c r="Z66" s="134"/>
      <c r="AA66" s="134"/>
      <c r="AB66" s="44" t="e">
        <f>+#REF!-V66</f>
        <v>#REF!</v>
      </c>
      <c r="AC66" s="44"/>
      <c r="AD66" s="44"/>
      <c r="AE66" s="44"/>
      <c r="AF66" s="46">
        <f t="shared" si="35"/>
        <v>26428.643083333332</v>
      </c>
      <c r="AG66" s="44" t="e">
        <f t="shared" si="35"/>
        <v>#REF!</v>
      </c>
      <c r="AH66" s="5"/>
      <c r="AI66" s="144"/>
      <c r="AJ66" s="144"/>
    </row>
    <row r="67" spans="1:36" x14ac:dyDescent="0.2">
      <c r="A67" s="131"/>
      <c r="B67" s="131"/>
      <c r="C67" s="143"/>
      <c r="D67" s="6">
        <f t="shared" si="0"/>
        <v>56</v>
      </c>
      <c r="E67" s="41">
        <v>46784</v>
      </c>
      <c r="F67" s="134"/>
      <c r="G67" s="43"/>
      <c r="H67" s="44"/>
      <c r="I67" s="44"/>
      <c r="J67" s="45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134"/>
      <c r="Y67" s="44"/>
      <c r="Z67" s="134"/>
      <c r="AA67" s="134"/>
      <c r="AB67" s="44"/>
      <c r="AC67" s="44"/>
      <c r="AD67" s="44"/>
      <c r="AE67" s="44"/>
      <c r="AF67" s="46">
        <f t="shared" si="35"/>
        <v>26428.643083333332</v>
      </c>
      <c r="AG67" s="44" t="e">
        <f t="shared" si="35"/>
        <v>#REF!</v>
      </c>
      <c r="AH67" s="5"/>
      <c r="AI67" s="144"/>
      <c r="AJ67" s="144"/>
    </row>
    <row r="68" spans="1:36" x14ac:dyDescent="0.2">
      <c r="A68" s="131"/>
      <c r="B68" s="131"/>
      <c r="C68" s="143"/>
      <c r="D68" s="6">
        <f t="shared" si="0"/>
        <v>57</v>
      </c>
      <c r="E68" s="41">
        <v>46813</v>
      </c>
      <c r="F68" s="134"/>
      <c r="G68" s="43"/>
      <c r="H68" s="44"/>
      <c r="I68" s="44"/>
      <c r="J68" s="45"/>
      <c r="K68" s="42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134"/>
      <c r="Y68" s="44"/>
      <c r="Z68" s="134"/>
      <c r="AA68" s="134"/>
      <c r="AB68" s="44"/>
      <c r="AC68" s="44"/>
      <c r="AD68" s="44"/>
      <c r="AE68" s="44"/>
      <c r="AF68" s="46">
        <f t="shared" si="35"/>
        <v>26428.643083333332</v>
      </c>
      <c r="AG68" s="44" t="e">
        <f t="shared" si="35"/>
        <v>#REF!</v>
      </c>
      <c r="AH68" s="46" t="e">
        <f t="shared" ref="AH68" si="37">SUM(AD66:AG68)</f>
        <v>#REF!</v>
      </c>
      <c r="AI68" s="144"/>
      <c r="AJ68" s="144"/>
    </row>
    <row r="69" spans="1:36" x14ac:dyDescent="0.2">
      <c r="A69" s="131"/>
      <c r="B69" s="131"/>
      <c r="C69" s="143">
        <f t="shared" ref="C69" si="38">1+C66</f>
        <v>2</v>
      </c>
      <c r="D69" s="6">
        <f t="shared" si="0"/>
        <v>58</v>
      </c>
      <c r="E69" s="41">
        <v>46844</v>
      </c>
      <c r="F69" s="134"/>
      <c r="G69" s="43"/>
      <c r="H69" s="44"/>
      <c r="I69" s="44"/>
      <c r="J69" s="45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 t="e">
        <f>+V69-#REF!</f>
        <v>#REF!</v>
      </c>
      <c r="X69" s="134">
        <f>+SUM(R70:R80)</f>
        <v>0</v>
      </c>
      <c r="Y69" s="44"/>
      <c r="Z69" s="134">
        <f>+SUM(U69:U80)</f>
        <v>0</v>
      </c>
      <c r="AA69" s="134">
        <f>+SUM(V70:V80)</f>
        <v>0</v>
      </c>
      <c r="AB69" s="44" t="e">
        <f>+#REF!-V69</f>
        <v>#REF!</v>
      </c>
      <c r="AC69" s="44"/>
      <c r="AD69" s="44"/>
      <c r="AE69" s="44"/>
      <c r="AF69" s="46">
        <f t="shared" si="35"/>
        <v>26428.643083333332</v>
      </c>
      <c r="AG69" s="44" t="e">
        <f>+#REF!/12000</f>
        <v>#REF!</v>
      </c>
      <c r="AH69" s="5"/>
      <c r="AI69" s="144">
        <f>+SUM(AD69:AD80)+SUM(AF69:AF80)</f>
        <v>79285.929250000001</v>
      </c>
      <c r="AJ69" s="144" t="e">
        <f>+SUM(AE69:AE80)+SUM(AG69:AG80)</f>
        <v>#REF!</v>
      </c>
    </row>
    <row r="70" spans="1:36" x14ac:dyDescent="0.2">
      <c r="A70" s="131"/>
      <c r="B70" s="131"/>
      <c r="C70" s="143"/>
      <c r="D70" s="6">
        <f t="shared" si="0"/>
        <v>59</v>
      </c>
      <c r="E70" s="41">
        <v>46874</v>
      </c>
      <c r="F70" s="134"/>
      <c r="G70" s="43"/>
      <c r="H70" s="44"/>
      <c r="I70" s="44"/>
      <c r="J70" s="45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134"/>
      <c r="Y70" s="44"/>
      <c r="Z70" s="134"/>
      <c r="AA70" s="134"/>
      <c r="AB70" s="44"/>
      <c r="AC70" s="44"/>
      <c r="AD70" s="44"/>
      <c r="AE70" s="44"/>
      <c r="AF70" s="46">
        <f t="shared" si="35"/>
        <v>26428.643083333332</v>
      </c>
      <c r="AG70" s="44" t="e">
        <f>+AG69</f>
        <v>#REF!</v>
      </c>
      <c r="AH70" s="5"/>
      <c r="AI70" s="144"/>
      <c r="AJ70" s="144"/>
    </row>
    <row r="71" spans="1:36" x14ac:dyDescent="0.2">
      <c r="A71" s="131"/>
      <c r="B71" s="131"/>
      <c r="C71" s="143"/>
      <c r="D71" s="6">
        <f t="shared" si="0"/>
        <v>60</v>
      </c>
      <c r="E71" s="41">
        <v>46905</v>
      </c>
      <c r="F71" s="134"/>
      <c r="G71" s="43"/>
      <c r="H71" s="44"/>
      <c r="I71" s="44"/>
      <c r="J71" s="45"/>
      <c r="K71" s="42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134"/>
      <c r="Y71" s="44"/>
      <c r="Z71" s="134"/>
      <c r="AA71" s="134"/>
      <c r="AB71" s="44"/>
      <c r="AC71" s="44"/>
      <c r="AD71" s="44"/>
      <c r="AE71" s="44"/>
      <c r="AF71" s="46">
        <f t="shared" si="35"/>
        <v>26428.643083333332</v>
      </c>
      <c r="AG71" s="44" t="e">
        <f t="shared" si="35"/>
        <v>#REF!</v>
      </c>
      <c r="AH71" s="46" t="e">
        <f t="shared" ref="AH71" si="39">SUM(AD69:AG71)</f>
        <v>#REF!</v>
      </c>
      <c r="AI71" s="144"/>
      <c r="AJ71" s="144"/>
    </row>
    <row r="72" spans="1:36" x14ac:dyDescent="0.2">
      <c r="A72" s="131"/>
      <c r="B72" s="131"/>
      <c r="C72" s="143">
        <f t="shared" ref="C72" si="40">1+C69</f>
        <v>3</v>
      </c>
      <c r="D72" s="6">
        <f t="shared" si="0"/>
        <v>61</v>
      </c>
      <c r="E72" s="41">
        <v>46935</v>
      </c>
      <c r="F72" s="134"/>
      <c r="G72" s="43"/>
      <c r="H72" s="44"/>
      <c r="I72" s="44"/>
      <c r="J72" s="45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 t="e">
        <f>+V72-#REF!</f>
        <v>#REF!</v>
      </c>
      <c r="X72" s="134"/>
      <c r="Y72" s="44"/>
      <c r="Z72" s="134"/>
      <c r="AA72" s="134"/>
      <c r="AB72" s="44" t="e">
        <f>+#REF!-V72</f>
        <v>#REF!</v>
      </c>
      <c r="AC72" s="44"/>
      <c r="AD72" s="44"/>
      <c r="AE72" s="44"/>
      <c r="AF72" s="46"/>
      <c r="AG72" s="44"/>
      <c r="AH72" s="5"/>
      <c r="AI72" s="144"/>
      <c r="AJ72" s="144"/>
    </row>
    <row r="73" spans="1:36" x14ac:dyDescent="0.2">
      <c r="A73" s="131"/>
      <c r="B73" s="131"/>
      <c r="C73" s="143"/>
      <c r="D73" s="6">
        <f t="shared" si="0"/>
        <v>62</v>
      </c>
      <c r="E73" s="41">
        <v>46966</v>
      </c>
      <c r="F73" s="134"/>
      <c r="G73" s="43"/>
      <c r="H73" s="44"/>
      <c r="I73" s="44"/>
      <c r="J73" s="45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134"/>
      <c r="Y73" s="44"/>
      <c r="Z73" s="134"/>
      <c r="AA73" s="134"/>
      <c r="AB73" s="44"/>
      <c r="AC73" s="44"/>
      <c r="AD73" s="44"/>
      <c r="AE73" s="44"/>
      <c r="AF73" s="46"/>
      <c r="AG73" s="44"/>
      <c r="AH73" s="5"/>
      <c r="AI73" s="144"/>
      <c r="AJ73" s="144"/>
    </row>
    <row r="74" spans="1:36" x14ac:dyDescent="0.2">
      <c r="A74" s="131"/>
      <c r="B74" s="131"/>
      <c r="C74" s="143"/>
      <c r="D74" s="6">
        <f t="shared" si="0"/>
        <v>63</v>
      </c>
      <c r="E74" s="41">
        <v>46997</v>
      </c>
      <c r="F74" s="134"/>
      <c r="G74" s="43"/>
      <c r="H74" s="44"/>
      <c r="I74" s="44"/>
      <c r="J74" s="45"/>
      <c r="K74" s="42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134"/>
      <c r="Y74" s="44"/>
      <c r="Z74" s="134"/>
      <c r="AA74" s="134"/>
      <c r="AB74" s="44"/>
      <c r="AC74" s="44"/>
      <c r="AD74" s="44"/>
      <c r="AE74" s="44"/>
      <c r="AF74" s="46"/>
      <c r="AG74" s="44"/>
      <c r="AH74" s="46">
        <f t="shared" ref="AH74" si="41">SUM(AD72:AG74)</f>
        <v>0</v>
      </c>
      <c r="AI74" s="144"/>
      <c r="AJ74" s="144"/>
    </row>
    <row r="75" spans="1:36" x14ac:dyDescent="0.2">
      <c r="A75" s="131"/>
      <c r="B75" s="131"/>
      <c r="C75" s="143">
        <f t="shared" ref="C75" si="42">1+C72</f>
        <v>4</v>
      </c>
      <c r="D75" s="6">
        <f t="shared" si="0"/>
        <v>64</v>
      </c>
      <c r="E75" s="41">
        <v>47027</v>
      </c>
      <c r="F75" s="134"/>
      <c r="G75" s="43"/>
      <c r="H75" s="44"/>
      <c r="I75" s="44"/>
      <c r="J75" s="45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 t="e">
        <f>+V75-#REF!</f>
        <v>#REF!</v>
      </c>
      <c r="X75" s="134"/>
      <c r="Y75" s="44"/>
      <c r="Z75" s="134"/>
      <c r="AA75" s="134"/>
      <c r="AB75" s="44" t="e">
        <f>+#REF!-V75</f>
        <v>#REF!</v>
      </c>
      <c r="AC75" s="44"/>
      <c r="AD75" s="44"/>
      <c r="AE75" s="44"/>
      <c r="AF75" s="46"/>
      <c r="AG75" s="44"/>
      <c r="AH75" s="5"/>
      <c r="AI75" s="144"/>
      <c r="AJ75" s="144"/>
    </row>
    <row r="76" spans="1:36" x14ac:dyDescent="0.2">
      <c r="A76" s="131"/>
      <c r="B76" s="131"/>
      <c r="C76" s="143"/>
      <c r="D76" s="6">
        <f t="shared" si="0"/>
        <v>65</v>
      </c>
      <c r="E76" s="41">
        <v>47058</v>
      </c>
      <c r="F76" s="134"/>
      <c r="G76" s="43"/>
      <c r="H76" s="44"/>
      <c r="I76" s="44"/>
      <c r="J76" s="45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134"/>
      <c r="Y76" s="44"/>
      <c r="Z76" s="134"/>
      <c r="AA76" s="134"/>
      <c r="AB76" s="44"/>
      <c r="AC76" s="44"/>
      <c r="AD76" s="44"/>
      <c r="AE76" s="44"/>
      <c r="AF76" s="46"/>
      <c r="AG76" s="44"/>
      <c r="AH76" s="5"/>
      <c r="AI76" s="144"/>
      <c r="AJ76" s="144"/>
    </row>
    <row r="77" spans="1:36" x14ac:dyDescent="0.2">
      <c r="A77" s="132"/>
      <c r="B77" s="132"/>
      <c r="C77" s="143"/>
      <c r="D77" s="6">
        <f t="shared" ref="D77:D80" si="43">1+D76</f>
        <v>66</v>
      </c>
      <c r="E77" s="41">
        <v>47088</v>
      </c>
      <c r="F77" s="134"/>
      <c r="G77" s="43"/>
      <c r="H77" s="44"/>
      <c r="I77" s="44"/>
      <c r="J77" s="45"/>
      <c r="K77" s="42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134"/>
      <c r="Y77" s="44"/>
      <c r="Z77" s="134"/>
      <c r="AA77" s="134"/>
      <c r="AB77" s="44"/>
      <c r="AC77" s="44"/>
      <c r="AD77" s="44"/>
      <c r="AE77" s="44"/>
      <c r="AF77" s="46"/>
      <c r="AG77" s="44"/>
      <c r="AH77" s="46"/>
      <c r="AI77" s="144"/>
      <c r="AJ77" s="144"/>
    </row>
    <row r="78" spans="1:36" x14ac:dyDescent="0.2">
      <c r="A78" s="130">
        <f>1+A66</f>
        <v>7</v>
      </c>
      <c r="B78" s="130">
        <f>1+B66</f>
        <v>2029</v>
      </c>
      <c r="C78" s="143">
        <v>1</v>
      </c>
      <c r="D78" s="6">
        <f t="shared" si="43"/>
        <v>67</v>
      </c>
      <c r="E78" s="41">
        <v>47119</v>
      </c>
      <c r="F78" s="134"/>
      <c r="G78" s="43"/>
      <c r="H78" s="44"/>
      <c r="I78" s="44"/>
      <c r="J78" s="45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 t="e">
        <f>+V78-#REF!</f>
        <v>#REF!</v>
      </c>
      <c r="X78" s="134"/>
      <c r="Y78" s="44"/>
      <c r="Z78" s="134"/>
      <c r="AA78" s="134"/>
      <c r="AB78" s="44" t="e">
        <f>+#REF!-V78</f>
        <v>#REF!</v>
      </c>
      <c r="AC78" s="44"/>
      <c r="AD78" s="44"/>
      <c r="AE78" s="44"/>
      <c r="AF78" s="46"/>
      <c r="AG78" s="44"/>
      <c r="AH78" s="5"/>
      <c r="AI78" s="144"/>
      <c r="AJ78" s="144"/>
    </row>
    <row r="79" spans="1:36" x14ac:dyDescent="0.2">
      <c r="A79" s="131"/>
      <c r="B79" s="131"/>
      <c r="C79" s="143"/>
      <c r="D79" s="6">
        <f t="shared" si="43"/>
        <v>68</v>
      </c>
      <c r="E79" s="41">
        <v>47150</v>
      </c>
      <c r="F79" s="134"/>
      <c r="G79" s="43"/>
      <c r="H79" s="44"/>
      <c r="I79" s="44"/>
      <c r="J79" s="45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134"/>
      <c r="Y79" s="44"/>
      <c r="Z79" s="134"/>
      <c r="AA79" s="134"/>
      <c r="AB79" s="44"/>
      <c r="AC79" s="44"/>
      <c r="AD79" s="44"/>
      <c r="AE79" s="44"/>
      <c r="AF79" s="46"/>
      <c r="AG79" s="44"/>
      <c r="AH79" s="5"/>
      <c r="AI79" s="144"/>
      <c r="AJ79" s="144"/>
    </row>
    <row r="80" spans="1:36" x14ac:dyDescent="0.2">
      <c r="A80" s="131"/>
      <c r="B80" s="131"/>
      <c r="C80" s="143"/>
      <c r="D80" s="6">
        <f t="shared" si="43"/>
        <v>69</v>
      </c>
      <c r="E80" s="41">
        <v>47178</v>
      </c>
      <c r="F80" s="134"/>
      <c r="G80" s="43"/>
      <c r="H80" s="44"/>
      <c r="I80" s="44"/>
      <c r="J80" s="45"/>
      <c r="K80" s="44"/>
      <c r="L80" s="44"/>
      <c r="M80" s="59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134"/>
      <c r="Y80" s="44"/>
      <c r="Z80" s="134"/>
      <c r="AA80" s="134"/>
      <c r="AB80" s="44"/>
      <c r="AC80" s="44"/>
      <c r="AD80" s="44"/>
      <c r="AE80" s="44"/>
      <c r="AF80" s="46"/>
      <c r="AG80" s="44"/>
      <c r="AH80" s="46"/>
      <c r="AI80" s="144"/>
      <c r="AJ80" s="144"/>
    </row>
    <row r="81" spans="1:36" s="19" customFormat="1" x14ac:dyDescent="0.2">
      <c r="A81" s="55"/>
      <c r="B81" s="55"/>
      <c r="C81" s="39"/>
      <c r="D81" s="4"/>
      <c r="E81" s="4"/>
      <c r="F81" s="48"/>
      <c r="G81" s="52"/>
      <c r="H81" s="29"/>
      <c r="I81" s="48"/>
      <c r="J81" s="4"/>
      <c r="K81" s="29"/>
      <c r="L81" s="48"/>
      <c r="M81" s="48"/>
      <c r="N81" s="48"/>
      <c r="O81" s="48"/>
      <c r="P81" s="48"/>
      <c r="Q81" s="48"/>
      <c r="R81" s="48"/>
      <c r="S81" s="48"/>
      <c r="T81" s="37"/>
      <c r="U81" s="29"/>
      <c r="V81" s="48"/>
      <c r="W81" s="48"/>
      <c r="X81" s="48">
        <f>SUM(X8:X80)</f>
        <v>0</v>
      </c>
      <c r="Y81" s="48"/>
      <c r="Z81" s="48">
        <f>SUM(Z8:Z80)</f>
        <v>0</v>
      </c>
      <c r="AA81" s="48">
        <f>SUM(AA8:AA80)</f>
        <v>0</v>
      </c>
      <c r="AB81" s="48"/>
      <c r="AC81" s="48"/>
      <c r="AD81" s="29">
        <f t="shared" ref="AD81:AJ81" si="44">SUM(AD8:AD80)</f>
        <v>1829097.4600000009</v>
      </c>
      <c r="AE81" s="48" t="e">
        <f t="shared" si="44"/>
        <v>#REF!</v>
      </c>
      <c r="AF81" s="29">
        <f t="shared" si="44"/>
        <v>634287.43400000024</v>
      </c>
      <c r="AG81" s="48" t="e">
        <f t="shared" si="44"/>
        <v>#REF!</v>
      </c>
      <c r="AH81" s="48" t="e">
        <f t="shared" si="44"/>
        <v>#REF!</v>
      </c>
      <c r="AI81" s="30">
        <f t="shared" si="44"/>
        <v>2463384.8940000003</v>
      </c>
      <c r="AJ81" s="30" t="e">
        <f t="shared" si="44"/>
        <v>#REF!</v>
      </c>
    </row>
    <row r="82" spans="1:36" ht="16" thickBot="1" x14ac:dyDescent="0.25">
      <c r="H82" s="26" t="e">
        <f>+#REF!</f>
        <v>#REF!</v>
      </c>
      <c r="I82" s="61"/>
      <c r="L82" s="26">
        <f>+I82</f>
        <v>0</v>
      </c>
      <c r="N82" s="26">
        <f>+L82</f>
        <v>0</v>
      </c>
      <c r="P82" s="34" t="e">
        <f>+K81+#REF!</f>
        <v>#REF!</v>
      </c>
      <c r="Q82" s="34"/>
      <c r="U82" s="88" t="s">
        <v>76</v>
      </c>
      <c r="V82" s="88" t="e">
        <f>+#REF!</f>
        <v>#REF!</v>
      </c>
      <c r="W82" s="88" t="e">
        <f>+SUM(W8:W81)</f>
        <v>#REF!</v>
      </c>
      <c r="AD82" s="26">
        <f>+F83</f>
        <v>1829097.46</v>
      </c>
      <c r="AF82" s="27">
        <f>+F84</f>
        <v>634287.43400000001</v>
      </c>
      <c r="AH82" s="26" t="e">
        <f>+#REF!</f>
        <v>#REF!</v>
      </c>
    </row>
    <row r="83" spans="1:36" x14ac:dyDescent="0.2">
      <c r="F83" s="90">
        <v>1829097.46</v>
      </c>
      <c r="G83" s="93" t="e">
        <f>+#REF!+F83</f>
        <v>#REF!</v>
      </c>
      <c r="H83" s="26" t="e">
        <f>+H81-H82</f>
        <v>#REF!</v>
      </c>
      <c r="I83" s="28"/>
      <c r="L83" s="26">
        <f>+L80-L82</f>
        <v>0</v>
      </c>
      <c r="N83" s="26">
        <f>+N81-N82</f>
        <v>0</v>
      </c>
      <c r="S83" s="85">
        <v>1</v>
      </c>
      <c r="T83" s="147" t="s">
        <v>74</v>
      </c>
      <c r="U83" s="147"/>
      <c r="V83" s="87">
        <f>+H81</f>
        <v>0</v>
      </c>
      <c r="W83" s="88" t="e">
        <f>+V81-V82</f>
        <v>#REF!</v>
      </c>
    </row>
    <row r="84" spans="1:36" x14ac:dyDescent="0.2">
      <c r="F84" s="91">
        <v>634287.43400000001</v>
      </c>
      <c r="G84" s="94" t="e">
        <f>+#REF!+F84</f>
        <v>#REF!</v>
      </c>
      <c r="S84" s="85">
        <v>2</v>
      </c>
      <c r="T84" s="147" t="s">
        <v>46</v>
      </c>
      <c r="U84" s="147"/>
      <c r="V84" s="44">
        <f>+K81</f>
        <v>0</v>
      </c>
      <c r="AG84" s="26">
        <f>2519000*1.004</f>
        <v>2529076</v>
      </c>
    </row>
    <row r="85" spans="1:36" x14ac:dyDescent="0.2">
      <c r="F85" s="92">
        <f>SUM(F83:F84)</f>
        <v>2463384.8939999999</v>
      </c>
      <c r="G85" s="94" t="e">
        <f>+#REF!+F85</f>
        <v>#REF!</v>
      </c>
      <c r="L85" s="26" t="s">
        <v>56</v>
      </c>
      <c r="M85" s="26">
        <f>+MAX(M8:M80)</f>
        <v>0</v>
      </c>
      <c r="N85" s="62">
        <v>0.1</v>
      </c>
      <c r="S85" s="85">
        <v>3</v>
      </c>
      <c r="T85" s="147" t="s">
        <v>75</v>
      </c>
      <c r="U85" s="147"/>
      <c r="V85" s="44">
        <f>+U81</f>
        <v>0</v>
      </c>
    </row>
    <row r="86" spans="1:36" ht="16" thickBot="1" x14ac:dyDescent="0.25">
      <c r="F86" s="97" t="e">
        <f>+#REF!+F85</f>
        <v>#REF!</v>
      </c>
      <c r="G86" s="98"/>
      <c r="M86" s="26">
        <f>+M85/1.5</f>
        <v>0</v>
      </c>
      <c r="S86" s="85" t="s">
        <v>81</v>
      </c>
      <c r="T86" s="148" t="s">
        <v>53</v>
      </c>
      <c r="U86" s="148"/>
      <c r="V86" s="49">
        <f>SUM(V83:V85)</f>
        <v>0</v>
      </c>
      <c r="Y86" s="26" t="s">
        <v>49</v>
      </c>
      <c r="Z86" s="3">
        <v>0.05</v>
      </c>
    </row>
    <row r="87" spans="1:36" x14ac:dyDescent="0.2">
      <c r="F87" s="76" t="e">
        <f>+AE81+AG81</f>
        <v>#REF!</v>
      </c>
      <c r="G87" s="99" t="e">
        <f>+#REF!+F87</f>
        <v>#REF!</v>
      </c>
      <c r="S87" s="85"/>
      <c r="T87" s="81"/>
      <c r="U87" s="81"/>
      <c r="V87" s="49"/>
      <c r="Z87" s="3"/>
    </row>
    <row r="88" spans="1:36" x14ac:dyDescent="0.2">
      <c r="F88" s="42"/>
      <c r="G88" s="100"/>
      <c r="S88" s="85"/>
      <c r="T88" s="81"/>
      <c r="U88" s="81"/>
      <c r="V88" s="49"/>
      <c r="Z88" s="3"/>
    </row>
    <row r="89" spans="1:36" ht="16" thickBot="1" x14ac:dyDescent="0.25">
      <c r="F89" s="101" t="e">
        <f>+F85+F87+F88</f>
        <v>#REF!</v>
      </c>
      <c r="G89" s="102" t="e">
        <f>+#REF!+F89</f>
        <v>#REF!</v>
      </c>
      <c r="S89" s="85">
        <v>5</v>
      </c>
      <c r="T89" s="147" t="s">
        <v>77</v>
      </c>
      <c r="U89" s="147"/>
      <c r="V89" s="44">
        <f>+AD81+AF81</f>
        <v>2463384.8940000013</v>
      </c>
      <c r="Y89" s="26" t="s">
        <v>50</v>
      </c>
      <c r="Z89" s="3">
        <v>0.02</v>
      </c>
      <c r="AG89" s="26">
        <f>+AF81+AD81</f>
        <v>2463384.8940000013</v>
      </c>
    </row>
    <row r="90" spans="1:36" ht="16" thickBot="1" x14ac:dyDescent="0.25">
      <c r="F90" s="107"/>
      <c r="G90" s="103">
        <f>+H101</f>
        <v>15125746.99</v>
      </c>
      <c r="S90" s="85"/>
      <c r="T90" s="80"/>
      <c r="U90" s="80"/>
      <c r="V90" s="44"/>
      <c r="Z90" s="3"/>
    </row>
    <row r="91" spans="1:36" ht="16" thickBot="1" x14ac:dyDescent="0.25">
      <c r="F91" s="107"/>
      <c r="G91" s="103" t="e">
        <f>+G89-G90</f>
        <v>#REF!</v>
      </c>
      <c r="S91" s="85"/>
      <c r="T91" s="80"/>
      <c r="U91" s="80"/>
      <c r="V91" s="44"/>
      <c r="Z91" s="3"/>
    </row>
    <row r="92" spans="1:36" ht="16" thickBot="1" x14ac:dyDescent="0.25">
      <c r="F92" s="145" t="e">
        <f>IF(G91&lt;0,"CUMPLE VIGENCIAS","NO CUMPLE VIGENCIAS")</f>
        <v>#REF!</v>
      </c>
      <c r="G92" s="146"/>
      <c r="S92" s="85"/>
      <c r="T92" s="80"/>
      <c r="U92" s="80"/>
      <c r="V92" s="44"/>
      <c r="Z92" s="3"/>
    </row>
    <row r="93" spans="1:36" x14ac:dyDescent="0.2">
      <c r="F93" s="96"/>
      <c r="G93" s="104"/>
      <c r="S93" s="85"/>
      <c r="T93" s="80"/>
      <c r="U93" s="80"/>
      <c r="V93" s="44"/>
      <c r="Z93" s="3"/>
    </row>
    <row r="94" spans="1:36" ht="16" thickBot="1" x14ac:dyDescent="0.25">
      <c r="S94" s="85"/>
      <c r="T94" s="80"/>
      <c r="U94" s="80"/>
      <c r="V94" s="44"/>
      <c r="Z94" s="3"/>
    </row>
    <row r="95" spans="1:36" x14ac:dyDescent="0.2">
      <c r="F95" s="66" t="e">
        <f>1+#REF!</f>
        <v>#REF!</v>
      </c>
      <c r="G95" s="66" t="e">
        <f>1+F95</f>
        <v>#REF!</v>
      </c>
      <c r="H95" s="68" t="s">
        <v>6</v>
      </c>
      <c r="S95" s="85">
        <v>6</v>
      </c>
      <c r="T95" s="147" t="s">
        <v>78</v>
      </c>
      <c r="U95" s="147"/>
      <c r="V95" s="44" t="e">
        <f>+AE81+AG81</f>
        <v>#REF!</v>
      </c>
      <c r="Y95" s="26" t="s">
        <v>51</v>
      </c>
      <c r="Z95" s="3">
        <v>0.01</v>
      </c>
    </row>
    <row r="96" spans="1:36" x14ac:dyDescent="0.2">
      <c r="F96" s="70" t="e">
        <f>+SUM(#REF!)</f>
        <v>#REF!</v>
      </c>
      <c r="G96" s="71" t="e">
        <f>+SUM(#REF!)</f>
        <v>#REF!</v>
      </c>
      <c r="H96" s="73" t="e">
        <f>SUM(F96:G96)</f>
        <v>#REF!</v>
      </c>
      <c r="S96" s="85" t="s">
        <v>82</v>
      </c>
      <c r="T96" s="147" t="s">
        <v>53</v>
      </c>
      <c r="U96" s="147"/>
      <c r="V96" s="49" t="e">
        <f>+V89+V95</f>
        <v>#REF!</v>
      </c>
      <c r="Y96" s="34" t="s">
        <v>53</v>
      </c>
      <c r="Z96" s="58">
        <f>SUM(Z86:Z95)</f>
        <v>0.08</v>
      </c>
    </row>
    <row r="97" spans="6:26" x14ac:dyDescent="0.2">
      <c r="F97" s="69" t="e">
        <f>+SUM(#REF!)</f>
        <v>#REF!</v>
      </c>
      <c r="G97" s="69" t="e">
        <f>+SUM(#REF!)</f>
        <v>#REF!</v>
      </c>
      <c r="H97" s="73" t="e">
        <f>SUM(F97:G97)</f>
        <v>#REF!</v>
      </c>
      <c r="S97" s="85" t="s">
        <v>83</v>
      </c>
      <c r="T97" s="148" t="s">
        <v>6</v>
      </c>
      <c r="U97" s="148"/>
      <c r="V97" s="49" t="e">
        <f>+V86+V96</f>
        <v>#REF!</v>
      </c>
      <c r="Y97" s="26" t="s">
        <v>52</v>
      </c>
      <c r="Z97" s="26">
        <v>0.02</v>
      </c>
    </row>
    <row r="98" spans="6:26" x14ac:dyDescent="0.2">
      <c r="F98" s="69" t="e">
        <f>+SUM(#REF!)</f>
        <v>#REF!</v>
      </c>
      <c r="G98" s="69" t="e">
        <f>+SUM(#REF!)</f>
        <v>#REF!</v>
      </c>
      <c r="H98" s="73" t="e">
        <f>SUM(F98:G98)</f>
        <v>#REF!</v>
      </c>
      <c r="S98" s="85">
        <v>9</v>
      </c>
      <c r="T98" s="148" t="s">
        <v>79</v>
      </c>
      <c r="U98" s="148"/>
      <c r="V98" s="49" t="e">
        <f>+#REF!</f>
        <v>#REF!</v>
      </c>
      <c r="W98" s="89" t="e">
        <f>+V97-V98+#REF!</f>
        <v>#REF!</v>
      </c>
    </row>
    <row r="99" spans="6:26" ht="16" thickBot="1" x14ac:dyDescent="0.25">
      <c r="F99" s="67" t="e">
        <f t="shared" ref="F99:H99" si="45">SUM(F96:F98)</f>
        <v>#REF!</v>
      </c>
      <c r="G99" s="67" t="e">
        <f t="shared" si="45"/>
        <v>#REF!</v>
      </c>
      <c r="H99" s="74" t="e">
        <f t="shared" si="45"/>
        <v>#REF!</v>
      </c>
      <c r="S99" s="84"/>
    </row>
    <row r="100" spans="6:26" ht="16" thickBot="1" x14ac:dyDescent="0.25">
      <c r="G100" s="28"/>
      <c r="S100" s="86" t="s">
        <v>84</v>
      </c>
      <c r="T100" s="49" t="s">
        <v>80</v>
      </c>
      <c r="U100" s="49"/>
      <c r="V100" s="49">
        <f>+V89+V83</f>
        <v>2463384.8940000013</v>
      </c>
    </row>
    <row r="101" spans="6:26" x14ac:dyDescent="0.2">
      <c r="F101" s="76">
        <v>8200000</v>
      </c>
      <c r="G101" s="76">
        <v>6925746.9900000002</v>
      </c>
      <c r="H101" s="77">
        <f>SUM(F101:G101)</f>
        <v>15125746.99</v>
      </c>
    </row>
    <row r="102" spans="6:26" ht="16" thickBot="1" x14ac:dyDescent="0.25">
      <c r="F102" s="63" t="e">
        <f t="shared" ref="F102:H102" si="46">+F99-F101</f>
        <v>#REF!</v>
      </c>
      <c r="G102" s="63" t="e">
        <f t="shared" si="46"/>
        <v>#REF!</v>
      </c>
      <c r="H102" s="79" t="e">
        <f t="shared" si="46"/>
        <v>#REF!</v>
      </c>
    </row>
    <row r="103" spans="6:26" x14ac:dyDescent="0.2">
      <c r="G103" s="28"/>
    </row>
    <row r="116" spans="1:41" s="28" customFormat="1" x14ac:dyDescent="0.2">
      <c r="A116"/>
      <c r="B116"/>
      <c r="C116"/>
      <c r="D116" s="1"/>
      <c r="E116" s="1"/>
      <c r="G116" s="7"/>
      <c r="H116" s="26"/>
      <c r="I116" s="26"/>
      <c r="J116" s="1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/>
      <c r="AG116" s="26"/>
      <c r="AH116"/>
      <c r="AI116"/>
      <c r="AJ116"/>
      <c r="AK116"/>
      <c r="AL116"/>
      <c r="AM116"/>
      <c r="AN116"/>
      <c r="AO116"/>
    </row>
    <row r="117" spans="1:41" s="28" customFormat="1" x14ac:dyDescent="0.2">
      <c r="A117"/>
      <c r="B117"/>
      <c r="C117"/>
      <c r="D117" s="1"/>
      <c r="E117" s="1"/>
      <c r="G117" s="7"/>
      <c r="H117" s="26"/>
      <c r="I117" s="26"/>
      <c r="J117" s="1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/>
      <c r="AG117" s="26"/>
      <c r="AH117"/>
      <c r="AI117"/>
      <c r="AJ117"/>
      <c r="AK117"/>
      <c r="AL117"/>
      <c r="AM117"/>
      <c r="AN117"/>
      <c r="AO117"/>
    </row>
    <row r="118" spans="1:41" s="28" customFormat="1" x14ac:dyDescent="0.2">
      <c r="A118"/>
      <c r="B118"/>
      <c r="C118"/>
      <c r="D118" s="1"/>
      <c r="E118" s="1"/>
      <c r="G118" s="7"/>
      <c r="H118" s="26"/>
      <c r="I118" s="26"/>
      <c r="J118" s="1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/>
      <c r="AG118" s="26"/>
      <c r="AH118"/>
      <c r="AI118"/>
      <c r="AJ118"/>
      <c r="AK118"/>
      <c r="AL118"/>
      <c r="AM118"/>
      <c r="AN118"/>
      <c r="AO118"/>
    </row>
    <row r="119" spans="1:41" s="28" customFormat="1" x14ac:dyDescent="0.2">
      <c r="A119"/>
      <c r="B119"/>
      <c r="C119"/>
      <c r="D119" s="1"/>
      <c r="E119" s="1"/>
      <c r="G119" s="7"/>
      <c r="H119" s="26"/>
      <c r="I119" s="26"/>
      <c r="J119" s="1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/>
      <c r="AG119" s="26"/>
      <c r="AH119"/>
      <c r="AI119"/>
      <c r="AJ119"/>
      <c r="AK119"/>
      <c r="AL119"/>
      <c r="AM119"/>
      <c r="AN119"/>
      <c r="AO119"/>
    </row>
    <row r="120" spans="1:41" s="28" customFormat="1" x14ac:dyDescent="0.2">
      <c r="A120"/>
      <c r="B120"/>
      <c r="C120"/>
      <c r="D120" s="1"/>
      <c r="E120" s="1"/>
      <c r="G120" s="7"/>
      <c r="H120" s="26"/>
      <c r="I120" s="26"/>
      <c r="J120" s="1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/>
      <c r="AG120" s="26"/>
      <c r="AH120"/>
      <c r="AI120"/>
      <c r="AJ120"/>
      <c r="AK120"/>
      <c r="AL120"/>
      <c r="AM120"/>
      <c r="AN120"/>
      <c r="AO120"/>
    </row>
    <row r="121" spans="1:41" s="28" customFormat="1" x14ac:dyDescent="0.2">
      <c r="A121"/>
      <c r="B121"/>
      <c r="C121"/>
      <c r="D121" s="1"/>
      <c r="E121" s="1"/>
      <c r="G121" s="7"/>
      <c r="H121" s="26"/>
      <c r="I121" s="26"/>
      <c r="J121" s="1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/>
      <c r="AG121" s="26"/>
      <c r="AH121"/>
      <c r="AI121"/>
      <c r="AJ121"/>
      <c r="AK121"/>
      <c r="AL121"/>
      <c r="AM121"/>
      <c r="AN121"/>
      <c r="AO121"/>
    </row>
    <row r="122" spans="1:41" s="28" customFormat="1" x14ac:dyDescent="0.2">
      <c r="A122"/>
      <c r="B122"/>
      <c r="C122"/>
      <c r="D122" s="1"/>
      <c r="E122" s="1"/>
      <c r="G122" s="7"/>
      <c r="H122" s="26"/>
      <c r="I122" s="26"/>
      <c r="J122" s="1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/>
      <c r="AG122" s="26"/>
      <c r="AH122"/>
      <c r="AI122"/>
      <c r="AJ122"/>
      <c r="AK122"/>
      <c r="AL122"/>
      <c r="AM122"/>
      <c r="AN122"/>
      <c r="AO122"/>
    </row>
    <row r="123" spans="1:41" s="28" customFormat="1" x14ac:dyDescent="0.2">
      <c r="A123"/>
      <c r="B123"/>
      <c r="C123"/>
      <c r="D123" s="1"/>
      <c r="E123" s="1"/>
      <c r="G123" s="7"/>
      <c r="H123" s="26"/>
      <c r="I123" s="26"/>
      <c r="J123" s="1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/>
      <c r="AG123" s="26"/>
      <c r="AH123"/>
      <c r="AI123"/>
      <c r="AJ123"/>
      <c r="AK123"/>
      <c r="AL123"/>
      <c r="AM123"/>
      <c r="AN123"/>
      <c r="AO123"/>
    </row>
    <row r="124" spans="1:41" s="28" customFormat="1" x14ac:dyDescent="0.2">
      <c r="A124"/>
      <c r="B124"/>
      <c r="C124"/>
      <c r="D124" s="1"/>
      <c r="E124" s="1"/>
      <c r="G124" s="7"/>
      <c r="H124" s="26"/>
      <c r="I124" s="26"/>
      <c r="J124" s="1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/>
      <c r="AG124" s="26"/>
      <c r="AH124"/>
      <c r="AI124"/>
      <c r="AJ124"/>
      <c r="AK124"/>
      <c r="AL124"/>
      <c r="AM124"/>
      <c r="AN124"/>
      <c r="AO124"/>
    </row>
    <row r="125" spans="1:41" s="28" customFormat="1" x14ac:dyDescent="0.2">
      <c r="A125"/>
      <c r="B125"/>
      <c r="C125"/>
      <c r="D125" s="1"/>
      <c r="E125" s="1"/>
      <c r="G125" s="7"/>
      <c r="H125" s="26"/>
      <c r="I125" s="26"/>
      <c r="J125" s="1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/>
      <c r="AG125" s="26"/>
      <c r="AH125"/>
      <c r="AI125"/>
      <c r="AJ125"/>
      <c r="AK125"/>
      <c r="AL125"/>
      <c r="AM125"/>
      <c r="AN125"/>
      <c r="AO125"/>
    </row>
    <row r="126" spans="1:41" s="28" customFormat="1" x14ac:dyDescent="0.2">
      <c r="A126"/>
      <c r="B126"/>
      <c r="C126"/>
      <c r="D126" s="1"/>
      <c r="E126" s="1"/>
      <c r="G126" s="7"/>
      <c r="H126" s="26"/>
      <c r="I126" s="26"/>
      <c r="J126" s="1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/>
      <c r="AG126" s="26"/>
      <c r="AH126"/>
      <c r="AI126"/>
      <c r="AJ126"/>
      <c r="AK126"/>
      <c r="AL126"/>
      <c r="AM126"/>
      <c r="AN126"/>
      <c r="AO126"/>
    </row>
    <row r="127" spans="1:41" s="28" customFormat="1" x14ac:dyDescent="0.2">
      <c r="A127"/>
      <c r="B127"/>
      <c r="C127"/>
      <c r="D127" s="1"/>
      <c r="E127" s="1"/>
      <c r="G127" s="7"/>
      <c r="H127" s="26"/>
      <c r="I127" s="26"/>
      <c r="J127" s="1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/>
      <c r="AG127" s="26"/>
      <c r="AH127"/>
      <c r="AI127"/>
      <c r="AJ127"/>
      <c r="AK127"/>
      <c r="AL127"/>
      <c r="AM127"/>
      <c r="AN127"/>
      <c r="AO127"/>
    </row>
    <row r="128" spans="1:41" s="28" customFormat="1" x14ac:dyDescent="0.2">
      <c r="A128"/>
      <c r="B128"/>
      <c r="C128"/>
      <c r="D128" s="1"/>
      <c r="E128" s="1"/>
      <c r="G128" s="7"/>
      <c r="H128" s="26"/>
      <c r="I128" s="26"/>
      <c r="J128" s="1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/>
      <c r="AG128" s="26"/>
      <c r="AH128"/>
      <c r="AI128"/>
      <c r="AJ128"/>
      <c r="AK128"/>
      <c r="AL128"/>
      <c r="AM128"/>
      <c r="AN128"/>
      <c r="AO128"/>
    </row>
    <row r="129" spans="1:41" s="28" customFormat="1" x14ac:dyDescent="0.2">
      <c r="A129"/>
      <c r="B129"/>
      <c r="C129"/>
      <c r="D129" s="1"/>
      <c r="E129" s="1"/>
      <c r="G129" s="7"/>
      <c r="H129" s="26"/>
      <c r="I129" s="26"/>
      <c r="J129" s="1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/>
      <c r="AG129" s="26"/>
      <c r="AH129"/>
      <c r="AI129"/>
      <c r="AJ129"/>
      <c r="AK129"/>
      <c r="AL129"/>
      <c r="AM129"/>
      <c r="AN129"/>
      <c r="AO129"/>
    </row>
    <row r="130" spans="1:41" s="28" customFormat="1" x14ac:dyDescent="0.2">
      <c r="A130"/>
      <c r="B130"/>
      <c r="C130"/>
      <c r="D130" s="1"/>
      <c r="E130" s="1"/>
      <c r="G130" s="7"/>
      <c r="H130" s="26"/>
      <c r="I130" s="26"/>
      <c r="J130" s="1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/>
      <c r="AG130" s="26"/>
      <c r="AH130"/>
      <c r="AI130"/>
      <c r="AJ130"/>
      <c r="AK130"/>
      <c r="AL130"/>
      <c r="AM130"/>
      <c r="AN130"/>
      <c r="AO130"/>
    </row>
    <row r="131" spans="1:41" s="28" customFormat="1" x14ac:dyDescent="0.2">
      <c r="A131"/>
      <c r="B131"/>
      <c r="C131"/>
      <c r="D131" s="1"/>
      <c r="E131" s="1"/>
      <c r="G131" s="7"/>
      <c r="H131" s="26"/>
      <c r="I131" s="26"/>
      <c r="J131" s="1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/>
      <c r="AG131" s="26"/>
      <c r="AH131"/>
      <c r="AI131"/>
      <c r="AJ131"/>
      <c r="AK131"/>
      <c r="AL131"/>
      <c r="AM131"/>
      <c r="AN131"/>
      <c r="AO131"/>
    </row>
  </sheetData>
  <mergeCells count="106">
    <mergeCell ref="AI69:AI80"/>
    <mergeCell ref="AJ69:AJ80"/>
    <mergeCell ref="F92:G92"/>
    <mergeCell ref="T95:U95"/>
    <mergeCell ref="T96:U96"/>
    <mergeCell ref="T97:U97"/>
    <mergeCell ref="T98:U98"/>
    <mergeCell ref="T86:U86"/>
    <mergeCell ref="T89:U89"/>
    <mergeCell ref="T83:U83"/>
    <mergeCell ref="T84:U84"/>
    <mergeCell ref="T85:U85"/>
    <mergeCell ref="AI57:AI68"/>
    <mergeCell ref="AJ57:AJ68"/>
    <mergeCell ref="C60:C62"/>
    <mergeCell ref="C63:C65"/>
    <mergeCell ref="B54:B65"/>
    <mergeCell ref="C54:C56"/>
    <mergeCell ref="C57:C59"/>
    <mergeCell ref="X57:X68"/>
    <mergeCell ref="X45:X56"/>
    <mergeCell ref="Z45:Z56"/>
    <mergeCell ref="AA45:AA56"/>
    <mergeCell ref="AI45:AI56"/>
    <mergeCell ref="AJ45:AJ56"/>
    <mergeCell ref="C48:C50"/>
    <mergeCell ref="C51:C53"/>
    <mergeCell ref="C78:C80"/>
    <mergeCell ref="C66:C68"/>
    <mergeCell ref="C69:C71"/>
    <mergeCell ref="F69:F80"/>
    <mergeCell ref="X33:X44"/>
    <mergeCell ref="Z33:Z44"/>
    <mergeCell ref="AA33:AA44"/>
    <mergeCell ref="A78:A80"/>
    <mergeCell ref="B78:B80"/>
    <mergeCell ref="Z57:Z68"/>
    <mergeCell ref="AA57:AA68"/>
    <mergeCell ref="X69:X80"/>
    <mergeCell ref="Z69:Z80"/>
    <mergeCell ref="AA69:AA80"/>
    <mergeCell ref="C45:C47"/>
    <mergeCell ref="A30:A41"/>
    <mergeCell ref="B30:B41"/>
    <mergeCell ref="C30:C32"/>
    <mergeCell ref="C33:C35"/>
    <mergeCell ref="F33:F44"/>
    <mergeCell ref="A42:A53"/>
    <mergeCell ref="B42:B53"/>
    <mergeCell ref="F45:F56"/>
    <mergeCell ref="A54:A65"/>
    <mergeCell ref="F57:F68"/>
    <mergeCell ref="A66:A77"/>
    <mergeCell ref="B66:B77"/>
    <mergeCell ref="C72:C74"/>
    <mergeCell ref="C75:C77"/>
    <mergeCell ref="A18:A29"/>
    <mergeCell ref="B18:B29"/>
    <mergeCell ref="C18:C20"/>
    <mergeCell ref="C21:C23"/>
    <mergeCell ref="F21:F32"/>
    <mergeCell ref="AI33:AI44"/>
    <mergeCell ref="AJ33:AJ44"/>
    <mergeCell ref="C36:C38"/>
    <mergeCell ref="C39:C41"/>
    <mergeCell ref="C42:C44"/>
    <mergeCell ref="X21:X32"/>
    <mergeCell ref="Z21:Z32"/>
    <mergeCell ref="AA21:AA32"/>
    <mergeCell ref="AI21:AI32"/>
    <mergeCell ref="AJ21:AJ32"/>
    <mergeCell ref="C24:C26"/>
    <mergeCell ref="O1:O6"/>
    <mergeCell ref="P1:P6"/>
    <mergeCell ref="Q1:Q6"/>
    <mergeCell ref="R1:R6"/>
    <mergeCell ref="S1:S6"/>
    <mergeCell ref="C27:C29"/>
    <mergeCell ref="AI9:AI20"/>
    <mergeCell ref="AJ9:AJ20"/>
    <mergeCell ref="C12:C14"/>
    <mergeCell ref="C15:C17"/>
    <mergeCell ref="A1:E1"/>
    <mergeCell ref="G1:I1"/>
    <mergeCell ref="J1:K1"/>
    <mergeCell ref="L1:L6"/>
    <mergeCell ref="M1:M6"/>
    <mergeCell ref="AF2:AG2"/>
    <mergeCell ref="AH2:AH6"/>
    <mergeCell ref="A9:A17"/>
    <mergeCell ref="B9:B17"/>
    <mergeCell ref="C9:C11"/>
    <mergeCell ref="F9:F20"/>
    <mergeCell ref="X9:X20"/>
    <mergeCell ref="Z9:Z20"/>
    <mergeCell ref="AA9:AA20"/>
    <mergeCell ref="T1:T3"/>
    <mergeCell ref="U1:U3"/>
    <mergeCell ref="V1:V6"/>
    <mergeCell ref="AB1:AB6"/>
    <mergeCell ref="AD1:AH1"/>
    <mergeCell ref="A2:B2"/>
    <mergeCell ref="D2:E2"/>
    <mergeCell ref="G2:I2"/>
    <mergeCell ref="AD2:AE2"/>
    <mergeCell ref="N1:N6"/>
  </mergeCells>
  <pageMargins left="0.70866141732283472" right="0.70866141732283472" top="0.74803149606299213" bottom="0.74803149606299213" header="0.31496062992125984" footer="0.31496062992125984"/>
  <pageSetup paperSize="3" scale="59" orientation="landscape" r:id="rId1"/>
  <colBreaks count="1" manualBreakCount="1">
    <brk id="13" max="8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B27A2-B262-4AE8-ADB0-353F2B3A7CD5}">
  <sheetPr>
    <tabColor rgb="FF00B050"/>
    <pageSetUpPr fitToPage="1"/>
  </sheetPr>
  <dimension ref="A1:AA139"/>
  <sheetViews>
    <sheetView tabSelected="1" view="pageBreakPreview" zoomScale="60" zoomScaleNormal="95" workbookViewId="0">
      <pane xSplit="5" ySplit="6" topLeftCell="M7" activePane="bottomRight" state="frozen"/>
      <selection pane="topRight" activeCell="E1" sqref="E1"/>
      <selection pane="bottomLeft" activeCell="A3" sqref="A3"/>
      <selection pane="bottomRight" activeCell="Z10" sqref="Z10"/>
    </sheetView>
  </sheetViews>
  <sheetFormatPr baseColWidth="10" defaultRowHeight="15" x14ac:dyDescent="0.2"/>
  <cols>
    <col min="1" max="1" width="2" bestFit="1" customWidth="1"/>
    <col min="2" max="2" width="7.5" customWidth="1"/>
    <col min="3" max="3" width="8.6640625" bestFit="1" customWidth="1"/>
    <col min="4" max="4" width="4" style="1" bestFit="1" customWidth="1"/>
    <col min="5" max="5" width="10.83203125" style="1" customWidth="1"/>
    <col min="6" max="6" width="19.6640625" style="28" customWidth="1"/>
    <col min="7" max="9" width="20.5" style="28" bestFit="1" customWidth="1"/>
    <col min="10" max="10" width="20.6640625" style="28" bestFit="1" customWidth="1"/>
    <col min="11" max="11" width="18.5" style="28" bestFit="1" customWidth="1"/>
    <col min="12" max="12" width="19" style="7" bestFit="1" customWidth="1"/>
    <col min="13" max="13" width="20.5" style="26" bestFit="1" customWidth="1"/>
    <col min="14" max="14" width="20.1640625" style="26" bestFit="1" customWidth="1"/>
    <col min="15" max="15" width="9.5" style="1" bestFit="1" customWidth="1"/>
    <col min="16" max="16" width="19" style="26" bestFit="1" customWidth="1"/>
    <col min="17" max="17" width="18.1640625" style="26" customWidth="1"/>
    <col min="18" max="18" width="18.5" style="26" customWidth="1"/>
    <col min="19" max="19" width="20.1640625" style="26" bestFit="1" customWidth="1"/>
    <col min="20" max="20" width="16.5" style="26" customWidth="1"/>
    <col min="21" max="21" width="17.6640625" style="26" customWidth="1"/>
    <col min="22" max="22" width="17.5" style="26" customWidth="1"/>
    <col min="23" max="23" width="19" style="26" bestFit="1" customWidth="1"/>
    <col min="24" max="24" width="16.6640625" style="26" customWidth="1"/>
    <col min="25" max="25" width="19" style="26" bestFit="1" customWidth="1"/>
    <col min="26" max="26" width="20.5" style="26" bestFit="1" customWidth="1"/>
    <col min="27" max="27" width="8.5" style="26" customWidth="1"/>
    <col min="28" max="28" width="12.83203125" bestFit="1" customWidth="1"/>
  </cols>
  <sheetData>
    <row r="1" spans="1:27" s="19" customFormat="1" ht="14.5" customHeight="1" x14ac:dyDescent="0.2">
      <c r="A1" s="125" t="s">
        <v>7</v>
      </c>
      <c r="B1" s="125"/>
      <c r="C1" s="125"/>
      <c r="D1" s="125"/>
      <c r="E1" s="125"/>
      <c r="F1" s="173" t="s">
        <v>41</v>
      </c>
      <c r="G1" s="175"/>
      <c r="H1" s="175"/>
      <c r="I1" s="175"/>
      <c r="J1" s="174"/>
      <c r="K1" s="37"/>
      <c r="L1" s="126" t="s">
        <v>3</v>
      </c>
      <c r="M1" s="126"/>
      <c r="N1" s="126"/>
      <c r="O1" s="126" t="s">
        <v>11</v>
      </c>
      <c r="P1" s="126"/>
      <c r="Q1" s="127" t="s">
        <v>48</v>
      </c>
      <c r="R1" s="127" t="s">
        <v>34</v>
      </c>
      <c r="S1" s="127" t="s">
        <v>35</v>
      </c>
      <c r="T1" s="138" t="s">
        <v>39</v>
      </c>
      <c r="U1" s="127" t="s">
        <v>33</v>
      </c>
      <c r="V1" s="127" t="s">
        <v>37</v>
      </c>
      <c r="W1" s="127" t="s">
        <v>36</v>
      </c>
      <c r="X1" s="138" t="s">
        <v>40</v>
      </c>
      <c r="Y1" s="138" t="s">
        <v>55</v>
      </c>
      <c r="Z1" s="129" t="s">
        <v>42</v>
      </c>
      <c r="AA1" s="40"/>
    </row>
    <row r="2" spans="1:27" s="19" customFormat="1" ht="16" x14ac:dyDescent="0.2">
      <c r="A2" s="125" t="s">
        <v>0</v>
      </c>
      <c r="B2" s="125"/>
      <c r="C2" s="20" t="s">
        <v>1</v>
      </c>
      <c r="D2" s="125" t="s">
        <v>2</v>
      </c>
      <c r="E2" s="125"/>
      <c r="F2" s="173" t="s">
        <v>29</v>
      </c>
      <c r="G2" s="174"/>
      <c r="H2" s="29" t="s">
        <v>8</v>
      </c>
      <c r="I2" s="29" t="s">
        <v>9</v>
      </c>
      <c r="J2" s="29" t="s">
        <v>32</v>
      </c>
      <c r="K2" s="37"/>
      <c r="L2" s="126"/>
      <c r="M2" s="126"/>
      <c r="N2" s="126"/>
      <c r="O2" s="21" t="s">
        <v>73</v>
      </c>
      <c r="P2" s="31"/>
      <c r="Q2" s="127"/>
      <c r="R2" s="127"/>
      <c r="S2" s="127"/>
      <c r="T2" s="139"/>
      <c r="U2" s="127"/>
      <c r="V2" s="127"/>
      <c r="W2" s="127"/>
      <c r="X2" s="139"/>
      <c r="Y2" s="139"/>
      <c r="Z2" s="129"/>
      <c r="AA2" s="40"/>
    </row>
    <row r="3" spans="1:27" s="19" customFormat="1" x14ac:dyDescent="0.2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9"/>
      <c r="G3" s="29"/>
      <c r="H3" s="29"/>
      <c r="I3" s="29"/>
      <c r="J3" s="29"/>
      <c r="K3" s="37"/>
      <c r="L3" s="24">
        <v>6</v>
      </c>
      <c r="M3" s="24">
        <v>7</v>
      </c>
      <c r="N3" s="24">
        <v>8</v>
      </c>
      <c r="O3" s="21">
        <v>9</v>
      </c>
      <c r="P3" s="31">
        <v>10</v>
      </c>
      <c r="Q3" s="127"/>
      <c r="R3" s="127"/>
      <c r="S3" s="127"/>
      <c r="T3" s="139"/>
      <c r="U3" s="127"/>
      <c r="V3" s="127"/>
      <c r="W3" s="127"/>
      <c r="X3" s="139"/>
      <c r="Y3" s="140"/>
      <c r="Z3" s="129"/>
      <c r="AA3" s="40"/>
    </row>
    <row r="4" spans="1:27" s="19" customFormat="1" x14ac:dyDescent="0.2">
      <c r="A4" s="20"/>
      <c r="B4" s="20"/>
      <c r="C4" s="20"/>
      <c r="D4" s="20"/>
      <c r="E4" s="20"/>
      <c r="F4" s="29" t="s">
        <v>31</v>
      </c>
      <c r="G4" s="29" t="s">
        <v>30</v>
      </c>
      <c r="H4" s="29"/>
      <c r="I4" s="29"/>
      <c r="J4" s="29"/>
      <c r="K4" s="37"/>
      <c r="L4" s="22" t="s">
        <v>10</v>
      </c>
      <c r="M4" s="31" t="s">
        <v>2</v>
      </c>
      <c r="N4" s="31" t="s">
        <v>1</v>
      </c>
      <c r="O4" s="23" t="s">
        <v>12</v>
      </c>
      <c r="P4" s="33">
        <f>+'Tabla de reajustes'!AD3</f>
        <v>117.79612970112304</v>
      </c>
      <c r="Q4" s="127"/>
      <c r="R4" s="127"/>
      <c r="S4" s="127"/>
      <c r="T4" s="139"/>
      <c r="U4" s="127"/>
      <c r="V4" s="127"/>
      <c r="W4" s="127"/>
      <c r="X4" s="139"/>
      <c r="Y4" s="54">
        <v>0.12740000000000001</v>
      </c>
      <c r="Z4" s="129"/>
      <c r="AA4" s="40"/>
    </row>
    <row r="5" spans="1:27" s="19" customFormat="1" x14ac:dyDescent="0.2">
      <c r="A5" s="20"/>
      <c r="B5" s="20"/>
      <c r="C5" s="20"/>
      <c r="D5" s="20"/>
      <c r="E5" s="20"/>
      <c r="F5" s="29"/>
      <c r="G5" s="29"/>
      <c r="H5" s="29"/>
      <c r="I5" s="29"/>
      <c r="J5" s="29"/>
      <c r="K5" s="37"/>
      <c r="L5" s="22"/>
      <c r="M5" s="31"/>
      <c r="N5" s="31"/>
      <c r="O5" s="23"/>
      <c r="P5" s="33"/>
      <c r="Q5" s="127"/>
      <c r="R5" s="127"/>
      <c r="S5" s="127"/>
      <c r="T5" s="139"/>
      <c r="U5" s="127"/>
      <c r="V5" s="127"/>
      <c r="W5" s="127"/>
      <c r="X5" s="139"/>
      <c r="Y5" s="53">
        <v>0.08</v>
      </c>
      <c r="Z5" s="129"/>
      <c r="AA5" s="40"/>
    </row>
    <row r="6" spans="1:27" s="19" customFormat="1" x14ac:dyDescent="0.2">
      <c r="A6" s="20"/>
      <c r="B6" s="20"/>
      <c r="C6" s="20"/>
      <c r="D6" s="20"/>
      <c r="E6" s="20"/>
      <c r="F6" s="29">
        <v>0.75</v>
      </c>
      <c r="G6" s="29"/>
      <c r="H6" s="29"/>
      <c r="I6" s="29"/>
      <c r="J6" s="29"/>
      <c r="K6" s="37"/>
      <c r="L6" s="25"/>
      <c r="M6" s="32"/>
      <c r="N6" s="32"/>
      <c r="O6" s="24" t="s">
        <v>13</v>
      </c>
      <c r="P6" s="31" t="s">
        <v>1</v>
      </c>
      <c r="Q6" s="127"/>
      <c r="R6" s="127"/>
      <c r="S6" s="127"/>
      <c r="T6" s="140"/>
      <c r="U6" s="127"/>
      <c r="V6" s="127"/>
      <c r="W6" s="127"/>
      <c r="X6" s="140"/>
      <c r="Y6" s="53">
        <f>+Y4+Y5</f>
        <v>0.20740000000000003</v>
      </c>
      <c r="Z6" s="129"/>
      <c r="AA6" s="40"/>
    </row>
    <row r="7" spans="1:27" s="19" customFormat="1" x14ac:dyDescent="0.2">
      <c r="A7" s="20"/>
      <c r="B7" s="20"/>
      <c r="C7" s="20"/>
      <c r="D7" s="20"/>
      <c r="E7" s="20"/>
      <c r="F7" s="29"/>
      <c r="G7" s="29"/>
      <c r="H7" s="29"/>
      <c r="I7" s="29"/>
      <c r="J7" s="29"/>
      <c r="K7" s="37"/>
      <c r="L7" s="25"/>
      <c r="M7" s="32"/>
      <c r="N7" s="32"/>
      <c r="O7" s="24"/>
      <c r="P7" s="31"/>
      <c r="Q7" s="21">
        <v>11</v>
      </c>
      <c r="R7" s="21">
        <v>12</v>
      </c>
      <c r="S7" s="21">
        <v>13</v>
      </c>
      <c r="T7" s="21">
        <v>14</v>
      </c>
      <c r="U7" s="21">
        <v>15</v>
      </c>
      <c r="V7" s="21">
        <v>16</v>
      </c>
      <c r="W7" s="21">
        <v>17</v>
      </c>
      <c r="X7" s="21">
        <v>18</v>
      </c>
      <c r="Y7" s="21">
        <v>19</v>
      </c>
      <c r="Z7" s="51">
        <v>20</v>
      </c>
      <c r="AA7" s="40"/>
    </row>
    <row r="8" spans="1:27" x14ac:dyDescent="0.2">
      <c r="A8" s="6">
        <v>0</v>
      </c>
      <c r="B8" s="6">
        <v>2022</v>
      </c>
      <c r="C8" s="6">
        <v>0</v>
      </c>
      <c r="D8" s="6">
        <v>0</v>
      </c>
      <c r="E8" s="41">
        <v>44896</v>
      </c>
      <c r="F8" s="42"/>
      <c r="G8" s="42"/>
      <c r="H8" s="42"/>
      <c r="I8" s="42"/>
      <c r="J8" s="42"/>
      <c r="K8" s="42"/>
      <c r="L8" s="43"/>
      <c r="M8" s="44"/>
      <c r="N8" s="44"/>
      <c r="O8" s="6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</row>
    <row r="9" spans="1:27" x14ac:dyDescent="0.2">
      <c r="A9" s="130">
        <v>1</v>
      </c>
      <c r="B9" s="130">
        <v>2023</v>
      </c>
      <c r="C9" s="133">
        <v>2</v>
      </c>
      <c r="D9" s="6">
        <v>0</v>
      </c>
      <c r="E9" s="41">
        <v>45017</v>
      </c>
      <c r="F9" s="149">
        <v>1800000</v>
      </c>
      <c r="G9" s="42"/>
      <c r="H9" s="42"/>
      <c r="I9" s="42"/>
      <c r="J9" s="42"/>
      <c r="K9" s="134"/>
      <c r="L9" s="56">
        <v>0</v>
      </c>
      <c r="M9" s="44">
        <f t="shared" ref="M9:M47" si="0">+$I$91*L9</f>
        <v>0</v>
      </c>
      <c r="N9" s="44"/>
      <c r="O9" s="45">
        <f>+'Tabla de reajustes'!AE3</f>
        <v>118.08962944643083</v>
      </c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</row>
    <row r="10" spans="1:27" x14ac:dyDescent="0.2">
      <c r="A10" s="131"/>
      <c r="B10" s="131"/>
      <c r="C10" s="133"/>
      <c r="D10" s="6">
        <v>0</v>
      </c>
      <c r="E10" s="41">
        <v>45047</v>
      </c>
      <c r="F10" s="150"/>
      <c r="G10" s="42"/>
      <c r="H10" s="42"/>
      <c r="I10" s="42"/>
      <c r="J10" s="42"/>
      <c r="K10" s="134"/>
      <c r="L10" s="56">
        <v>0</v>
      </c>
      <c r="M10" s="44">
        <f t="shared" si="0"/>
        <v>0</v>
      </c>
      <c r="N10" s="44"/>
      <c r="O10" s="45">
        <f>+ROUND(O9*(1+'Tabla de reajustes'!$D$8),2)</f>
        <v>118.38</v>
      </c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</row>
    <row r="11" spans="1:27" x14ac:dyDescent="0.2">
      <c r="A11" s="131"/>
      <c r="B11" s="131"/>
      <c r="C11" s="133"/>
      <c r="D11" s="6">
        <v>0</v>
      </c>
      <c r="E11" s="41">
        <v>45078</v>
      </c>
      <c r="F11" s="150"/>
      <c r="G11" s="42"/>
      <c r="H11" s="42"/>
      <c r="I11" s="42"/>
      <c r="J11" s="42"/>
      <c r="K11" s="134"/>
      <c r="L11" s="56">
        <v>0</v>
      </c>
      <c r="M11" s="44">
        <f t="shared" si="0"/>
        <v>0</v>
      </c>
      <c r="N11" s="44">
        <f>SUM(M9:M11)</f>
        <v>0</v>
      </c>
      <c r="O11" s="45">
        <f>+ROUND(O10*(1+'Tabla de reajustes'!$D$8),2)</f>
        <v>118.67</v>
      </c>
      <c r="P11" s="42"/>
      <c r="Q11" s="44">
        <f>Q8+N11</f>
        <v>0</v>
      </c>
      <c r="R11" s="44">
        <f>+Q11+R8-S9</f>
        <v>0</v>
      </c>
      <c r="S11" s="44"/>
      <c r="T11" s="44"/>
      <c r="U11" s="44">
        <f>+U8+P11</f>
        <v>0</v>
      </c>
      <c r="V11" s="44">
        <f>+U11+V8-W9</f>
        <v>0</v>
      </c>
      <c r="W11" s="44"/>
      <c r="X11" s="44"/>
      <c r="Y11" s="44">
        <f>+(R11)*$Y$6/4</f>
        <v>0</v>
      </c>
      <c r="Z11" s="44"/>
      <c r="AA11" s="44"/>
    </row>
    <row r="12" spans="1:27" x14ac:dyDescent="0.2">
      <c r="A12" s="131"/>
      <c r="B12" s="131"/>
      <c r="C12" s="133">
        <f>1+C9</f>
        <v>3</v>
      </c>
      <c r="D12" s="6">
        <v>1</v>
      </c>
      <c r="E12" s="41">
        <v>45108</v>
      </c>
      <c r="F12" s="150"/>
      <c r="G12" s="42"/>
      <c r="H12" s="42"/>
      <c r="I12" s="42"/>
      <c r="J12" s="42"/>
      <c r="K12" s="134"/>
      <c r="L12" s="56">
        <v>2.5000000000000001E-4</v>
      </c>
      <c r="M12" s="44">
        <f t="shared" si="0"/>
        <v>6532.4909280000002</v>
      </c>
      <c r="N12" s="44"/>
      <c r="O12" s="45">
        <f>+ROUND(O11*(1+'Tabla de reajustes'!$D$8),2)</f>
        <v>118.97</v>
      </c>
      <c r="P12" s="44"/>
      <c r="Q12" s="44"/>
      <c r="R12" s="44"/>
      <c r="S12" s="44">
        <f>IF(R11&gt;H11-W12-Y11,H11-W12-Y11,R11)</f>
        <v>0</v>
      </c>
      <c r="T12" s="44">
        <f>+S12-T9</f>
        <v>0</v>
      </c>
      <c r="U12" s="44"/>
      <c r="V12" s="44"/>
      <c r="W12" s="44"/>
      <c r="X12" s="44">
        <f>+W12-X9</f>
        <v>0</v>
      </c>
      <c r="Y12" s="44"/>
      <c r="Z12" s="44">
        <f>+S12+W12+Y11</f>
        <v>0</v>
      </c>
      <c r="AA12" s="44"/>
    </row>
    <row r="13" spans="1:27" x14ac:dyDescent="0.2">
      <c r="A13" s="131"/>
      <c r="B13" s="131"/>
      <c r="C13" s="133"/>
      <c r="D13" s="6">
        <f t="shared" ref="D13:D73" si="1">1+D12</f>
        <v>2</v>
      </c>
      <c r="E13" s="41">
        <v>45139</v>
      </c>
      <c r="F13" s="150"/>
      <c r="G13" s="42"/>
      <c r="H13" s="42"/>
      <c r="I13" s="42"/>
      <c r="J13" s="42"/>
      <c r="K13" s="134"/>
      <c r="L13" s="56">
        <v>2.5000000000000001E-4</v>
      </c>
      <c r="M13" s="44">
        <f t="shared" si="0"/>
        <v>6532.4909280000002</v>
      </c>
      <c r="N13" s="44"/>
      <c r="O13" s="45">
        <f>+ROUND(O12*(1+'Tabla de reajustes'!$D$8),2)</f>
        <v>119.27</v>
      </c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</row>
    <row r="14" spans="1:27" x14ac:dyDescent="0.2">
      <c r="A14" s="131"/>
      <c r="B14" s="131"/>
      <c r="C14" s="133"/>
      <c r="D14" s="6">
        <f t="shared" si="1"/>
        <v>3</v>
      </c>
      <c r="E14" s="41">
        <v>45170</v>
      </c>
      <c r="F14" s="150"/>
      <c r="G14" s="42">
        <f>SUM(H14:J14)</f>
        <v>175656.39008118372</v>
      </c>
      <c r="H14" s="42">
        <f>+Y14+R14</f>
        <v>20613.6017478504</v>
      </c>
      <c r="I14" s="42">
        <v>152424.78833333333</v>
      </c>
      <c r="J14" s="42">
        <f>2*1000*1.1*1.19</f>
        <v>2618</v>
      </c>
      <c r="K14" s="134"/>
      <c r="L14" s="56">
        <v>2.5000000000000001E-4</v>
      </c>
      <c r="M14" s="44">
        <f t="shared" si="0"/>
        <v>6532.4909280000002</v>
      </c>
      <c r="N14" s="44">
        <f t="shared" ref="N14" si="2">SUM(M12:M14)</f>
        <v>19597.472784000001</v>
      </c>
      <c r="O14" s="45">
        <f>+ROUND(O13*(1+'Tabla de reajustes'!$D$8),2)</f>
        <v>119.57</v>
      </c>
      <c r="P14" s="42"/>
      <c r="Q14" s="44">
        <f>Q11+N14</f>
        <v>19597.472784000001</v>
      </c>
      <c r="R14" s="44">
        <f>+Q14-T12</f>
        <v>19597.472784000001</v>
      </c>
      <c r="S14" s="44"/>
      <c r="T14" s="44"/>
      <c r="U14" s="44">
        <f>+U11+P14</f>
        <v>0</v>
      </c>
      <c r="V14" s="44">
        <f>+U14-X12</f>
        <v>0</v>
      </c>
      <c r="W14" s="44"/>
      <c r="X14" s="44"/>
      <c r="Y14" s="44">
        <f t="shared" ref="Y14" si="3">+(R14)*$Y$6/4</f>
        <v>1016.1289638504002</v>
      </c>
      <c r="Z14" s="44"/>
      <c r="AA14" s="44"/>
    </row>
    <row r="15" spans="1:27" x14ac:dyDescent="0.2">
      <c r="A15" s="131"/>
      <c r="B15" s="131"/>
      <c r="C15" s="133">
        <f t="shared" ref="C15" si="4">1+C12</f>
        <v>4</v>
      </c>
      <c r="D15" s="6">
        <f t="shared" si="1"/>
        <v>4</v>
      </c>
      <c r="E15" s="41">
        <v>45200</v>
      </c>
      <c r="F15" s="150"/>
      <c r="G15" s="42"/>
      <c r="H15" s="42"/>
      <c r="I15" s="42"/>
      <c r="J15" s="42"/>
      <c r="K15" s="134"/>
      <c r="L15" s="56">
        <v>2.5000000000000001E-4</v>
      </c>
      <c r="M15" s="44">
        <f t="shared" si="0"/>
        <v>6532.4909280000002</v>
      </c>
      <c r="N15" s="44"/>
      <c r="O15" s="45">
        <f>+ROUND(O14*(1+'Tabla de reajustes'!$D$8),2)</f>
        <v>119.87</v>
      </c>
      <c r="P15" s="44"/>
      <c r="Q15" s="44"/>
      <c r="R15" s="44"/>
      <c r="S15" s="44">
        <f>IF(R14&gt;H14-W15-Y14,H14-W15-Y14,R14)</f>
        <v>19597.472784000001</v>
      </c>
      <c r="T15" s="44">
        <f>+S15+T12</f>
        <v>19597.472784000001</v>
      </c>
      <c r="U15" s="44"/>
      <c r="V15" s="44"/>
      <c r="W15" s="44"/>
      <c r="X15" s="44">
        <f>+W15+X12</f>
        <v>0</v>
      </c>
      <c r="Y15" s="44"/>
      <c r="Z15" s="44">
        <f>+S15+W15+Y14</f>
        <v>20613.6017478504</v>
      </c>
      <c r="AA15" s="44"/>
    </row>
    <row r="16" spans="1:27" x14ac:dyDescent="0.2">
      <c r="A16" s="131"/>
      <c r="B16" s="131"/>
      <c r="C16" s="133"/>
      <c r="D16" s="6">
        <f t="shared" si="1"/>
        <v>5</v>
      </c>
      <c r="E16" s="41">
        <v>45231</v>
      </c>
      <c r="F16" s="150"/>
      <c r="G16" s="42"/>
      <c r="H16" s="42"/>
      <c r="I16" s="42"/>
      <c r="J16" s="42"/>
      <c r="K16" s="134"/>
      <c r="L16" s="43">
        <v>1.7500000000000002E-2</v>
      </c>
      <c r="M16" s="44">
        <f t="shared" si="0"/>
        <v>457274.36496000009</v>
      </c>
      <c r="N16" s="44"/>
      <c r="O16" s="45">
        <f>+ROUND(O15*(1+'Tabla de reajustes'!$D$8),2)</f>
        <v>120.17</v>
      </c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</row>
    <row r="17" spans="1:27" x14ac:dyDescent="0.2">
      <c r="A17" s="132"/>
      <c r="B17" s="132"/>
      <c r="C17" s="133"/>
      <c r="D17" s="6">
        <f t="shared" si="1"/>
        <v>6</v>
      </c>
      <c r="E17" s="41">
        <v>45261</v>
      </c>
      <c r="F17" s="151"/>
      <c r="G17" s="42">
        <f>SUM(H17:J17)</f>
        <v>1178462.5399188162</v>
      </c>
      <c r="H17" s="42">
        <f>1800000-H11-H14-I11-I14-I17-J11-J14-J17-445881.07</f>
        <v>1023419.7515854829</v>
      </c>
      <c r="I17" s="42">
        <v>152424.78833333333</v>
      </c>
      <c r="J17" s="42">
        <f>+J14</f>
        <v>2618</v>
      </c>
      <c r="K17" s="134"/>
      <c r="L17" s="43">
        <v>0.02</v>
      </c>
      <c r="M17" s="44">
        <f t="shared" si="0"/>
        <v>522599.27424000006</v>
      </c>
      <c r="N17" s="44">
        <f t="shared" ref="N17" si="5">SUM(M15:M17)</f>
        <v>986406.13012800016</v>
      </c>
      <c r="O17" s="45">
        <f>+ROUND(O16*(1+'Tabla de reajustes'!$D$8),2)</f>
        <v>120.47</v>
      </c>
      <c r="P17" s="42"/>
      <c r="Q17" s="44">
        <f>Q14+N17</f>
        <v>1006003.6029120001</v>
      </c>
      <c r="R17" s="44">
        <f>+Q17-T15</f>
        <v>986406.13012800016</v>
      </c>
      <c r="S17" s="44"/>
      <c r="T17" s="44"/>
      <c r="U17" s="44">
        <f>+U14+P17</f>
        <v>0</v>
      </c>
      <c r="V17" s="44">
        <f>+U17-X15</f>
        <v>0</v>
      </c>
      <c r="W17" s="44"/>
      <c r="X17" s="44"/>
      <c r="Y17" s="44">
        <f t="shared" ref="Y17" si="6">+(R17)*$Y$6/4</f>
        <v>51145.157847136812</v>
      </c>
      <c r="Z17" s="44"/>
      <c r="AA17" s="44"/>
    </row>
    <row r="18" spans="1:27" x14ac:dyDescent="0.2">
      <c r="A18" s="130">
        <f>1+A9</f>
        <v>2</v>
      </c>
      <c r="B18" s="130">
        <f>1+B9</f>
        <v>2024</v>
      </c>
      <c r="C18" s="133">
        <v>1</v>
      </c>
      <c r="D18" s="6">
        <f t="shared" si="1"/>
        <v>7</v>
      </c>
      <c r="E18" s="41">
        <v>45292</v>
      </c>
      <c r="F18" s="149">
        <f>7700000*F6+1900000</f>
        <v>7675000</v>
      </c>
      <c r="G18" s="42"/>
      <c r="H18" s="42"/>
      <c r="I18" s="42"/>
      <c r="J18" s="42"/>
      <c r="K18" s="134"/>
      <c r="L18" s="43">
        <v>2.2499999999999999E-2</v>
      </c>
      <c r="M18" s="44">
        <f t="shared" si="0"/>
        <v>587924.18351999996</v>
      </c>
      <c r="N18" s="44"/>
      <c r="O18" s="45">
        <f>+ROUND(O17*(1+'Tabla de reajustes'!$D$8),2)</f>
        <v>120.77</v>
      </c>
      <c r="P18" s="44"/>
      <c r="Q18" s="44"/>
      <c r="R18" s="44"/>
      <c r="S18" s="44">
        <f>IF(R17&gt;H17-W18-Y17,H17-W18-Y17,R17)</f>
        <v>972274.59373834601</v>
      </c>
      <c r="T18" s="44">
        <f>+S18+T15</f>
        <v>991872.06652234599</v>
      </c>
      <c r="U18" s="44"/>
      <c r="V18" s="44"/>
      <c r="W18" s="44"/>
      <c r="X18" s="44">
        <f>+W18+X15</f>
        <v>0</v>
      </c>
      <c r="Y18" s="44"/>
      <c r="Z18" s="44">
        <f>+S18+W18+Y17</f>
        <v>1023419.7515854829</v>
      </c>
      <c r="AA18" s="44"/>
    </row>
    <row r="19" spans="1:27" x14ac:dyDescent="0.2">
      <c r="A19" s="131"/>
      <c r="B19" s="131"/>
      <c r="C19" s="133"/>
      <c r="D19" s="6">
        <f t="shared" si="1"/>
        <v>8</v>
      </c>
      <c r="E19" s="41">
        <v>45323</v>
      </c>
      <c r="F19" s="150"/>
      <c r="G19" s="42"/>
      <c r="H19" s="42"/>
      <c r="I19" s="42"/>
      <c r="J19" s="42"/>
      <c r="K19" s="134"/>
      <c r="L19" s="43">
        <v>2.5000000000000001E-2</v>
      </c>
      <c r="M19" s="44">
        <f t="shared" si="0"/>
        <v>653249.0928000001</v>
      </c>
      <c r="N19" s="44"/>
      <c r="O19" s="45">
        <f>+ROUND(O18*(1+'Tabla de reajustes'!$D$8),2)</f>
        <v>121.07</v>
      </c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</row>
    <row r="20" spans="1:27" x14ac:dyDescent="0.2">
      <c r="A20" s="131"/>
      <c r="B20" s="131"/>
      <c r="C20" s="133"/>
      <c r="D20" s="6">
        <f t="shared" si="1"/>
        <v>9</v>
      </c>
      <c r="E20" s="41">
        <v>45352</v>
      </c>
      <c r="F20" s="150"/>
      <c r="G20" s="42">
        <f>+F18/4</f>
        <v>1918750</v>
      </c>
      <c r="H20" s="42">
        <f>+G20-I20-J20</f>
        <v>1748360.4796105633</v>
      </c>
      <c r="I20" s="42">
        <v>167771.52038943666</v>
      </c>
      <c r="J20" s="42">
        <f>+J17</f>
        <v>2618</v>
      </c>
      <c r="K20" s="134"/>
      <c r="L20" s="43">
        <v>2.75E-2</v>
      </c>
      <c r="M20" s="44">
        <f t="shared" si="0"/>
        <v>718574.00208000001</v>
      </c>
      <c r="N20" s="44">
        <f t="shared" ref="N20" si="7">SUM(M18:M20)</f>
        <v>1959747.2784000002</v>
      </c>
      <c r="O20" s="45">
        <f>+ROUND(O19*(1+'Tabla de reajustes'!$D$8),2)</f>
        <v>121.37</v>
      </c>
      <c r="P20" s="42">
        <f>+ROUND((N20)*(O20-$P$4)/$P$4,2)</f>
        <v>59457.66</v>
      </c>
      <c r="Q20" s="44">
        <f>Q17+N20</f>
        <v>2965750.8813120006</v>
      </c>
      <c r="R20" s="44">
        <f>+Q20-T18</f>
        <v>1973878.8147896547</v>
      </c>
      <c r="S20" s="44"/>
      <c r="T20" s="44"/>
      <c r="U20" s="44">
        <f>+U17+P20</f>
        <v>59457.66</v>
      </c>
      <c r="V20" s="44">
        <f>+U20-X18</f>
        <v>59457.66</v>
      </c>
      <c r="W20" s="44"/>
      <c r="X20" s="44"/>
      <c r="Y20" s="44">
        <f t="shared" ref="Y20" si="8">+(R20)*$Y$6/4</f>
        <v>102345.61654684361</v>
      </c>
      <c r="Z20" s="44"/>
      <c r="AA20" s="44"/>
    </row>
    <row r="21" spans="1:27" x14ac:dyDescent="0.2">
      <c r="A21" s="131"/>
      <c r="B21" s="131"/>
      <c r="C21" s="143">
        <f t="shared" ref="C21" si="9">1+C18</f>
        <v>2</v>
      </c>
      <c r="D21" s="6">
        <f t="shared" si="1"/>
        <v>10</v>
      </c>
      <c r="E21" s="41">
        <v>45383</v>
      </c>
      <c r="F21" s="150"/>
      <c r="G21" s="42"/>
      <c r="H21" s="42"/>
      <c r="I21" s="42"/>
      <c r="J21" s="42"/>
      <c r="K21" s="134"/>
      <c r="L21" s="43">
        <v>0.03</v>
      </c>
      <c r="M21" s="44">
        <f t="shared" si="0"/>
        <v>783898.91136000003</v>
      </c>
      <c r="N21" s="44"/>
      <c r="O21" s="45">
        <f>+ROUND(O20*(1+'Tabla de reajustes'!$D$8),2)</f>
        <v>121.67</v>
      </c>
      <c r="P21" s="44"/>
      <c r="Q21" s="44"/>
      <c r="R21" s="44"/>
      <c r="S21" s="44">
        <f>IF(R20&gt;H20-W21-Y20,H20-W21-Y20,R20)</f>
        <v>1646014.8630637196</v>
      </c>
      <c r="T21" s="44">
        <f>+S21+T18</f>
        <v>2637886.9295860655</v>
      </c>
      <c r="U21" s="44"/>
      <c r="V21" s="44"/>
      <c r="W21" s="44"/>
      <c r="X21" s="44">
        <f>+W21+X18</f>
        <v>0</v>
      </c>
      <c r="Y21" s="44"/>
      <c r="Z21" s="44">
        <f>+S21+W21+Y20</f>
        <v>1748360.4796105633</v>
      </c>
      <c r="AA21" s="44"/>
    </row>
    <row r="22" spans="1:27" x14ac:dyDescent="0.2">
      <c r="A22" s="131"/>
      <c r="B22" s="131"/>
      <c r="C22" s="143"/>
      <c r="D22" s="6">
        <f t="shared" si="1"/>
        <v>11</v>
      </c>
      <c r="E22" s="41">
        <v>45413</v>
      </c>
      <c r="F22" s="150"/>
      <c r="G22" s="42"/>
      <c r="H22" s="42"/>
      <c r="I22" s="42"/>
      <c r="J22" s="42"/>
      <c r="K22" s="134"/>
      <c r="L22" s="43">
        <v>3.2500000000000001E-2</v>
      </c>
      <c r="M22" s="44">
        <f t="shared" si="0"/>
        <v>849223.82064000005</v>
      </c>
      <c r="N22" s="44"/>
      <c r="O22" s="45">
        <f>+ROUND(O21*(1+'Tabla de reajustes'!$D$8),2)</f>
        <v>121.97</v>
      </c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</row>
    <row r="23" spans="1:27" x14ac:dyDescent="0.2">
      <c r="A23" s="131"/>
      <c r="B23" s="131"/>
      <c r="C23" s="143"/>
      <c r="D23" s="6">
        <f t="shared" si="1"/>
        <v>12</v>
      </c>
      <c r="E23" s="41">
        <v>45444</v>
      </c>
      <c r="F23" s="150"/>
      <c r="G23" s="42">
        <f>+SUM(H23:J23)</f>
        <v>2364551.8703894364</v>
      </c>
      <c r="H23" s="42">
        <v>2193900.5499999998</v>
      </c>
      <c r="I23" s="42">
        <v>167771.52038943666</v>
      </c>
      <c r="J23" s="42">
        <f>+J14*1.1</f>
        <v>2879.8</v>
      </c>
      <c r="K23" s="134"/>
      <c r="L23" s="43">
        <v>3.5000000000000003E-2</v>
      </c>
      <c r="M23" s="44">
        <f t="shared" si="0"/>
        <v>914548.72992000019</v>
      </c>
      <c r="N23" s="44">
        <f t="shared" ref="N23" si="10">SUM(M21:M23)</f>
        <v>2547671.4619200001</v>
      </c>
      <c r="O23" s="45">
        <f>+ROUND(O22*(1+'Tabla de reajustes'!$D$8),2)</f>
        <v>122.27</v>
      </c>
      <c r="P23" s="42">
        <f>+ROUND((N23)*(O23-$P$4)/$P$4,2)</f>
        <v>96759.98</v>
      </c>
      <c r="Q23" s="44">
        <f>Q20+N23</f>
        <v>5513422.3432320002</v>
      </c>
      <c r="R23" s="44">
        <f>+Q23-T21</f>
        <v>2875535.4136459348</v>
      </c>
      <c r="S23" s="44"/>
      <c r="T23" s="44"/>
      <c r="U23" s="44">
        <f>+U20+P23</f>
        <v>156217.64000000001</v>
      </c>
      <c r="V23" s="44">
        <f>+U23-X21</f>
        <v>156217.64000000001</v>
      </c>
      <c r="W23" s="44"/>
      <c r="X23" s="44"/>
      <c r="Y23" s="44">
        <f t="shared" ref="Y23" si="11">+(R23)*$Y$6/4</f>
        <v>149096.51119754175</v>
      </c>
      <c r="Z23" s="44"/>
      <c r="AA23" s="47"/>
    </row>
    <row r="24" spans="1:27" x14ac:dyDescent="0.2">
      <c r="A24" s="131"/>
      <c r="B24" s="131"/>
      <c r="C24" s="143">
        <f t="shared" ref="C24" si="12">1+C21</f>
        <v>3</v>
      </c>
      <c r="D24" s="6">
        <f t="shared" si="1"/>
        <v>13</v>
      </c>
      <c r="E24" s="41">
        <v>45474</v>
      </c>
      <c r="F24" s="150"/>
      <c r="G24" s="42"/>
      <c r="H24" s="42"/>
      <c r="I24" s="42"/>
      <c r="J24" s="42"/>
      <c r="K24" s="134"/>
      <c r="L24" s="43">
        <v>3.5000000000000003E-2</v>
      </c>
      <c r="M24" s="44">
        <f t="shared" si="0"/>
        <v>914548.72992000019</v>
      </c>
      <c r="N24" s="44"/>
      <c r="O24" s="45">
        <f>+ROUND(O23*(1+'Tabla de reajustes'!$D$8),2)</f>
        <v>122.57</v>
      </c>
      <c r="P24" s="44"/>
      <c r="Q24" s="44"/>
      <c r="R24" s="44"/>
      <c r="S24" s="44">
        <f>IF(R23&gt;H23-W24-Y23,H23-W24-Y23,R23)</f>
        <v>2044804.038802458</v>
      </c>
      <c r="T24" s="44">
        <f>+S24+T21</f>
        <v>4682690.9683885239</v>
      </c>
      <c r="U24" s="44"/>
      <c r="V24" s="44"/>
      <c r="W24" s="44"/>
      <c r="X24" s="44">
        <f>+W24+X21</f>
        <v>0</v>
      </c>
      <c r="Y24" s="44"/>
      <c r="Z24" s="44">
        <f>+S24+W24+Y23</f>
        <v>2193900.5499999998</v>
      </c>
      <c r="AA24" s="44"/>
    </row>
    <row r="25" spans="1:27" x14ac:dyDescent="0.2">
      <c r="A25" s="131"/>
      <c r="B25" s="131"/>
      <c r="C25" s="143"/>
      <c r="D25" s="6">
        <f t="shared" si="1"/>
        <v>14</v>
      </c>
      <c r="E25" s="41">
        <v>45505</v>
      </c>
      <c r="F25" s="150"/>
      <c r="G25" s="42"/>
      <c r="H25" s="42"/>
      <c r="I25" s="42"/>
      <c r="J25" s="42"/>
      <c r="K25" s="134"/>
      <c r="L25" s="43">
        <v>3.5000000000000003E-2</v>
      </c>
      <c r="M25" s="44">
        <f t="shared" si="0"/>
        <v>914548.72992000019</v>
      </c>
      <c r="N25" s="44"/>
      <c r="O25" s="45">
        <f>+ROUND(O24*(1+'Tabla de reajustes'!$D$8),2)</f>
        <v>122.88</v>
      </c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</row>
    <row r="26" spans="1:27" x14ac:dyDescent="0.2">
      <c r="A26" s="131"/>
      <c r="B26" s="131"/>
      <c r="C26" s="143"/>
      <c r="D26" s="6">
        <f t="shared" si="1"/>
        <v>15</v>
      </c>
      <c r="E26" s="41">
        <v>45536</v>
      </c>
      <c r="F26" s="150"/>
      <c r="G26" s="42">
        <f>+F18/4</f>
        <v>1918750</v>
      </c>
      <c r="H26" s="42">
        <f>+G26-I26-J26</f>
        <v>1748098.6796105632</v>
      </c>
      <c r="I26" s="42">
        <v>167771.52038943666</v>
      </c>
      <c r="J26" s="42">
        <f>+J23</f>
        <v>2879.8</v>
      </c>
      <c r="K26" s="134"/>
      <c r="L26" s="43">
        <v>3.7499999999999999E-2</v>
      </c>
      <c r="M26" s="44">
        <f t="shared" si="0"/>
        <v>979873.63919999998</v>
      </c>
      <c r="N26" s="44">
        <f t="shared" ref="N26" si="13">SUM(M24:M26)</f>
        <v>2808971.0990400002</v>
      </c>
      <c r="O26" s="45">
        <f>+ROUND(O25*(1+'Tabla de reajustes'!$D$8),2)</f>
        <v>123.19</v>
      </c>
      <c r="P26" s="42">
        <f>+ROUND((N26)*(O26-$P$4)/$P$4,2)</f>
        <v>128622.44</v>
      </c>
      <c r="Q26" s="44">
        <f>Q23+N26</f>
        <v>8322393.442272</v>
      </c>
      <c r="R26" s="44">
        <f>+Q26-T24</f>
        <v>3639702.4738834761</v>
      </c>
      <c r="S26" s="44"/>
      <c r="T26" s="44"/>
      <c r="U26" s="44">
        <f>+U23+P26</f>
        <v>284840.08</v>
      </c>
      <c r="V26" s="44">
        <f>+U26-X24</f>
        <v>284840.08</v>
      </c>
      <c r="W26" s="44"/>
      <c r="X26" s="44"/>
      <c r="Y26" s="44">
        <f t="shared" ref="Y26" si="14">+(R26)*$Y$6/4</f>
        <v>188718.57327085827</v>
      </c>
      <c r="Z26" s="44"/>
      <c r="AA26" s="44"/>
    </row>
    <row r="27" spans="1:27" x14ac:dyDescent="0.2">
      <c r="A27" s="131"/>
      <c r="B27" s="131"/>
      <c r="C27" s="143">
        <f t="shared" ref="C27" si="15">1+C24</f>
        <v>4</v>
      </c>
      <c r="D27" s="6">
        <f t="shared" si="1"/>
        <v>16</v>
      </c>
      <c r="E27" s="41">
        <v>45566</v>
      </c>
      <c r="F27" s="150"/>
      <c r="G27" s="42"/>
      <c r="H27" s="42"/>
      <c r="I27" s="42"/>
      <c r="J27" s="42"/>
      <c r="K27" s="134"/>
      <c r="L27" s="43">
        <v>3.7499999999999999E-2</v>
      </c>
      <c r="M27" s="44">
        <f t="shared" si="0"/>
        <v>979873.63919999998</v>
      </c>
      <c r="N27" s="44"/>
      <c r="O27" s="45">
        <f>+ROUND(O26*(1+'Tabla de reajustes'!$D$8),2)</f>
        <v>123.5</v>
      </c>
      <c r="P27" s="44"/>
      <c r="Q27" s="44"/>
      <c r="R27" s="44"/>
      <c r="S27" s="44">
        <f>IF(R26&gt;H26-W27-Y26,H26-W27-Y26,R26)</f>
        <v>1559380.1063397049</v>
      </c>
      <c r="T27" s="44">
        <f>+S27+T24</f>
        <v>6242071.0747282291</v>
      </c>
      <c r="U27" s="44"/>
      <c r="V27" s="44"/>
      <c r="W27" s="44"/>
      <c r="X27" s="44">
        <f>+W27+X24</f>
        <v>0</v>
      </c>
      <c r="Y27" s="44"/>
      <c r="Z27" s="44">
        <f>+S27+W27+Y26</f>
        <v>1748098.6796105632</v>
      </c>
      <c r="AA27" s="44"/>
    </row>
    <row r="28" spans="1:27" x14ac:dyDescent="0.2">
      <c r="A28" s="131"/>
      <c r="B28" s="131"/>
      <c r="C28" s="143"/>
      <c r="D28" s="6">
        <f t="shared" si="1"/>
        <v>17</v>
      </c>
      <c r="E28" s="41">
        <v>45597</v>
      </c>
      <c r="F28" s="150"/>
      <c r="G28" s="42"/>
      <c r="H28" s="42"/>
      <c r="I28" s="42"/>
      <c r="J28" s="42"/>
      <c r="K28" s="134"/>
      <c r="L28" s="43">
        <v>0.04</v>
      </c>
      <c r="M28" s="44">
        <f t="shared" si="0"/>
        <v>1045198.5484800001</v>
      </c>
      <c r="N28" s="44"/>
      <c r="O28" s="45">
        <f>+ROUND(O27*(1+'Tabla de reajustes'!$D$8),2)</f>
        <v>123.81</v>
      </c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</row>
    <row r="29" spans="1:27" x14ac:dyDescent="0.2">
      <c r="A29" s="132"/>
      <c r="B29" s="132"/>
      <c r="C29" s="143"/>
      <c r="D29" s="6">
        <f t="shared" si="1"/>
        <v>18</v>
      </c>
      <c r="E29" s="41">
        <v>45627</v>
      </c>
      <c r="F29" s="151"/>
      <c r="G29" s="42">
        <f>+G26</f>
        <v>1918750</v>
      </c>
      <c r="H29" s="42">
        <f>+G29-I29-J29</f>
        <v>1748098.6796105632</v>
      </c>
      <c r="I29" s="42">
        <v>167771.52038943666</v>
      </c>
      <c r="J29" s="42">
        <f>+J26</f>
        <v>2879.8</v>
      </c>
      <c r="K29" s="134"/>
      <c r="L29" s="43">
        <v>4.4999999999999998E-2</v>
      </c>
      <c r="M29" s="44">
        <f t="shared" si="0"/>
        <v>1175848.3670399999</v>
      </c>
      <c r="N29" s="44">
        <f t="shared" ref="N29" si="16">SUM(M27:M29)</f>
        <v>3200920.5547199999</v>
      </c>
      <c r="O29" s="45">
        <f>+ROUND(O28*(1+'Tabla de reajustes'!$D$8),2)</f>
        <v>124.12</v>
      </c>
      <c r="P29" s="42">
        <f>+ROUND((N29)*(O29-$P$4)/$P$4,2)</f>
        <v>171841.01</v>
      </c>
      <c r="Q29" s="44">
        <f>Q26+N29</f>
        <v>11523313.996991999</v>
      </c>
      <c r="R29" s="44">
        <f>+Q29-T27</f>
        <v>5281242.9222637704</v>
      </c>
      <c r="S29" s="44"/>
      <c r="T29" s="44"/>
      <c r="U29" s="44">
        <f>+U26+P29</f>
        <v>456681.09</v>
      </c>
      <c r="V29" s="44">
        <f>+U29-X27</f>
        <v>456681.09</v>
      </c>
      <c r="W29" s="44"/>
      <c r="X29" s="44"/>
      <c r="Y29" s="44">
        <f t="shared" ref="Y29" si="17">+(R29)*$Y$6/4</f>
        <v>273832.44551937655</v>
      </c>
      <c r="Z29" s="44"/>
      <c r="AA29" s="44"/>
    </row>
    <row r="30" spans="1:27" x14ac:dyDescent="0.2">
      <c r="A30" s="130">
        <f>1+A18</f>
        <v>3</v>
      </c>
      <c r="B30" s="130">
        <f>1+B18</f>
        <v>2025</v>
      </c>
      <c r="C30" s="143">
        <v>1</v>
      </c>
      <c r="D30" s="6">
        <f t="shared" si="1"/>
        <v>19</v>
      </c>
      <c r="E30" s="41">
        <v>45658</v>
      </c>
      <c r="F30" s="149">
        <f>7940000*F6+1750000</f>
        <v>7705000</v>
      </c>
      <c r="G30" s="42"/>
      <c r="H30" s="42"/>
      <c r="I30" s="42"/>
      <c r="J30" s="42"/>
      <c r="K30" s="134"/>
      <c r="L30" s="43">
        <v>4.4999999999999998E-2</v>
      </c>
      <c r="M30" s="44">
        <f t="shared" si="0"/>
        <v>1175848.3670399999</v>
      </c>
      <c r="N30" s="44"/>
      <c r="O30" s="45">
        <f>+ROUND(O29*(1+'Tabla de reajustes'!$D$8),2)</f>
        <v>124.43</v>
      </c>
      <c r="P30" s="44"/>
      <c r="Q30" s="44"/>
      <c r="R30" s="44"/>
      <c r="S30" s="44">
        <f>IF(R29&gt;H29-W30-Y29,H29-W30-Y29,R29)</f>
        <v>1474266.2340911867</v>
      </c>
      <c r="T30" s="44">
        <f>+S30+T27</f>
        <v>7716337.308819416</v>
      </c>
      <c r="U30" s="44"/>
      <c r="V30" s="44"/>
      <c r="W30" s="44"/>
      <c r="X30" s="44">
        <f>+W30+X27</f>
        <v>0</v>
      </c>
      <c r="Y30" s="44"/>
      <c r="Z30" s="44">
        <f>+S30+W30+Y29</f>
        <v>1748098.6796105632</v>
      </c>
      <c r="AA30" s="44"/>
    </row>
    <row r="31" spans="1:27" x14ac:dyDescent="0.2">
      <c r="A31" s="131"/>
      <c r="B31" s="131"/>
      <c r="C31" s="143"/>
      <c r="D31" s="6">
        <f t="shared" si="1"/>
        <v>20</v>
      </c>
      <c r="E31" s="41">
        <v>45689</v>
      </c>
      <c r="F31" s="150"/>
      <c r="G31" s="42"/>
      <c r="H31" s="42"/>
      <c r="I31" s="42"/>
      <c r="J31" s="42"/>
      <c r="K31" s="134"/>
      <c r="L31" s="43">
        <v>4.7500000000000001E-2</v>
      </c>
      <c r="M31" s="44">
        <f t="shared" si="0"/>
        <v>1241173.2763200002</v>
      </c>
      <c r="N31" s="44"/>
      <c r="O31" s="45">
        <f>+ROUND(O30*(1+'Tabla de reajustes'!$D$8),2)</f>
        <v>124.74</v>
      </c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</row>
    <row r="32" spans="1:27" x14ac:dyDescent="0.2">
      <c r="A32" s="131"/>
      <c r="B32" s="131"/>
      <c r="C32" s="143"/>
      <c r="D32" s="6">
        <f t="shared" si="1"/>
        <v>21</v>
      </c>
      <c r="E32" s="41">
        <v>45717</v>
      </c>
      <c r="F32" s="150"/>
      <c r="G32" s="42">
        <f>+F30/4</f>
        <v>1926250</v>
      </c>
      <c r="H32" s="42">
        <f t="shared" ref="H32" si="18">+G32-I32-J32</f>
        <v>1752508.3399436744</v>
      </c>
      <c r="I32" s="42">
        <v>170861.86005632565</v>
      </c>
      <c r="J32" s="42">
        <f>+J29</f>
        <v>2879.8</v>
      </c>
      <c r="K32" s="134"/>
      <c r="L32" s="43">
        <v>4.4999999999999998E-2</v>
      </c>
      <c r="M32" s="44">
        <f t="shared" si="0"/>
        <v>1175848.3670399999</v>
      </c>
      <c r="N32" s="44">
        <f t="shared" ref="N32" si="19">SUM(M30:M32)</f>
        <v>3592870.0104</v>
      </c>
      <c r="O32" s="45">
        <f>+ROUND(O31*(1+'Tabla de reajustes'!$D$8),2)</f>
        <v>125.05</v>
      </c>
      <c r="P32" s="42">
        <f>+ROUND((N32)*(O32-$P$4)/$P$4,2)</f>
        <v>221248.47</v>
      </c>
      <c r="Q32" s="44">
        <f>Q29+N32</f>
        <v>15116184.007392</v>
      </c>
      <c r="R32" s="44">
        <f>+Q32-T30</f>
        <v>7399846.6985725844</v>
      </c>
      <c r="S32" s="44"/>
      <c r="T32" s="44"/>
      <c r="U32" s="44">
        <f>+U29+P32</f>
        <v>677929.56</v>
      </c>
      <c r="V32" s="44">
        <f>+U32-X30</f>
        <v>677929.56</v>
      </c>
      <c r="W32" s="44"/>
      <c r="X32" s="44"/>
      <c r="Y32" s="44">
        <f t="shared" ref="Y32" si="20">+(R32)*$Y$6/4</f>
        <v>383682.05132098857</v>
      </c>
      <c r="Z32" s="44"/>
      <c r="AA32" s="44"/>
    </row>
    <row r="33" spans="1:27" x14ac:dyDescent="0.2">
      <c r="A33" s="131"/>
      <c r="B33" s="131"/>
      <c r="C33" s="143">
        <f t="shared" ref="C33" si="21">1+C30</f>
        <v>2</v>
      </c>
      <c r="D33" s="6">
        <f t="shared" si="1"/>
        <v>22</v>
      </c>
      <c r="E33" s="41">
        <v>45748</v>
      </c>
      <c r="F33" s="150"/>
      <c r="G33" s="42"/>
      <c r="H33" s="42"/>
      <c r="I33" s="42"/>
      <c r="J33" s="42"/>
      <c r="K33" s="134"/>
      <c r="L33" s="43">
        <v>4.2500000000000003E-2</v>
      </c>
      <c r="M33" s="44">
        <f t="shared" si="0"/>
        <v>1110523.4577600001</v>
      </c>
      <c r="N33" s="44"/>
      <c r="O33" s="45">
        <f>+ROUND(O32*(1+'Tabla de reajustes'!$D$8),2)</f>
        <v>125.36</v>
      </c>
      <c r="P33" s="44"/>
      <c r="Q33" s="44"/>
      <c r="R33" s="44"/>
      <c r="S33" s="44">
        <f>IF(R32&gt;H32-W33-Y32,H32-W33-Y32,R32)</f>
        <v>1368826.2886226857</v>
      </c>
      <c r="T33" s="44">
        <f>+S33+T30</f>
        <v>9085163.5974421017</v>
      </c>
      <c r="U33" s="44"/>
      <c r="V33" s="44"/>
      <c r="W33" s="44"/>
      <c r="X33" s="44">
        <f>+W33+X30</f>
        <v>0</v>
      </c>
      <c r="Y33" s="44"/>
      <c r="Z33" s="44">
        <f>+S33+W33+Y32</f>
        <v>1752508.3399436744</v>
      </c>
      <c r="AA33" s="44"/>
    </row>
    <row r="34" spans="1:27" x14ac:dyDescent="0.2">
      <c r="A34" s="131"/>
      <c r="B34" s="131"/>
      <c r="C34" s="143"/>
      <c r="D34" s="6">
        <f t="shared" si="1"/>
        <v>23</v>
      </c>
      <c r="E34" s="41">
        <v>45778</v>
      </c>
      <c r="F34" s="150"/>
      <c r="G34" s="42"/>
      <c r="H34" s="42"/>
      <c r="I34" s="42"/>
      <c r="J34" s="42"/>
      <c r="K34" s="134"/>
      <c r="L34" s="43">
        <v>0.04</v>
      </c>
      <c r="M34" s="44">
        <f t="shared" si="0"/>
        <v>1045198.5484800001</v>
      </c>
      <c r="N34" s="44"/>
      <c r="O34" s="45">
        <f>+ROUND(O33*(1+'Tabla de reajustes'!$D$8),2)</f>
        <v>125.67</v>
      </c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</row>
    <row r="35" spans="1:27" x14ac:dyDescent="0.2">
      <c r="A35" s="131"/>
      <c r="B35" s="131"/>
      <c r="C35" s="143"/>
      <c r="D35" s="6">
        <f t="shared" si="1"/>
        <v>24</v>
      </c>
      <c r="E35" s="41">
        <v>45809</v>
      </c>
      <c r="F35" s="150"/>
      <c r="G35" s="42">
        <f>+G32</f>
        <v>1926250</v>
      </c>
      <c r="H35" s="42">
        <f t="shared" ref="H35" si="22">+G35-I35-J35</f>
        <v>1752220.3599436744</v>
      </c>
      <c r="I35" s="42">
        <v>170861.86005632565</v>
      </c>
      <c r="J35" s="42">
        <f>+J26*1.1</f>
        <v>3167.7800000000007</v>
      </c>
      <c r="K35" s="134"/>
      <c r="L35" s="43">
        <v>0.04</v>
      </c>
      <c r="M35" s="44">
        <f t="shared" si="0"/>
        <v>1045198.5484800001</v>
      </c>
      <c r="N35" s="44">
        <f t="shared" ref="N35" si="23">SUM(M33:M35)</f>
        <v>3200920.5547200004</v>
      </c>
      <c r="O35" s="45">
        <f>+ROUND(O34*(1+'Tabla de reajustes'!$D$8),2)</f>
        <v>125.98</v>
      </c>
      <c r="P35" s="42">
        <f>+ROUND((N35)*(O35-$P$4)/$P$4,2)</f>
        <v>222383.53</v>
      </c>
      <c r="Q35" s="44">
        <f>Q32+N35</f>
        <v>18317104.562112</v>
      </c>
      <c r="R35" s="44">
        <f>+Q35-T33</f>
        <v>9231940.9646698982</v>
      </c>
      <c r="S35" s="44"/>
      <c r="T35" s="44"/>
      <c r="U35" s="44">
        <f>+U32+P35</f>
        <v>900313.09000000008</v>
      </c>
      <c r="V35" s="44">
        <f>+U35-X33</f>
        <v>900313.09000000008</v>
      </c>
      <c r="W35" s="44"/>
      <c r="X35" s="44"/>
      <c r="Y35" s="44">
        <f t="shared" ref="Y35" si="24">+(R35)*$Y$6/4</f>
        <v>478676.13901813427</v>
      </c>
      <c r="Z35" s="44"/>
      <c r="AA35" s="44">
        <v>0.5</v>
      </c>
    </row>
    <row r="36" spans="1:27" x14ac:dyDescent="0.2">
      <c r="A36" s="131"/>
      <c r="B36" s="131"/>
      <c r="C36" s="143">
        <f t="shared" ref="C36" si="25">1+C33</f>
        <v>3</v>
      </c>
      <c r="D36" s="6">
        <f t="shared" si="1"/>
        <v>25</v>
      </c>
      <c r="E36" s="41">
        <v>45839</v>
      </c>
      <c r="F36" s="150"/>
      <c r="G36" s="42"/>
      <c r="H36" s="42"/>
      <c r="I36" s="42"/>
      <c r="J36" s="42"/>
      <c r="K36" s="134"/>
      <c r="L36" s="43">
        <v>3.7499999999999999E-2</v>
      </c>
      <c r="M36" s="44">
        <f t="shared" si="0"/>
        <v>979873.63919999998</v>
      </c>
      <c r="N36" s="44"/>
      <c r="O36" s="45">
        <f>+ROUND(O35*(1+'Tabla de reajustes'!$D$8),2)</f>
        <v>126.29</v>
      </c>
      <c r="P36" s="44"/>
      <c r="Q36" s="44"/>
      <c r="R36" s="44"/>
      <c r="S36" s="44">
        <f>IF(R35&gt;H35-W36-Y35,H35-W36-Y35,R35)</f>
        <v>823387.67592554027</v>
      </c>
      <c r="T36" s="44">
        <f>+S36+T33</f>
        <v>9908551.2733676415</v>
      </c>
      <c r="U36" s="44"/>
      <c r="V36" s="44"/>
      <c r="W36" s="44">
        <f>+V35*AA35</f>
        <v>450156.54500000004</v>
      </c>
      <c r="X36" s="44">
        <f>+W36+X33</f>
        <v>450156.54500000004</v>
      </c>
      <c r="Y36" s="44"/>
      <c r="Z36" s="44">
        <f>+S36+W36+Y35</f>
        <v>1752220.3599436744</v>
      </c>
      <c r="AA36" s="44"/>
    </row>
    <row r="37" spans="1:27" x14ac:dyDescent="0.2">
      <c r="A37" s="131"/>
      <c r="B37" s="131"/>
      <c r="C37" s="143"/>
      <c r="D37" s="6">
        <f t="shared" si="1"/>
        <v>26</v>
      </c>
      <c r="E37" s="41">
        <v>45870</v>
      </c>
      <c r="F37" s="150"/>
      <c r="G37" s="42"/>
      <c r="H37" s="42"/>
      <c r="I37" s="42"/>
      <c r="J37" s="42"/>
      <c r="K37" s="134"/>
      <c r="L37" s="43">
        <v>3.5000000000000003E-2</v>
      </c>
      <c r="M37" s="44">
        <f t="shared" si="0"/>
        <v>914548.72992000019</v>
      </c>
      <c r="N37" s="44"/>
      <c r="O37" s="45">
        <f>+ROUND(O36*(1+'Tabla de reajustes'!$D$8),2)</f>
        <v>126.6</v>
      </c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</row>
    <row r="38" spans="1:27" x14ac:dyDescent="0.2">
      <c r="A38" s="131"/>
      <c r="B38" s="131"/>
      <c r="C38" s="143"/>
      <c r="D38" s="6">
        <f t="shared" si="1"/>
        <v>27</v>
      </c>
      <c r="E38" s="41">
        <v>45901</v>
      </c>
      <c r="F38" s="150"/>
      <c r="G38" s="42">
        <f>+G35</f>
        <v>1926250</v>
      </c>
      <c r="H38" s="42">
        <f t="shared" ref="H38" si="26">+G38-I38-J38</f>
        <v>1752220.3599436744</v>
      </c>
      <c r="I38" s="42">
        <v>170861.86005632565</v>
      </c>
      <c r="J38" s="42">
        <f>+J35</f>
        <v>3167.7800000000007</v>
      </c>
      <c r="K38" s="134"/>
      <c r="L38" s="43">
        <v>3.2500000000000001E-2</v>
      </c>
      <c r="M38" s="44">
        <f t="shared" si="0"/>
        <v>849223.82064000005</v>
      </c>
      <c r="N38" s="44">
        <f t="shared" ref="N38" si="27">SUM(M36:M38)</f>
        <v>2743646.1897600004</v>
      </c>
      <c r="O38" s="45">
        <f>+ROUND(O37*(1+'Tabla de reajustes'!$D$8),2)</f>
        <v>126.92</v>
      </c>
      <c r="P38" s="42">
        <f>+ROUND((N38)*(O38-$P$4)/$P$4,2)</f>
        <v>212508.44</v>
      </c>
      <c r="Q38" s="44">
        <f>Q35+N38</f>
        <v>21060750.751871999</v>
      </c>
      <c r="R38" s="44">
        <f>+Q38-T36</f>
        <v>11152199.478504358</v>
      </c>
      <c r="S38" s="44"/>
      <c r="T38" s="44"/>
      <c r="U38" s="44">
        <f>+U35+P38</f>
        <v>1112821.53</v>
      </c>
      <c r="V38" s="44">
        <f>+U38-X36</f>
        <v>662664.98499999999</v>
      </c>
      <c r="W38" s="44"/>
      <c r="X38" s="44"/>
      <c r="Y38" s="44">
        <f t="shared" ref="Y38" si="28">+(R38)*$Y$6/4</f>
        <v>578241.54296045098</v>
      </c>
      <c r="Z38" s="44"/>
      <c r="AA38" s="44"/>
    </row>
    <row r="39" spans="1:27" x14ac:dyDescent="0.2">
      <c r="A39" s="131"/>
      <c r="B39" s="131"/>
      <c r="C39" s="143">
        <f t="shared" ref="C39" si="29">1+C36</f>
        <v>4</v>
      </c>
      <c r="D39" s="6">
        <f t="shared" si="1"/>
        <v>28</v>
      </c>
      <c r="E39" s="41">
        <v>45931</v>
      </c>
      <c r="F39" s="150"/>
      <c r="G39" s="42"/>
      <c r="H39" s="42"/>
      <c r="I39" s="42"/>
      <c r="J39" s="42"/>
      <c r="K39" s="134"/>
      <c r="L39" s="43">
        <v>0.03</v>
      </c>
      <c r="M39" s="44">
        <f t="shared" si="0"/>
        <v>783898.91136000003</v>
      </c>
      <c r="N39" s="44"/>
      <c r="O39" s="45">
        <f>+ROUND(O38*(1+'Tabla de reajustes'!$D$8),2)</f>
        <v>127.24</v>
      </c>
      <c r="P39" s="44"/>
      <c r="Q39" s="44"/>
      <c r="R39" s="44"/>
      <c r="S39" s="44">
        <f>IF(R38&gt;H38-W39-Y38,H38-W39-Y38,R38)</f>
        <v>842646.32448322349</v>
      </c>
      <c r="T39" s="44">
        <f>+S39+T36</f>
        <v>10751197.597850865</v>
      </c>
      <c r="U39" s="44"/>
      <c r="V39" s="44"/>
      <c r="W39" s="44">
        <f>+V38*AA35</f>
        <v>331332.49249999999</v>
      </c>
      <c r="X39" s="44">
        <f>+W39+X36</f>
        <v>781489.03750000009</v>
      </c>
      <c r="Y39" s="44"/>
      <c r="Z39" s="44">
        <f>+S39+W39+Y38</f>
        <v>1752220.3599436744</v>
      </c>
      <c r="AA39" s="44"/>
    </row>
    <row r="40" spans="1:27" x14ac:dyDescent="0.2">
      <c r="A40" s="131"/>
      <c r="B40" s="131"/>
      <c r="C40" s="143"/>
      <c r="D40" s="6">
        <f t="shared" si="1"/>
        <v>29</v>
      </c>
      <c r="E40" s="41">
        <v>45962</v>
      </c>
      <c r="F40" s="150"/>
      <c r="G40" s="42"/>
      <c r="H40" s="42"/>
      <c r="I40" s="42"/>
      <c r="J40" s="42"/>
      <c r="K40" s="134"/>
      <c r="L40" s="43">
        <v>0.03</v>
      </c>
      <c r="M40" s="44">
        <f t="shared" si="0"/>
        <v>783898.91136000003</v>
      </c>
      <c r="N40" s="44"/>
      <c r="O40" s="45">
        <f>+ROUND(O39*(1+'Tabla de reajustes'!$D$8),2)</f>
        <v>127.56</v>
      </c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</row>
    <row r="41" spans="1:27" x14ac:dyDescent="0.2">
      <c r="A41" s="132"/>
      <c r="B41" s="132"/>
      <c r="C41" s="143"/>
      <c r="D41" s="6">
        <f t="shared" si="1"/>
        <v>30</v>
      </c>
      <c r="E41" s="41">
        <v>45992</v>
      </c>
      <c r="F41" s="151"/>
      <c r="G41" s="42">
        <f>+G38</f>
        <v>1926250</v>
      </c>
      <c r="H41" s="42">
        <f t="shared" ref="H41" si="30">+G41-I41-J41</f>
        <v>1752220.3599436744</v>
      </c>
      <c r="I41" s="42">
        <v>170861.86005632565</v>
      </c>
      <c r="J41" s="42">
        <f t="shared" ref="J41" si="31">+J38</f>
        <v>3167.7800000000007</v>
      </c>
      <c r="K41" s="134"/>
      <c r="L41" s="43">
        <v>2.9499999999999998E-2</v>
      </c>
      <c r="M41" s="44">
        <f t="shared" si="0"/>
        <v>770833.929504</v>
      </c>
      <c r="N41" s="44">
        <f t="shared" ref="N41" si="32">SUM(M39:M41)</f>
        <v>2338631.7522240002</v>
      </c>
      <c r="O41" s="45">
        <f>+ROUND(O40*(1+'Tabla de reajustes'!$D$8),2)</f>
        <v>127.88</v>
      </c>
      <c r="P41" s="42">
        <f>+ROUND((N41)*(O41-$P$4)/$P$4,2)</f>
        <v>200197.23</v>
      </c>
      <c r="Q41" s="44">
        <f>Q38+N41</f>
        <v>23399382.504096001</v>
      </c>
      <c r="R41" s="44">
        <f>+Q41-T39</f>
        <v>12648184.906245137</v>
      </c>
      <c r="S41" s="44"/>
      <c r="T41" s="44"/>
      <c r="U41" s="44">
        <f>+U38+P41</f>
        <v>1313018.76</v>
      </c>
      <c r="V41" s="44">
        <f>+U41-X39</f>
        <v>531529.72249999992</v>
      </c>
      <c r="W41" s="44"/>
      <c r="X41" s="44"/>
      <c r="Y41" s="44">
        <f t="shared" ref="Y41" si="33">+(R41)*$Y$6/4</f>
        <v>655808.3873888104</v>
      </c>
      <c r="Z41" s="44"/>
      <c r="AA41" s="44"/>
    </row>
    <row r="42" spans="1:27" x14ac:dyDescent="0.2">
      <c r="A42" s="130">
        <f>1+A30</f>
        <v>4</v>
      </c>
      <c r="B42" s="130">
        <f>1+B30</f>
        <v>2026</v>
      </c>
      <c r="C42" s="143">
        <v>1</v>
      </c>
      <c r="D42" s="6">
        <f t="shared" si="1"/>
        <v>31</v>
      </c>
      <c r="E42" s="41">
        <v>46023</v>
      </c>
      <c r="F42" s="149">
        <f>8180000*F6+2000000</f>
        <v>8135000</v>
      </c>
      <c r="G42" s="42"/>
      <c r="H42" s="42"/>
      <c r="I42" s="42"/>
      <c r="J42" s="42"/>
      <c r="K42" s="134"/>
      <c r="L42" s="43">
        <v>2.7E-2</v>
      </c>
      <c r="M42" s="44">
        <f t="shared" si="0"/>
        <v>705509.02022399998</v>
      </c>
      <c r="N42" s="44"/>
      <c r="O42" s="45">
        <f>+ROUND(O41*(1+'Tabla de reajustes'!$D$8),2)</f>
        <v>128.19999999999999</v>
      </c>
      <c r="P42" s="44"/>
      <c r="Q42" s="44"/>
      <c r="R42" s="44"/>
      <c r="S42" s="44">
        <f>IF(R41&gt;H41-W42-Y41,H41-W42-Y41,R41)</f>
        <v>830647.11130486394</v>
      </c>
      <c r="T42" s="44">
        <f>+S42+T39</f>
        <v>11581844.709155729</v>
      </c>
      <c r="U42" s="44"/>
      <c r="V42" s="44"/>
      <c r="W42" s="44">
        <f>+V41*AA35</f>
        <v>265764.86124999996</v>
      </c>
      <c r="X42" s="44">
        <f>+W42+X39</f>
        <v>1047253.8987500001</v>
      </c>
      <c r="Y42" s="44"/>
      <c r="Z42" s="44">
        <f>+S42+W42+Y41</f>
        <v>1752220.3599436744</v>
      </c>
      <c r="AA42" s="44"/>
    </row>
    <row r="43" spans="1:27" x14ac:dyDescent="0.2">
      <c r="A43" s="131"/>
      <c r="B43" s="131"/>
      <c r="C43" s="143"/>
      <c r="D43" s="6">
        <f t="shared" si="1"/>
        <v>32</v>
      </c>
      <c r="E43" s="41">
        <v>46054</v>
      </c>
      <c r="F43" s="150"/>
      <c r="G43" s="42"/>
      <c r="H43" s="42"/>
      <c r="I43" s="42"/>
      <c r="J43" s="42"/>
      <c r="K43" s="134"/>
      <c r="L43" s="43">
        <v>2.2499999999999999E-2</v>
      </c>
      <c r="M43" s="44">
        <f t="shared" si="0"/>
        <v>587924.18351999996</v>
      </c>
      <c r="N43" s="44"/>
      <c r="O43" s="45">
        <f>+ROUND(O42*(1+'Tabla de reajustes'!$D$8),2)</f>
        <v>128.52000000000001</v>
      </c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</row>
    <row r="44" spans="1:27" x14ac:dyDescent="0.2">
      <c r="A44" s="131"/>
      <c r="B44" s="131"/>
      <c r="C44" s="143"/>
      <c r="D44" s="6">
        <f t="shared" si="1"/>
        <v>33</v>
      </c>
      <c r="E44" s="41">
        <v>46082</v>
      </c>
      <c r="F44" s="150"/>
      <c r="G44" s="42">
        <f>+F42/4</f>
        <v>2033750</v>
      </c>
      <c r="H44" s="42">
        <f t="shared" ref="H44" si="34">+G44-I44-J44</f>
        <v>1856007.7249749689</v>
      </c>
      <c r="I44" s="42">
        <v>174574.49502503098</v>
      </c>
      <c r="J44" s="42">
        <f t="shared" ref="J44" si="35">+J41</f>
        <v>3167.7800000000007</v>
      </c>
      <c r="K44" s="134"/>
      <c r="L44" s="43">
        <v>1.7500000000000002E-2</v>
      </c>
      <c r="M44" s="44">
        <f t="shared" si="0"/>
        <v>457274.36496000009</v>
      </c>
      <c r="N44" s="44">
        <f t="shared" ref="N44" si="36">SUM(M42:M44)</f>
        <v>1750707.568704</v>
      </c>
      <c r="O44" s="45">
        <f>+ROUND(O43*(1+'Tabla de reajustes'!$D$8),2)</f>
        <v>128.84</v>
      </c>
      <c r="P44" s="42">
        <f>+ROUND((N44)*(O44-$P$4)/$P$4,2)</f>
        <v>164136.01999999999</v>
      </c>
      <c r="Q44" s="44">
        <f>Q41+N44</f>
        <v>25150090.072800003</v>
      </c>
      <c r="R44" s="44">
        <f>+Q44-T42</f>
        <v>13568245.363644274</v>
      </c>
      <c r="S44" s="44"/>
      <c r="T44" s="44"/>
      <c r="U44" s="44">
        <f>+U41+P44</f>
        <v>1477154.78</v>
      </c>
      <c r="V44" s="44">
        <f>+U44-X42</f>
        <v>429900.88124999998</v>
      </c>
      <c r="W44" s="44"/>
      <c r="X44" s="44"/>
      <c r="Y44" s="44">
        <f t="shared" ref="Y44" si="37">+(R44)*$Y$6/4</f>
        <v>703513.52210495574</v>
      </c>
      <c r="Z44" s="44"/>
      <c r="AA44" s="44"/>
    </row>
    <row r="45" spans="1:27" x14ac:dyDescent="0.2">
      <c r="A45" s="131"/>
      <c r="B45" s="131"/>
      <c r="C45" s="143">
        <f t="shared" ref="C45" si="38">1+C42</f>
        <v>2</v>
      </c>
      <c r="D45" s="6">
        <f t="shared" si="1"/>
        <v>34</v>
      </c>
      <c r="E45" s="41">
        <v>46113</v>
      </c>
      <c r="F45" s="150"/>
      <c r="G45" s="42"/>
      <c r="H45" s="42"/>
      <c r="I45" s="42"/>
      <c r="J45" s="42"/>
      <c r="K45" s="134"/>
      <c r="L45" s="43">
        <v>1.4999999999999999E-2</v>
      </c>
      <c r="M45" s="44">
        <f t="shared" si="0"/>
        <v>391949.45568000001</v>
      </c>
      <c r="N45" s="44"/>
      <c r="O45" s="45">
        <f>+ROUND(O44*(1+'Tabla de reajustes'!$D$8),2)</f>
        <v>129.16</v>
      </c>
      <c r="P45" s="44"/>
      <c r="Q45" s="44"/>
      <c r="R45" s="44"/>
      <c r="S45" s="44">
        <f>IF(R44&gt;H44-W45-Y44,H44-W45-Y44,R44)</f>
        <v>937543.76224501315</v>
      </c>
      <c r="T45" s="44">
        <f>+S45+T42</f>
        <v>12519388.471400741</v>
      </c>
      <c r="U45" s="44"/>
      <c r="V45" s="44"/>
      <c r="W45" s="44">
        <f>+V44*AA35</f>
        <v>214950.44062499999</v>
      </c>
      <c r="X45" s="44">
        <f>+W45+X42</f>
        <v>1262204.339375</v>
      </c>
      <c r="Y45" s="44"/>
      <c r="Z45" s="44">
        <f>+S45+W45+Y44</f>
        <v>1856007.7249749689</v>
      </c>
      <c r="AA45" s="44"/>
    </row>
    <row r="46" spans="1:27" x14ac:dyDescent="0.2">
      <c r="A46" s="131"/>
      <c r="B46" s="131"/>
      <c r="C46" s="143"/>
      <c r="D46" s="6">
        <f t="shared" si="1"/>
        <v>35</v>
      </c>
      <c r="E46" s="41">
        <v>46143</v>
      </c>
      <c r="F46" s="150"/>
      <c r="G46" s="42"/>
      <c r="H46" s="42"/>
      <c r="I46" s="42"/>
      <c r="J46" s="42"/>
      <c r="K46" s="134"/>
      <c r="L46" s="43">
        <v>1.2500000000000001E-2</v>
      </c>
      <c r="M46" s="44">
        <f t="shared" si="0"/>
        <v>326624.54640000005</v>
      </c>
      <c r="N46" s="44"/>
      <c r="O46" s="45">
        <f>+ROUND(O45*(1+'Tabla de reajustes'!$D$8),2)</f>
        <v>129.47999999999999</v>
      </c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</row>
    <row r="47" spans="1:27" x14ac:dyDescent="0.2">
      <c r="A47" s="131"/>
      <c r="B47" s="131"/>
      <c r="C47" s="143"/>
      <c r="D47" s="6">
        <f t="shared" si="1"/>
        <v>36</v>
      </c>
      <c r="E47" s="41">
        <v>46174</v>
      </c>
      <c r="F47" s="150"/>
      <c r="G47" s="42">
        <f>+G44</f>
        <v>2033750</v>
      </c>
      <c r="H47" s="42">
        <f t="shared" ref="H47" si="39">+G47-I47-J47</f>
        <v>1855690.946974969</v>
      </c>
      <c r="I47" s="42">
        <v>174574.49502503098</v>
      </c>
      <c r="J47" s="42">
        <f>+J38*1.1</f>
        <v>3484.5580000000009</v>
      </c>
      <c r="K47" s="134"/>
      <c r="L47" s="43">
        <v>0.01</v>
      </c>
      <c r="M47" s="44">
        <f t="shared" si="0"/>
        <v>261299.63712000003</v>
      </c>
      <c r="N47" s="44">
        <f>SUM(M45:M47)</f>
        <v>979873.63920000009</v>
      </c>
      <c r="O47" s="45">
        <f>+ROUND(O46*(1+'Tabla de reajustes'!$D$8),2)</f>
        <v>129.80000000000001</v>
      </c>
      <c r="P47" s="42">
        <f>+ROUND((N47)*(O47-$P$4)/$P$4,2)</f>
        <v>99852.82</v>
      </c>
      <c r="Q47" s="44">
        <f>Q44+N47</f>
        <v>26129963.712000005</v>
      </c>
      <c r="R47" s="44">
        <f>+Q47-T45</f>
        <v>13610575.240599263</v>
      </c>
      <c r="S47" s="44"/>
      <c r="T47" s="44"/>
      <c r="U47" s="44">
        <f>+U44+P47</f>
        <v>1577007.6</v>
      </c>
      <c r="V47" s="44">
        <f>+U47-X45</f>
        <v>314803.26062500011</v>
      </c>
      <c r="W47" s="44"/>
      <c r="X47" s="44"/>
      <c r="Y47" s="44">
        <f t="shared" ref="Y47" si="40">+(R47)*$Y$6/4</f>
        <v>705708.32622507191</v>
      </c>
      <c r="Z47" s="44"/>
      <c r="AA47" s="44">
        <v>0.75</v>
      </c>
    </row>
    <row r="48" spans="1:27" x14ac:dyDescent="0.2">
      <c r="A48" s="131"/>
      <c r="B48" s="131"/>
      <c r="C48" s="143">
        <f t="shared" ref="C48" si="41">1+C45</f>
        <v>3</v>
      </c>
      <c r="D48" s="6">
        <f t="shared" si="1"/>
        <v>37</v>
      </c>
      <c r="E48" s="41">
        <v>46204</v>
      </c>
      <c r="F48" s="150"/>
      <c r="G48" s="42"/>
      <c r="H48" s="42"/>
      <c r="I48" s="42"/>
      <c r="J48" s="42"/>
      <c r="K48" s="134"/>
      <c r="L48" s="43"/>
      <c r="M48" s="44">
        <f t="shared" ref="M48:M71" si="42">+$I$92/24</f>
        <v>46843.097254663189</v>
      </c>
      <c r="N48" s="44"/>
      <c r="O48" s="45">
        <f>+ROUND(O47*(1+'Tabla de reajustes'!$D$8),2)</f>
        <v>130.12</v>
      </c>
      <c r="P48" s="44"/>
      <c r="Q48" s="44"/>
      <c r="R48" s="44"/>
      <c r="S48" s="44">
        <f>IF(R47&gt;H47-W48-Y47,H47-W48-Y47,R47)</f>
        <v>913880.17528114701</v>
      </c>
      <c r="T48" s="44">
        <f>+S48+T45</f>
        <v>13433268.646681888</v>
      </c>
      <c r="U48" s="44"/>
      <c r="V48" s="44"/>
      <c r="W48" s="44">
        <f>+V47*AA47</f>
        <v>236102.44546875008</v>
      </c>
      <c r="X48" s="44">
        <f>+W48+X45</f>
        <v>1498306.7848437501</v>
      </c>
      <c r="Y48" s="44"/>
      <c r="Z48" s="44">
        <f>+S48+W48+Y47</f>
        <v>1855690.946974969</v>
      </c>
      <c r="AA48" s="44"/>
    </row>
    <row r="49" spans="1:27" x14ac:dyDescent="0.2">
      <c r="A49" s="131"/>
      <c r="B49" s="131"/>
      <c r="C49" s="143"/>
      <c r="D49" s="6">
        <f t="shared" si="1"/>
        <v>38</v>
      </c>
      <c r="E49" s="41">
        <v>46235</v>
      </c>
      <c r="F49" s="150"/>
      <c r="G49" s="42"/>
      <c r="H49" s="42"/>
      <c r="I49" s="42"/>
      <c r="J49" s="42"/>
      <c r="K49" s="134"/>
      <c r="L49" s="43"/>
      <c r="M49" s="44">
        <f t="shared" si="42"/>
        <v>46843.097254663189</v>
      </c>
      <c r="N49" s="44"/>
      <c r="O49" s="45">
        <f>+ROUND(O48*(1+'Tabla de reajustes'!$D$8),2)</f>
        <v>130.44</v>
      </c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</row>
    <row r="50" spans="1:27" x14ac:dyDescent="0.2">
      <c r="A50" s="131"/>
      <c r="B50" s="131"/>
      <c r="C50" s="143"/>
      <c r="D50" s="6">
        <f t="shared" si="1"/>
        <v>39</v>
      </c>
      <c r="E50" s="41">
        <v>46266</v>
      </c>
      <c r="F50" s="150"/>
      <c r="G50" s="42">
        <f>+G47</f>
        <v>2033750</v>
      </c>
      <c r="H50" s="42">
        <f t="shared" ref="H50" si="43">+G50-I50-J50</f>
        <v>1942649.6118176274</v>
      </c>
      <c r="I50" s="42">
        <v>87615.830182372549</v>
      </c>
      <c r="J50" s="42">
        <f t="shared" ref="J50" si="44">+J47</f>
        <v>3484.5580000000009</v>
      </c>
      <c r="K50" s="134"/>
      <c r="L50" s="43"/>
      <c r="M50" s="44">
        <f t="shared" si="42"/>
        <v>46843.097254663189</v>
      </c>
      <c r="N50" s="44">
        <f t="shared" ref="N50" si="45">SUM(M48:M50)</f>
        <v>140529.29176398957</v>
      </c>
      <c r="O50" s="45">
        <f>+ROUND(O49*(1+'Tabla de reajustes'!$D$8),2)</f>
        <v>130.77000000000001</v>
      </c>
      <c r="P50" s="42">
        <f t="shared" ref="P50" si="46">+ROUND((N50)*(O50-$P$4)/$P$4,2)</f>
        <v>15477.66</v>
      </c>
      <c r="Q50" s="44">
        <f>Q47+N50</f>
        <v>26270493.003763996</v>
      </c>
      <c r="R50" s="44">
        <f>+Q50-T48</f>
        <v>12837224.357082108</v>
      </c>
      <c r="S50" s="44"/>
      <c r="T50" s="44"/>
      <c r="U50" s="44">
        <f>+U47+P50</f>
        <v>1592485.26</v>
      </c>
      <c r="V50" s="44">
        <f>+U50-X48</f>
        <v>94178.475156249944</v>
      </c>
      <c r="W50" s="44"/>
      <c r="X50" s="44"/>
      <c r="Y50" s="44">
        <f t="shared" ref="Y50" si="47">+(R50)*$Y$6/4</f>
        <v>665610.08291470737</v>
      </c>
      <c r="Z50" s="44"/>
      <c r="AA50" s="44"/>
    </row>
    <row r="51" spans="1:27" x14ac:dyDescent="0.2">
      <c r="A51" s="131"/>
      <c r="B51" s="131"/>
      <c r="C51" s="143">
        <f t="shared" ref="C51" si="48">1+C48</f>
        <v>4</v>
      </c>
      <c r="D51" s="6">
        <f t="shared" si="1"/>
        <v>40</v>
      </c>
      <c r="E51" s="41">
        <v>46296</v>
      </c>
      <c r="F51" s="150"/>
      <c r="G51" s="42"/>
      <c r="H51" s="42"/>
      <c r="I51" s="42"/>
      <c r="J51" s="42"/>
      <c r="K51" s="134"/>
      <c r="L51" s="43"/>
      <c r="M51" s="44">
        <f t="shared" si="42"/>
        <v>46843.097254663189</v>
      </c>
      <c r="N51" s="44"/>
      <c r="O51" s="45">
        <f>+ROUND(O50*(1+'Tabla de reajustes'!$D$8),2)</f>
        <v>131.1</v>
      </c>
      <c r="P51" s="44"/>
      <c r="Q51" s="44"/>
      <c r="R51" s="44"/>
      <c r="S51" s="44">
        <f>IF(R50&gt;H50-W51-Y50,H50-W51-Y50,R50)</f>
        <v>1206405.6725357329</v>
      </c>
      <c r="T51" s="44">
        <f>+S51+T48</f>
        <v>14639674.31921762</v>
      </c>
      <c r="U51" s="44"/>
      <c r="V51" s="44"/>
      <c r="W51" s="44">
        <f>+V50*AA47</f>
        <v>70633.856367187458</v>
      </c>
      <c r="X51" s="44">
        <f>+W51+X48</f>
        <v>1568940.6412109374</v>
      </c>
      <c r="Y51" s="44"/>
      <c r="Z51" s="44">
        <f>+S51+W51+Y50</f>
        <v>1942649.6118176277</v>
      </c>
      <c r="AA51" s="44"/>
    </row>
    <row r="52" spans="1:27" x14ac:dyDescent="0.2">
      <c r="A52" s="131"/>
      <c r="B52" s="131"/>
      <c r="C52" s="143"/>
      <c r="D52" s="6">
        <f t="shared" si="1"/>
        <v>41</v>
      </c>
      <c r="E52" s="41">
        <v>46327</v>
      </c>
      <c r="F52" s="150"/>
      <c r="G52" s="42"/>
      <c r="H52" s="42"/>
      <c r="I52" s="42"/>
      <c r="J52" s="42"/>
      <c r="K52" s="134"/>
      <c r="L52" s="43"/>
      <c r="M52" s="44">
        <f t="shared" si="42"/>
        <v>46843.097254663189</v>
      </c>
      <c r="N52" s="44"/>
      <c r="O52" s="45">
        <f>+ROUND(O51*(1+'Tabla de reajustes'!$D$8),2)</f>
        <v>131.43</v>
      </c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</row>
    <row r="53" spans="1:27" x14ac:dyDescent="0.2">
      <c r="A53" s="132"/>
      <c r="B53" s="132"/>
      <c r="C53" s="143"/>
      <c r="D53" s="6">
        <f t="shared" si="1"/>
        <v>42</v>
      </c>
      <c r="E53" s="41">
        <v>46357</v>
      </c>
      <c r="F53" s="151"/>
      <c r="G53" s="42">
        <f>+G50</f>
        <v>2033750</v>
      </c>
      <c r="H53" s="42">
        <f t="shared" ref="H53" si="49">+G53-I53-J53</f>
        <v>1942649.6118176274</v>
      </c>
      <c r="I53" s="42">
        <v>87615.830182372549</v>
      </c>
      <c r="J53" s="42">
        <f t="shared" ref="J53" si="50">+J50</f>
        <v>3484.5580000000009</v>
      </c>
      <c r="K53" s="134"/>
      <c r="L53" s="43"/>
      <c r="M53" s="44">
        <f t="shared" si="42"/>
        <v>46843.097254663189</v>
      </c>
      <c r="N53" s="44">
        <f t="shared" ref="N53" si="51">SUM(M51:M53)</f>
        <v>140529.29176398957</v>
      </c>
      <c r="O53" s="45">
        <f>+ROUND(O52*(1+'Tabla de reajustes'!$D$8),2)</f>
        <v>131.76</v>
      </c>
      <c r="P53" s="42">
        <f t="shared" ref="P53" si="52">+ROUND((N53)*(O53-$P$4)/$P$4,2)</f>
        <v>16658.72</v>
      </c>
      <c r="Q53" s="44">
        <f>Q50+N53</f>
        <v>26411022.295527987</v>
      </c>
      <c r="R53" s="44">
        <f>+Q53-T51</f>
        <v>11771347.976310367</v>
      </c>
      <c r="S53" s="44"/>
      <c r="T53" s="44"/>
      <c r="U53" s="44">
        <f>+U50+P53</f>
        <v>1609143.98</v>
      </c>
      <c r="V53" s="44">
        <f>+U53-X51</f>
        <v>40203.338789062575</v>
      </c>
      <c r="W53" s="44"/>
      <c r="X53" s="44"/>
      <c r="Y53" s="44">
        <f t="shared" ref="Y53" si="53">+(R53)*$Y$6/4</f>
        <v>610344.39257169259</v>
      </c>
      <c r="Z53" s="44"/>
      <c r="AA53" s="44"/>
    </row>
    <row r="54" spans="1:27" x14ac:dyDescent="0.2">
      <c r="A54" s="130">
        <f>1+A42</f>
        <v>5</v>
      </c>
      <c r="B54" s="130">
        <f>1+B42</f>
        <v>2027</v>
      </c>
      <c r="C54" s="143">
        <v>1</v>
      </c>
      <c r="D54" s="6">
        <f t="shared" si="1"/>
        <v>43</v>
      </c>
      <c r="E54" s="41">
        <v>46388</v>
      </c>
      <c r="F54" s="149">
        <f>8400000*F6+1900000</f>
        <v>8200000</v>
      </c>
      <c r="G54" s="42"/>
      <c r="H54" s="42"/>
      <c r="I54" s="42"/>
      <c r="J54" s="42"/>
      <c r="K54" s="134"/>
      <c r="L54" s="43"/>
      <c r="M54" s="44">
        <f t="shared" si="42"/>
        <v>46843.097254663189</v>
      </c>
      <c r="N54" s="44"/>
      <c r="O54" s="45">
        <f>+ROUND(O53*(1+'Tabla de reajustes'!$D$8),2)</f>
        <v>132.09</v>
      </c>
      <c r="P54" s="44"/>
      <c r="Q54" s="44"/>
      <c r="R54" s="44"/>
      <c r="S54" s="44">
        <f>IF(R53&gt;H53-W54-Y53,H53-W54-Y53,R53)</f>
        <v>1302152.7151541379</v>
      </c>
      <c r="T54" s="44">
        <f>+S54+T51</f>
        <v>15941827.034371758</v>
      </c>
      <c r="U54" s="44"/>
      <c r="V54" s="44"/>
      <c r="W54" s="44">
        <f>+V53*AA47</f>
        <v>30152.504091796931</v>
      </c>
      <c r="X54" s="44">
        <f>+W54+X51</f>
        <v>1599093.1453027343</v>
      </c>
      <c r="Y54" s="44"/>
      <c r="Z54" s="44">
        <f>+S54+W54+Y53</f>
        <v>1942649.6118176274</v>
      </c>
      <c r="AA54" s="44"/>
    </row>
    <row r="55" spans="1:27" x14ac:dyDescent="0.2">
      <c r="A55" s="131"/>
      <c r="B55" s="131"/>
      <c r="C55" s="143"/>
      <c r="D55" s="6">
        <f t="shared" si="1"/>
        <v>44</v>
      </c>
      <c r="E55" s="41">
        <v>46419</v>
      </c>
      <c r="F55" s="150"/>
      <c r="G55" s="42"/>
      <c r="H55" s="42"/>
      <c r="I55" s="42"/>
      <c r="J55" s="42"/>
      <c r="K55" s="134"/>
      <c r="L55" s="43"/>
      <c r="M55" s="44">
        <f t="shared" si="42"/>
        <v>46843.097254663189</v>
      </c>
      <c r="N55" s="44"/>
      <c r="O55" s="45">
        <f>+ROUND(O54*(1+'Tabla de reajustes'!$D$8),2)</f>
        <v>132.41999999999999</v>
      </c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</row>
    <row r="56" spans="1:27" x14ac:dyDescent="0.2">
      <c r="A56" s="131"/>
      <c r="B56" s="131"/>
      <c r="C56" s="143"/>
      <c r="D56" s="6">
        <f t="shared" si="1"/>
        <v>45</v>
      </c>
      <c r="E56" s="41">
        <v>46447</v>
      </c>
      <c r="F56" s="150"/>
      <c r="G56" s="42">
        <f>+F54/4</f>
        <v>2050000</v>
      </c>
      <c r="H56" s="42">
        <f t="shared" ref="H56" si="54">+G56-I56-J56</f>
        <v>1958899.6118176274</v>
      </c>
      <c r="I56" s="42">
        <v>87615.830182372549</v>
      </c>
      <c r="J56" s="42">
        <f t="shared" ref="J56" si="55">+J53</f>
        <v>3484.5580000000009</v>
      </c>
      <c r="K56" s="134"/>
      <c r="L56" s="43"/>
      <c r="M56" s="44">
        <f t="shared" si="42"/>
        <v>46843.097254663189</v>
      </c>
      <c r="N56" s="44">
        <f t="shared" ref="N56" si="56">SUM(M54:M56)</f>
        <v>140529.29176398957</v>
      </c>
      <c r="O56" s="45">
        <f>+ROUND(O55*(1+'Tabla de reajustes'!$D$8),2)</f>
        <v>132.75</v>
      </c>
      <c r="P56" s="42">
        <f t="shared" ref="P56" si="57">+ROUND((N56)*(O56-$P$4)/$P$4,2)</f>
        <v>17839.78</v>
      </c>
      <c r="Q56" s="44">
        <f>Q53+N56</f>
        <v>26551551.587291978</v>
      </c>
      <c r="R56" s="44">
        <f>+Q56-T54</f>
        <v>10609724.55292022</v>
      </c>
      <c r="S56" s="44"/>
      <c r="T56" s="44"/>
      <c r="U56" s="44">
        <f>+U53+P56</f>
        <v>1626983.76</v>
      </c>
      <c r="V56" s="44">
        <f>+U56-X54</f>
        <v>27890.614697265672</v>
      </c>
      <c r="W56" s="44"/>
      <c r="X56" s="44"/>
      <c r="Y56" s="44">
        <f t="shared" ref="Y56" si="58">+(R56)*$Y$6/4</f>
        <v>550114.21806891356</v>
      </c>
      <c r="Z56" s="44"/>
      <c r="AA56" s="44"/>
    </row>
    <row r="57" spans="1:27" x14ac:dyDescent="0.2">
      <c r="A57" s="131"/>
      <c r="B57" s="131"/>
      <c r="C57" s="143">
        <f t="shared" ref="C57" si="59">1+C54</f>
        <v>2</v>
      </c>
      <c r="D57" s="6">
        <f t="shared" si="1"/>
        <v>46</v>
      </c>
      <c r="E57" s="41">
        <v>46478</v>
      </c>
      <c r="F57" s="150"/>
      <c r="G57" s="42"/>
      <c r="H57" s="42"/>
      <c r="I57" s="42"/>
      <c r="J57" s="42"/>
      <c r="K57" s="134"/>
      <c r="L57" s="43"/>
      <c r="M57" s="44">
        <f t="shared" si="42"/>
        <v>46843.097254663189</v>
      </c>
      <c r="N57" s="44"/>
      <c r="O57" s="45">
        <f>+ROUND(O56*(1+'Tabla de reajustes'!$D$8),2)</f>
        <v>133.08000000000001</v>
      </c>
      <c r="P57" s="44"/>
      <c r="Q57" s="44"/>
      <c r="R57" s="44"/>
      <c r="S57" s="44">
        <f>IF(R56&gt;H56-W57-Y56,H56-W57-Y56,R56)</f>
        <v>1387867.4327257646</v>
      </c>
      <c r="T57" s="44">
        <f>+S57+T54</f>
        <v>17329694.467097521</v>
      </c>
      <c r="U57" s="44"/>
      <c r="V57" s="44"/>
      <c r="W57" s="44">
        <f>+V56*AA47</f>
        <v>20917.961022949254</v>
      </c>
      <c r="X57" s="44">
        <f>+W57+X54</f>
        <v>1620011.1063256836</v>
      </c>
      <c r="Y57" s="44"/>
      <c r="Z57" s="44">
        <f>+S57+W57+Y56</f>
        <v>1958899.6118176274</v>
      </c>
      <c r="AA57" s="44"/>
    </row>
    <row r="58" spans="1:27" x14ac:dyDescent="0.2">
      <c r="A58" s="131"/>
      <c r="B58" s="131"/>
      <c r="C58" s="143"/>
      <c r="D58" s="6">
        <f t="shared" si="1"/>
        <v>47</v>
      </c>
      <c r="E58" s="41">
        <v>46508</v>
      </c>
      <c r="F58" s="150"/>
      <c r="G58" s="42"/>
      <c r="H58" s="42"/>
      <c r="I58" s="42"/>
      <c r="J58" s="42"/>
      <c r="K58" s="134"/>
      <c r="L58" s="43"/>
      <c r="M58" s="44">
        <f t="shared" si="42"/>
        <v>46843.097254663189</v>
      </c>
      <c r="N58" s="44"/>
      <c r="O58" s="45">
        <f>+ROUND(O57*(1+'Tabla de reajustes'!$D$8),2)</f>
        <v>133.41</v>
      </c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</row>
    <row r="59" spans="1:27" x14ac:dyDescent="0.2">
      <c r="A59" s="131"/>
      <c r="B59" s="131"/>
      <c r="C59" s="143"/>
      <c r="D59" s="6">
        <f t="shared" si="1"/>
        <v>48</v>
      </c>
      <c r="E59" s="41">
        <v>46539</v>
      </c>
      <c r="F59" s="150"/>
      <c r="G59" s="42">
        <f>+G56</f>
        <v>2050000</v>
      </c>
      <c r="H59" s="42">
        <f t="shared" ref="H59" si="60">+G59-I59-J59</f>
        <v>1963265.7358518152</v>
      </c>
      <c r="I59" s="42">
        <v>82901.250348184767</v>
      </c>
      <c r="J59" s="42">
        <f>+J50*1.1</f>
        <v>3833.0138000000011</v>
      </c>
      <c r="K59" s="134"/>
      <c r="L59" s="43"/>
      <c r="M59" s="44">
        <f t="shared" si="42"/>
        <v>46843.097254663189</v>
      </c>
      <c r="N59" s="44">
        <f t="shared" ref="N59" si="61">SUM(M57:M59)</f>
        <v>140529.29176398957</v>
      </c>
      <c r="O59" s="45">
        <f>+ROUND(O58*(1+'Tabla de reajustes'!$D$8),2)</f>
        <v>133.74</v>
      </c>
      <c r="P59" s="42">
        <f t="shared" ref="P59" si="62">+ROUND((N59)*(O59-$P$4)/$P$4,2)</f>
        <v>19020.84</v>
      </c>
      <c r="Q59" s="44">
        <f>Q56+N59</f>
        <v>26692080.879055969</v>
      </c>
      <c r="R59" s="44">
        <f>+Q59-T57</f>
        <v>9362386.4119584486</v>
      </c>
      <c r="S59" s="44"/>
      <c r="T59" s="44"/>
      <c r="U59" s="44">
        <f>+U56+P59</f>
        <v>1646004.6</v>
      </c>
      <c r="V59" s="44">
        <f>+U59-X57</f>
        <v>25993.493674316444</v>
      </c>
      <c r="W59" s="44"/>
      <c r="X59" s="44"/>
      <c r="Y59" s="44">
        <f t="shared" ref="Y59" si="63">+(R59)*$Y$6/4</f>
        <v>485439.73546004563</v>
      </c>
      <c r="Z59" s="44"/>
      <c r="AA59" s="44"/>
    </row>
    <row r="60" spans="1:27" x14ac:dyDescent="0.2">
      <c r="A60" s="131"/>
      <c r="B60" s="131"/>
      <c r="C60" s="143">
        <f t="shared" ref="C60" si="64">1+C57</f>
        <v>3</v>
      </c>
      <c r="D60" s="6">
        <f t="shared" si="1"/>
        <v>49</v>
      </c>
      <c r="E60" s="41">
        <v>46569</v>
      </c>
      <c r="F60" s="150"/>
      <c r="G60" s="42"/>
      <c r="H60" s="42"/>
      <c r="I60" s="42"/>
      <c r="J60" s="42"/>
      <c r="K60" s="134"/>
      <c r="L60" s="43"/>
      <c r="M60" s="44">
        <f t="shared" si="42"/>
        <v>46843.097254663189</v>
      </c>
      <c r="N60" s="44"/>
      <c r="O60" s="45">
        <f>+ROUND(O59*(1+'Tabla de reajustes'!$D$8),2)</f>
        <v>134.07</v>
      </c>
      <c r="P60" s="44"/>
      <c r="Q60" s="44"/>
      <c r="R60" s="44"/>
      <c r="S60" s="44">
        <f>IF(R59&gt;H59-W60-Y59,H59-W60-Y59,R59)</f>
        <v>1451832.5067174532</v>
      </c>
      <c r="T60" s="44">
        <f>+S60+T57</f>
        <v>18781526.973814975</v>
      </c>
      <c r="U60" s="44"/>
      <c r="V60" s="44"/>
      <c r="W60" s="44">
        <f>+V59</f>
        <v>25993.493674316444</v>
      </c>
      <c r="X60" s="44">
        <f>+W60+X57</f>
        <v>1646004.6</v>
      </c>
      <c r="Y60" s="44"/>
      <c r="Z60" s="44">
        <f>+S60+W60+Y59</f>
        <v>1963265.7358518154</v>
      </c>
      <c r="AA60" s="44"/>
    </row>
    <row r="61" spans="1:27" x14ac:dyDescent="0.2">
      <c r="A61" s="131"/>
      <c r="B61" s="131"/>
      <c r="C61" s="143"/>
      <c r="D61" s="6">
        <f t="shared" si="1"/>
        <v>50</v>
      </c>
      <c r="E61" s="41">
        <v>46600</v>
      </c>
      <c r="F61" s="150"/>
      <c r="G61" s="42"/>
      <c r="H61" s="42"/>
      <c r="I61" s="42"/>
      <c r="J61" s="42"/>
      <c r="K61" s="134"/>
      <c r="L61" s="43"/>
      <c r="M61" s="44">
        <f t="shared" si="42"/>
        <v>46843.097254663189</v>
      </c>
      <c r="N61" s="44"/>
      <c r="O61" s="45">
        <f>+ROUND(O60*(1+'Tabla de reajustes'!$D$8),2)</f>
        <v>134.4</v>
      </c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</row>
    <row r="62" spans="1:27" x14ac:dyDescent="0.2">
      <c r="A62" s="131"/>
      <c r="B62" s="131"/>
      <c r="C62" s="143"/>
      <c r="D62" s="6">
        <f t="shared" si="1"/>
        <v>51</v>
      </c>
      <c r="E62" s="41">
        <v>46631</v>
      </c>
      <c r="F62" s="150"/>
      <c r="G62" s="42">
        <f>+G59</f>
        <v>2050000</v>
      </c>
      <c r="H62" s="42">
        <f t="shared" ref="H62" si="65">+G62-I62-J62</f>
        <v>1963265.7358518152</v>
      </c>
      <c r="I62" s="42">
        <v>82901.250348184767</v>
      </c>
      <c r="J62" s="42">
        <f t="shared" ref="J62" si="66">+J59</f>
        <v>3833.0138000000011</v>
      </c>
      <c r="K62" s="134"/>
      <c r="L62" s="43"/>
      <c r="M62" s="44">
        <f t="shared" si="42"/>
        <v>46843.097254663189</v>
      </c>
      <c r="N62" s="44">
        <f t="shared" ref="N62" si="67">SUM(M60:M62)</f>
        <v>140529.29176398957</v>
      </c>
      <c r="O62" s="45">
        <f>+ROUND(O61*(1+'Tabla de reajustes'!$D$8),2)</f>
        <v>134.72999999999999</v>
      </c>
      <c r="P62" s="42">
        <f t="shared" ref="P62" si="68">+ROUND((N62)*(O62-$P$4)/$P$4,2)</f>
        <v>20201.89</v>
      </c>
      <c r="Q62" s="44">
        <f>Q59+N62</f>
        <v>26832610.170819961</v>
      </c>
      <c r="R62" s="44">
        <f>+Q62-T60</f>
        <v>8051083.1970049851</v>
      </c>
      <c r="S62" s="44"/>
      <c r="T62" s="44"/>
      <c r="U62" s="44">
        <f>+U59+P62</f>
        <v>1666206.49</v>
      </c>
      <c r="V62" s="44">
        <f>+U62-X60</f>
        <v>20201.889999999898</v>
      </c>
      <c r="W62" s="44"/>
      <c r="X62" s="44"/>
      <c r="Y62" s="44">
        <f t="shared" ref="Y62" si="69">+(R62)*$Y$6/4</f>
        <v>417448.66376470856</v>
      </c>
      <c r="Z62" s="44"/>
      <c r="AA62" s="44"/>
    </row>
    <row r="63" spans="1:27" x14ac:dyDescent="0.2">
      <c r="A63" s="131"/>
      <c r="B63" s="131"/>
      <c r="C63" s="143">
        <f t="shared" ref="C63" si="70">1+C60</f>
        <v>4</v>
      </c>
      <c r="D63" s="6">
        <f t="shared" si="1"/>
        <v>52</v>
      </c>
      <c r="E63" s="41">
        <v>46661</v>
      </c>
      <c r="F63" s="150"/>
      <c r="G63" s="42"/>
      <c r="H63" s="42"/>
      <c r="I63" s="42"/>
      <c r="J63" s="42"/>
      <c r="K63" s="134"/>
      <c r="L63" s="43"/>
      <c r="M63" s="44">
        <f t="shared" si="42"/>
        <v>46843.097254663189</v>
      </c>
      <c r="N63" s="44"/>
      <c r="O63" s="45">
        <f>+ROUND(O62*(1+'Tabla de reajustes'!$D$8),2)</f>
        <v>135.07</v>
      </c>
      <c r="P63" s="44"/>
      <c r="Q63" s="44"/>
      <c r="R63" s="44"/>
      <c r="S63" s="44">
        <f>IF(R62&gt;H62-W63-Y62,H62-W63-Y62,R62)</f>
        <v>1525615.1820871066</v>
      </c>
      <c r="T63" s="44">
        <f>+S63+T60</f>
        <v>20307142.15590208</v>
      </c>
      <c r="U63" s="44"/>
      <c r="V63" s="44"/>
      <c r="W63" s="44">
        <f>+V62</f>
        <v>20201.889999999898</v>
      </c>
      <c r="X63" s="44">
        <f>+W63+X60</f>
        <v>1666206.49</v>
      </c>
      <c r="Y63" s="44"/>
      <c r="Z63" s="44">
        <f>+S63+W63+Y62</f>
        <v>1963265.735851815</v>
      </c>
      <c r="AA63" s="44"/>
    </row>
    <row r="64" spans="1:27" x14ac:dyDescent="0.2">
      <c r="A64" s="131"/>
      <c r="B64" s="131"/>
      <c r="C64" s="143"/>
      <c r="D64" s="6">
        <f t="shared" si="1"/>
        <v>53</v>
      </c>
      <c r="E64" s="41">
        <v>46692</v>
      </c>
      <c r="F64" s="150"/>
      <c r="G64" s="42"/>
      <c r="H64" s="42"/>
      <c r="I64" s="42"/>
      <c r="J64" s="42"/>
      <c r="K64" s="134"/>
      <c r="L64" s="43"/>
      <c r="M64" s="44">
        <f t="shared" si="42"/>
        <v>46843.097254663189</v>
      </c>
      <c r="N64" s="44"/>
      <c r="O64" s="45">
        <f>+ROUND(O63*(1+'Tabla de reajustes'!$D$8),2)</f>
        <v>135.41</v>
      </c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</row>
    <row r="65" spans="1:27" x14ac:dyDescent="0.2">
      <c r="A65" s="132"/>
      <c r="B65" s="132"/>
      <c r="C65" s="143"/>
      <c r="D65" s="6">
        <f t="shared" si="1"/>
        <v>54</v>
      </c>
      <c r="E65" s="41">
        <v>46722</v>
      </c>
      <c r="F65" s="151"/>
      <c r="G65" s="42">
        <f>+G62</f>
        <v>2050000</v>
      </c>
      <c r="H65" s="42">
        <f t="shared" ref="H65" si="71">+G65-I65-J65</f>
        <v>1963265.7358518152</v>
      </c>
      <c r="I65" s="42">
        <v>82901.250348184767</v>
      </c>
      <c r="J65" s="42">
        <f t="shared" ref="J65" si="72">+J62</f>
        <v>3833.0138000000011</v>
      </c>
      <c r="K65" s="134"/>
      <c r="L65" s="43"/>
      <c r="M65" s="44">
        <f t="shared" si="42"/>
        <v>46843.097254663189</v>
      </c>
      <c r="N65" s="44">
        <f t="shared" ref="N65" si="73">SUM(M63:M65)</f>
        <v>140529.29176398957</v>
      </c>
      <c r="O65" s="45">
        <f>+ROUND(O64*(1+'Tabla de reajustes'!$D$8),2)</f>
        <v>135.75</v>
      </c>
      <c r="P65" s="42">
        <f t="shared" ref="P65" si="74">+ROUND((N65)*(O65-$P$4)/$P$4,2)</f>
        <v>21418.74</v>
      </c>
      <c r="Q65" s="44">
        <f>Q62+N65</f>
        <v>26973139.462583952</v>
      </c>
      <c r="R65" s="44">
        <f>+Q65-T63</f>
        <v>6665997.3066818714</v>
      </c>
      <c r="S65" s="44"/>
      <c r="T65" s="44"/>
      <c r="U65" s="44">
        <f>+U62+P65</f>
        <v>1687625.23</v>
      </c>
      <c r="V65" s="44">
        <f>+U65-X63</f>
        <v>21418.739999999991</v>
      </c>
      <c r="W65" s="44"/>
      <c r="X65" s="44"/>
      <c r="Y65" s="44">
        <f t="shared" ref="Y65" si="75">+(R65)*$Y$6/4</f>
        <v>345631.96035145508</v>
      </c>
      <c r="Z65" s="44"/>
      <c r="AA65" s="44"/>
    </row>
    <row r="66" spans="1:27" x14ac:dyDescent="0.2">
      <c r="A66" s="130">
        <f>1+A54</f>
        <v>6</v>
      </c>
      <c r="B66" s="130">
        <f>1+B54</f>
        <v>2028</v>
      </c>
      <c r="C66" s="143">
        <v>1</v>
      </c>
      <c r="D66" s="6">
        <f t="shared" si="1"/>
        <v>55</v>
      </c>
      <c r="E66" s="41">
        <v>46753</v>
      </c>
      <c r="F66" s="149">
        <v>6925746.9900000002</v>
      </c>
      <c r="G66" s="42"/>
      <c r="H66" s="42"/>
      <c r="I66" s="42"/>
      <c r="J66" s="42"/>
      <c r="K66" s="134"/>
      <c r="L66" s="43"/>
      <c r="M66" s="44">
        <f t="shared" si="42"/>
        <v>46843.097254663189</v>
      </c>
      <c r="N66" s="44"/>
      <c r="O66" s="45">
        <f>+ROUND(O65*(1+'Tabla de reajustes'!$D$8),2)</f>
        <v>136.09</v>
      </c>
      <c r="P66" s="44"/>
      <c r="Q66" s="44"/>
      <c r="R66" s="44"/>
      <c r="S66" s="44">
        <f>IF(R65&gt;H65-W66-Y65,H65-W66-Y65,R65)</f>
        <v>1596215.0355003602</v>
      </c>
      <c r="T66" s="44">
        <f>+S66+T63</f>
        <v>21903357.191402439</v>
      </c>
      <c r="U66" s="44"/>
      <c r="V66" s="44"/>
      <c r="W66" s="44">
        <f>+V65</f>
        <v>21418.739999999991</v>
      </c>
      <c r="X66" s="44">
        <f>+W66+X63</f>
        <v>1687625.23</v>
      </c>
      <c r="Y66" s="44"/>
      <c r="Z66" s="44">
        <f>+S66+W66+Y65</f>
        <v>1963265.7358518152</v>
      </c>
      <c r="AA66" s="44"/>
    </row>
    <row r="67" spans="1:27" x14ac:dyDescent="0.2">
      <c r="A67" s="131"/>
      <c r="B67" s="131"/>
      <c r="C67" s="143"/>
      <c r="D67" s="6">
        <f t="shared" si="1"/>
        <v>56</v>
      </c>
      <c r="E67" s="41">
        <v>46784</v>
      </c>
      <c r="F67" s="150"/>
      <c r="G67" s="42"/>
      <c r="H67" s="42"/>
      <c r="I67" s="42"/>
      <c r="J67" s="42"/>
      <c r="K67" s="134"/>
      <c r="L67" s="43"/>
      <c r="M67" s="44">
        <f t="shared" si="42"/>
        <v>46843.097254663189</v>
      </c>
      <c r="N67" s="44"/>
      <c r="O67" s="45">
        <f>+ROUND(O66*(1+'Tabla de reajustes'!$D$8),2)</f>
        <v>136.43</v>
      </c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</row>
    <row r="68" spans="1:27" x14ac:dyDescent="0.2">
      <c r="A68" s="131"/>
      <c r="B68" s="131"/>
      <c r="C68" s="143"/>
      <c r="D68" s="6">
        <f t="shared" si="1"/>
        <v>57</v>
      </c>
      <c r="E68" s="41">
        <v>46813</v>
      </c>
      <c r="F68" s="150"/>
      <c r="G68" s="42">
        <f>+F66/4</f>
        <v>1731436.7475000001</v>
      </c>
      <c r="H68" s="42">
        <f t="shared" ref="H68" si="76">+G68-I68-J68</f>
        <v>1644702.4833518153</v>
      </c>
      <c r="I68" s="42">
        <v>82901.250348184767</v>
      </c>
      <c r="J68" s="42">
        <f t="shared" ref="J68" si="77">+J65</f>
        <v>3833.0138000000011</v>
      </c>
      <c r="K68" s="134"/>
      <c r="L68" s="43"/>
      <c r="M68" s="44">
        <f t="shared" si="42"/>
        <v>46843.097254663189</v>
      </c>
      <c r="N68" s="44">
        <f t="shared" ref="N68" si="78">SUM(M66:M68)</f>
        <v>140529.29176398957</v>
      </c>
      <c r="O68" s="45">
        <f>+ROUND(O67*(1+'Tabla de reajustes'!$D$8),2)</f>
        <v>136.77000000000001</v>
      </c>
      <c r="P68" s="42">
        <f t="shared" ref="P68" si="79">+ROUND((N68)*(O68-$P$4)/$P$4,2)</f>
        <v>22635.59</v>
      </c>
      <c r="Q68" s="44">
        <f>Q65+N68</f>
        <v>27113668.754347943</v>
      </c>
      <c r="R68" s="44">
        <f>+Q68-T66</f>
        <v>5210311.5629455037</v>
      </c>
      <c r="S68" s="44"/>
      <c r="T68" s="44"/>
      <c r="U68" s="44">
        <f>+U65+P68</f>
        <v>1710260.82</v>
      </c>
      <c r="V68" s="44">
        <f>+U68-X66</f>
        <v>22635.590000000084</v>
      </c>
      <c r="W68" s="44"/>
      <c r="X68" s="44"/>
      <c r="Y68" s="44">
        <f t="shared" ref="Y68" si="80">+(R68)*$Y$6/4</f>
        <v>270154.6545387244</v>
      </c>
      <c r="Z68" s="44"/>
      <c r="AA68" s="44"/>
    </row>
    <row r="69" spans="1:27" x14ac:dyDescent="0.2">
      <c r="A69" s="131"/>
      <c r="B69" s="131"/>
      <c r="C69" s="143">
        <f t="shared" ref="C69" si="81">1+C66</f>
        <v>2</v>
      </c>
      <c r="D69" s="6">
        <f t="shared" si="1"/>
        <v>58</v>
      </c>
      <c r="E69" s="41">
        <v>46844</v>
      </c>
      <c r="F69" s="150"/>
      <c r="G69" s="42"/>
      <c r="H69" s="42"/>
      <c r="I69" s="42"/>
      <c r="J69" s="42"/>
      <c r="K69" s="134"/>
      <c r="L69" s="43"/>
      <c r="M69" s="44">
        <f t="shared" si="42"/>
        <v>46843.097254663189</v>
      </c>
      <c r="N69" s="44"/>
      <c r="O69" s="45">
        <f>+ROUND(O68*(1+'Tabla de reajustes'!$D$8),2)</f>
        <v>137.11000000000001</v>
      </c>
      <c r="P69" s="44"/>
      <c r="Q69" s="44"/>
      <c r="R69" s="44"/>
      <c r="S69" s="44">
        <f>IF(R68&gt;H68-W69-Y68,H68-W69-Y68,R68)</f>
        <v>1351912.2388130908</v>
      </c>
      <c r="T69" s="44">
        <f>+S69+T66</f>
        <v>23255269.43021553</v>
      </c>
      <c r="U69" s="44"/>
      <c r="V69" s="44"/>
      <c r="W69" s="44">
        <f>+V68</f>
        <v>22635.590000000084</v>
      </c>
      <c r="X69" s="44">
        <f>+W69+X66</f>
        <v>1710260.82</v>
      </c>
      <c r="Y69" s="44"/>
      <c r="Z69" s="44">
        <f>+S69+W69+Y68</f>
        <v>1644702.4833518153</v>
      </c>
      <c r="AA69" s="44"/>
    </row>
    <row r="70" spans="1:27" x14ac:dyDescent="0.2">
      <c r="A70" s="131"/>
      <c r="B70" s="131"/>
      <c r="C70" s="143"/>
      <c r="D70" s="6">
        <f t="shared" si="1"/>
        <v>59</v>
      </c>
      <c r="E70" s="41">
        <v>46874</v>
      </c>
      <c r="F70" s="150"/>
      <c r="G70" s="42"/>
      <c r="H70" s="42"/>
      <c r="I70" s="42"/>
      <c r="J70" s="42"/>
      <c r="K70" s="134"/>
      <c r="L70" s="43"/>
      <c r="M70" s="44">
        <f t="shared" si="42"/>
        <v>46843.097254663189</v>
      </c>
      <c r="N70" s="44"/>
      <c r="O70" s="45">
        <f>+ROUND(O69*(1+'Tabla de reajustes'!$D$8),2)</f>
        <v>137.44999999999999</v>
      </c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</row>
    <row r="71" spans="1:27" x14ac:dyDescent="0.2">
      <c r="A71" s="131"/>
      <c r="B71" s="131"/>
      <c r="C71" s="143"/>
      <c r="D71" s="6">
        <f t="shared" si="1"/>
        <v>60</v>
      </c>
      <c r="E71" s="41">
        <v>46905</v>
      </c>
      <c r="F71" s="150"/>
      <c r="G71" s="42">
        <f>+G68</f>
        <v>1731436.7475000001</v>
      </c>
      <c r="H71" s="42">
        <f t="shared" ref="H71" si="82">+G71-I71-J71</f>
        <v>1643955.1771088447</v>
      </c>
      <c r="I71" s="42">
        <v>83265.255211155498</v>
      </c>
      <c r="J71" s="42">
        <f>+J62*1.1</f>
        <v>4216.3151800000014</v>
      </c>
      <c r="K71" s="134"/>
      <c r="L71" s="43"/>
      <c r="M71" s="44">
        <f t="shared" si="42"/>
        <v>46843.097254663189</v>
      </c>
      <c r="N71" s="44">
        <f t="shared" ref="N71" si="83">SUM(M69:M71)</f>
        <v>140529.29176398957</v>
      </c>
      <c r="O71" s="45">
        <f>+ROUND(O70*(1+'Tabla de reajustes'!$D$8),2)</f>
        <v>137.79</v>
      </c>
      <c r="P71" s="42">
        <f t="shared" ref="P71" si="84">+ROUND((N71)*(O71-$P$4)/$P$4,2)</f>
        <v>23852.43</v>
      </c>
      <c r="Q71" s="44">
        <f>Q68+N71</f>
        <v>27254198.046111934</v>
      </c>
      <c r="R71" s="44">
        <f>+Q71-T69</f>
        <v>3998928.6158964038</v>
      </c>
      <c r="S71" s="44"/>
      <c r="T71" s="44"/>
      <c r="U71" s="44">
        <f>+U68+P71</f>
        <v>1734113.25</v>
      </c>
      <c r="V71" s="44">
        <f>+U71-X69</f>
        <v>23852.429999999935</v>
      </c>
      <c r="W71" s="44"/>
      <c r="X71" s="44"/>
      <c r="Y71" s="44">
        <f t="shared" ref="Y71" si="85">+(R71)*$Y$6/4</f>
        <v>207344.44873422856</v>
      </c>
      <c r="Z71" s="44"/>
      <c r="AA71" s="44"/>
    </row>
    <row r="72" spans="1:27" x14ac:dyDescent="0.2">
      <c r="A72" s="131"/>
      <c r="B72" s="131"/>
      <c r="C72" s="143">
        <f t="shared" ref="C72" si="86">1+C69</f>
        <v>3</v>
      </c>
      <c r="D72" s="6">
        <f t="shared" si="1"/>
        <v>61</v>
      </c>
      <c r="E72" s="41">
        <v>46935</v>
      </c>
      <c r="F72" s="150"/>
      <c r="G72" s="42"/>
      <c r="H72" s="42"/>
      <c r="I72" s="42"/>
      <c r="J72" s="42"/>
      <c r="K72" s="134"/>
      <c r="L72" s="43"/>
      <c r="M72" s="44"/>
      <c r="N72" s="44"/>
      <c r="O72" s="45">
        <f>+ROUND(O71*(1+'Tabla de reajustes'!$D$8),2)</f>
        <v>138.13</v>
      </c>
      <c r="P72" s="44"/>
      <c r="Q72" s="44"/>
      <c r="R72" s="44"/>
      <c r="S72" s="44">
        <f>IF(R71&gt;H71-W72-Y71,H71-W72-Y71,R71)</f>
        <v>1412758.2983746163</v>
      </c>
      <c r="T72" s="44">
        <f>+S72+T69</f>
        <v>24668027.728590146</v>
      </c>
      <c r="U72" s="44"/>
      <c r="V72" s="44"/>
      <c r="W72" s="44">
        <f>+V71</f>
        <v>23852.429999999935</v>
      </c>
      <c r="X72" s="44">
        <f>+W72+X69</f>
        <v>1734113.25</v>
      </c>
      <c r="Y72" s="44"/>
      <c r="Z72" s="44">
        <f>+S72+W72+Y71</f>
        <v>1643955.1771088447</v>
      </c>
      <c r="AA72" s="44"/>
    </row>
    <row r="73" spans="1:27" x14ac:dyDescent="0.2">
      <c r="A73" s="131"/>
      <c r="B73" s="131"/>
      <c r="C73" s="143"/>
      <c r="D73" s="6">
        <f t="shared" si="1"/>
        <v>62</v>
      </c>
      <c r="E73" s="41">
        <v>46966</v>
      </c>
      <c r="F73" s="150"/>
      <c r="G73" s="42"/>
      <c r="H73" s="42"/>
      <c r="I73" s="42"/>
      <c r="J73" s="42"/>
      <c r="K73" s="134"/>
      <c r="L73" s="43"/>
      <c r="M73" s="44"/>
      <c r="N73" s="44"/>
      <c r="O73" s="45">
        <f>+ROUND(O72*(1+'Tabla de reajustes'!$D$8),2)</f>
        <v>138.47</v>
      </c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</row>
    <row r="74" spans="1:27" x14ac:dyDescent="0.2">
      <c r="A74" s="131"/>
      <c r="B74" s="131"/>
      <c r="C74" s="143"/>
      <c r="D74" s="6">
        <f t="shared" ref="D74:D80" si="87">1+D73</f>
        <v>63</v>
      </c>
      <c r="E74" s="41">
        <v>46997</v>
      </c>
      <c r="F74" s="150"/>
      <c r="G74" s="42">
        <f>+G71</f>
        <v>1731436.7475000001</v>
      </c>
      <c r="H74" s="42">
        <f t="shared" ref="H74" si="88">+G74-I74-J74</f>
        <v>1727220.4323200001</v>
      </c>
      <c r="I74" s="42">
        <v>0</v>
      </c>
      <c r="J74" s="42">
        <f t="shared" ref="J74" si="89">+J71</f>
        <v>4216.3151800000014</v>
      </c>
      <c r="K74" s="134"/>
      <c r="L74" s="43"/>
      <c r="M74" s="44"/>
      <c r="N74" s="44">
        <f t="shared" ref="N74" si="90">SUM(M72:M74)</f>
        <v>0</v>
      </c>
      <c r="O74" s="45">
        <f>+ROUND(O73*(1+'Tabla de reajustes'!$D$8),2)</f>
        <v>138.82</v>
      </c>
      <c r="P74" s="42">
        <f t="shared" ref="P74" si="91">+ROUND((N74)*(O74-$P$4)/$P$4,2)</f>
        <v>0</v>
      </c>
      <c r="Q74" s="44">
        <f>Q71+N74</f>
        <v>27254198.046111934</v>
      </c>
      <c r="R74" s="44">
        <f>+Q74-T72</f>
        <v>2586170.3175217882</v>
      </c>
      <c r="S74" s="44"/>
      <c r="T74" s="44"/>
      <c r="U74" s="44">
        <f>+U71+P74</f>
        <v>1734113.25</v>
      </c>
      <c r="V74" s="44">
        <f>+U74-X72</f>
        <v>0</v>
      </c>
      <c r="W74" s="44"/>
      <c r="X74" s="44"/>
      <c r="Y74" s="44">
        <f t="shared" ref="Y74" si="92">+(R74)*$Y$6/4</f>
        <v>134092.93096350474</v>
      </c>
      <c r="Z74" s="44"/>
      <c r="AA74" s="44"/>
    </row>
    <row r="75" spans="1:27" x14ac:dyDescent="0.2">
      <c r="A75" s="131"/>
      <c r="B75" s="131"/>
      <c r="C75" s="143">
        <f t="shared" ref="C75" si="93">1+C72</f>
        <v>4</v>
      </c>
      <c r="D75" s="6">
        <f t="shared" si="87"/>
        <v>64</v>
      </c>
      <c r="E75" s="41">
        <v>47027</v>
      </c>
      <c r="F75" s="150"/>
      <c r="G75" s="42"/>
      <c r="H75" s="42"/>
      <c r="I75" s="42"/>
      <c r="J75" s="42"/>
      <c r="K75" s="134"/>
      <c r="L75" s="43"/>
      <c r="M75" s="44"/>
      <c r="N75" s="44"/>
      <c r="O75" s="45">
        <f>+ROUND(O74*(1+'Tabla de reajustes'!$D$8),2)</f>
        <v>139.16999999999999</v>
      </c>
      <c r="P75" s="44"/>
      <c r="Q75" s="44"/>
      <c r="R75" s="44"/>
      <c r="S75" s="44">
        <f>IF(R74&gt;H74-W75-Y74,H74-W75-Y74,R74)</f>
        <v>1593127.5013564953</v>
      </c>
      <c r="T75" s="44">
        <f>+S75+T72</f>
        <v>26261155.229946639</v>
      </c>
      <c r="U75" s="44"/>
      <c r="V75" s="44"/>
      <c r="W75" s="44">
        <f>+V74</f>
        <v>0</v>
      </c>
      <c r="X75" s="44">
        <f>+W75+X72</f>
        <v>1734113.25</v>
      </c>
      <c r="Y75" s="44"/>
      <c r="Z75" s="44">
        <f>+S75+W75+Y74</f>
        <v>1727220.4323200001</v>
      </c>
      <c r="AA75" s="44"/>
    </row>
    <row r="76" spans="1:27" x14ac:dyDescent="0.2">
      <c r="A76" s="131"/>
      <c r="B76" s="131"/>
      <c r="C76" s="143"/>
      <c r="D76" s="6">
        <f t="shared" si="87"/>
        <v>65</v>
      </c>
      <c r="E76" s="41">
        <v>47058</v>
      </c>
      <c r="F76" s="150"/>
      <c r="G76" s="42"/>
      <c r="H76" s="42"/>
      <c r="I76" s="42"/>
      <c r="J76" s="42"/>
      <c r="K76" s="134"/>
      <c r="L76" s="43"/>
      <c r="M76" s="44"/>
      <c r="N76" s="44"/>
      <c r="O76" s="45">
        <f>+ROUND(O75*(1+'Tabla de reajustes'!$D$8),2)</f>
        <v>139.52000000000001</v>
      </c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</row>
    <row r="77" spans="1:27" x14ac:dyDescent="0.2">
      <c r="A77" s="132"/>
      <c r="B77" s="132"/>
      <c r="C77" s="143"/>
      <c r="D77" s="6">
        <f t="shared" si="87"/>
        <v>66</v>
      </c>
      <c r="E77" s="41">
        <v>47088</v>
      </c>
      <c r="F77" s="151"/>
      <c r="G77" s="42">
        <f>+G74</f>
        <v>1731436.7475000001</v>
      </c>
      <c r="H77" s="42">
        <f t="shared" ref="H77" si="94">+G77-I77-J77</f>
        <v>1727220.4323200001</v>
      </c>
      <c r="I77" s="42">
        <v>0</v>
      </c>
      <c r="J77" s="42">
        <f t="shared" ref="J77" si="95">+J74</f>
        <v>4216.3151800000014</v>
      </c>
      <c r="K77" s="134"/>
      <c r="L77" s="43"/>
      <c r="M77" s="44"/>
      <c r="N77" s="44">
        <f t="shared" ref="N77" si="96">SUM(M75:M77)</f>
        <v>0</v>
      </c>
      <c r="O77" s="45">
        <f>+ROUND(O76*(1+'Tabla de reajustes'!$D$8),2)</f>
        <v>139.87</v>
      </c>
      <c r="P77" s="42">
        <f t="shared" ref="P77" si="97">+ROUND((N77)*(O77-$P$4)/$P$4,2)</f>
        <v>0</v>
      </c>
      <c r="Q77" s="44">
        <f>Q74+N77</f>
        <v>27254198.046111934</v>
      </c>
      <c r="R77" s="44">
        <f>+Q77-T75</f>
        <v>993042.8161652945</v>
      </c>
      <c r="S77" s="44"/>
      <c r="T77" s="44"/>
      <c r="U77" s="44">
        <f>+U74+P77</f>
        <v>1734113.25</v>
      </c>
      <c r="V77" s="44">
        <f>+U77-X75</f>
        <v>0</v>
      </c>
      <c r="W77" s="44"/>
      <c r="X77" s="44"/>
      <c r="Y77" s="44">
        <f t="shared" ref="Y77" si="98">+(R77)*$Y$6/4</f>
        <v>51489.27001817053</v>
      </c>
      <c r="Z77" s="44"/>
      <c r="AA77" s="44"/>
    </row>
    <row r="78" spans="1:27" x14ac:dyDescent="0.2">
      <c r="A78" s="130">
        <f>1+A66</f>
        <v>7</v>
      </c>
      <c r="B78" s="130">
        <f>1+B66</f>
        <v>2029</v>
      </c>
      <c r="C78" s="143">
        <v>1</v>
      </c>
      <c r="D78" s="6">
        <f t="shared" si="87"/>
        <v>67</v>
      </c>
      <c r="E78" s="41">
        <v>47119</v>
      </c>
      <c r="F78" s="42"/>
      <c r="G78" s="42"/>
      <c r="H78" s="42"/>
      <c r="I78" s="42"/>
      <c r="J78" s="42"/>
      <c r="K78" s="134"/>
      <c r="L78" s="43"/>
      <c r="M78" s="44"/>
      <c r="N78" s="44"/>
      <c r="O78" s="45"/>
      <c r="P78" s="44"/>
      <c r="Q78" s="44"/>
      <c r="R78" s="44"/>
      <c r="S78" s="44">
        <f>IF(R77&gt;H77-W78-Y77,H77-W78-Y77,R77)</f>
        <v>993042.8161652945</v>
      </c>
      <c r="T78" s="44">
        <f>+S78+T75</f>
        <v>27254198.046111934</v>
      </c>
      <c r="U78" s="44"/>
      <c r="V78" s="44"/>
      <c r="W78" s="44">
        <f>+V77</f>
        <v>0</v>
      </c>
      <c r="X78" s="44">
        <f>+W78+X75</f>
        <v>1734113.25</v>
      </c>
      <c r="Y78" s="44"/>
      <c r="Z78" s="44">
        <f>+S78+W78+Y77</f>
        <v>1044532.0861834651</v>
      </c>
      <c r="AA78" s="44"/>
    </row>
    <row r="79" spans="1:27" x14ac:dyDescent="0.2">
      <c r="A79" s="131"/>
      <c r="B79" s="131"/>
      <c r="C79" s="143"/>
      <c r="D79" s="6">
        <f t="shared" si="87"/>
        <v>68</v>
      </c>
      <c r="E79" s="41">
        <v>47150</v>
      </c>
      <c r="F79" s="42"/>
      <c r="G79" s="42"/>
      <c r="H79" s="42"/>
      <c r="I79" s="42"/>
      <c r="J79" s="42"/>
      <c r="K79" s="134"/>
      <c r="L79" s="43"/>
      <c r="M79" s="44"/>
      <c r="N79" s="44"/>
      <c r="O79" s="45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</row>
    <row r="80" spans="1:27" x14ac:dyDescent="0.2">
      <c r="A80" s="131"/>
      <c r="B80" s="131"/>
      <c r="C80" s="143"/>
      <c r="D80" s="6">
        <f t="shared" si="87"/>
        <v>69</v>
      </c>
      <c r="E80" s="41">
        <v>47178</v>
      </c>
      <c r="F80" s="42"/>
      <c r="G80" s="42"/>
      <c r="H80" s="42"/>
      <c r="I80" s="42"/>
      <c r="J80" s="42"/>
      <c r="K80" s="134"/>
      <c r="L80" s="43"/>
      <c r="M80" s="44"/>
      <c r="N80" s="44"/>
      <c r="O80" s="45"/>
      <c r="P80" s="44"/>
      <c r="Q80" s="44">
        <f>Q77+N80</f>
        <v>27254198.046111934</v>
      </c>
      <c r="R80" s="59">
        <f>+Q80-T78</f>
        <v>0</v>
      </c>
      <c r="S80" s="44"/>
      <c r="T80" s="44"/>
      <c r="U80" s="44"/>
      <c r="V80" s="44"/>
      <c r="W80" s="44"/>
      <c r="X80" s="44"/>
      <c r="Y80" s="44"/>
      <c r="Z80" s="44"/>
      <c r="AA80" s="44"/>
    </row>
    <row r="81" spans="1:27" x14ac:dyDescent="0.2">
      <c r="A81" s="131"/>
      <c r="B81" s="131"/>
      <c r="C81" s="143"/>
      <c r="D81" s="6"/>
      <c r="E81" s="41"/>
      <c r="F81" s="42"/>
      <c r="G81" s="42"/>
      <c r="H81" s="42"/>
      <c r="I81" s="42"/>
      <c r="J81" s="42"/>
      <c r="K81" s="134"/>
      <c r="L81" s="43"/>
      <c r="M81" s="44"/>
      <c r="N81" s="44"/>
      <c r="O81" s="45"/>
      <c r="P81" s="44"/>
      <c r="Q81" s="44"/>
      <c r="R81" s="44"/>
      <c r="S81" s="44"/>
      <c r="T81" s="44"/>
      <c r="U81" s="44"/>
      <c r="V81" s="44"/>
      <c r="W81" s="44"/>
      <c r="X81" s="44"/>
      <c r="Y81" s="44">
        <f>+Y80+R80</f>
        <v>0</v>
      </c>
      <c r="Z81" s="44">
        <f>+S81+W81+Y80</f>
        <v>0</v>
      </c>
      <c r="AA81" s="44"/>
    </row>
    <row r="82" spans="1:27" x14ac:dyDescent="0.2">
      <c r="A82" s="131"/>
      <c r="B82" s="131"/>
      <c r="C82" s="143"/>
      <c r="D82" s="6"/>
      <c r="E82" s="41"/>
      <c r="F82" s="42"/>
      <c r="G82" s="42"/>
      <c r="H82" s="42"/>
      <c r="I82" s="42"/>
      <c r="J82" s="42"/>
      <c r="K82" s="134"/>
      <c r="L82" s="43"/>
      <c r="M82" s="44"/>
      <c r="N82" s="44"/>
      <c r="O82" s="45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</row>
    <row r="83" spans="1:27" x14ac:dyDescent="0.2">
      <c r="A83" s="131"/>
      <c r="B83" s="131"/>
      <c r="C83" s="143"/>
      <c r="D83" s="6"/>
      <c r="E83" s="41"/>
      <c r="F83" s="42"/>
      <c r="G83" s="42"/>
      <c r="H83" s="42"/>
      <c r="I83" s="42"/>
      <c r="J83" s="42"/>
      <c r="K83" s="134"/>
      <c r="L83" s="43"/>
      <c r="M83" s="44"/>
      <c r="N83" s="44"/>
      <c r="O83" s="45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</row>
    <row r="84" spans="1:27" x14ac:dyDescent="0.2">
      <c r="A84" s="131"/>
      <c r="B84" s="131"/>
      <c r="C84" s="143"/>
      <c r="D84" s="6"/>
      <c r="E84" s="41"/>
      <c r="F84" s="42"/>
      <c r="G84" s="42"/>
      <c r="H84" s="42"/>
      <c r="I84" s="42"/>
      <c r="J84" s="42"/>
      <c r="K84" s="134"/>
      <c r="L84" s="43"/>
      <c r="M84" s="44"/>
      <c r="N84" s="44"/>
      <c r="O84" s="45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</row>
    <row r="85" spans="1:27" x14ac:dyDescent="0.2">
      <c r="A85" s="131"/>
      <c r="B85" s="131"/>
      <c r="C85" s="143"/>
      <c r="D85" s="6"/>
      <c r="E85" s="41"/>
      <c r="F85" s="42"/>
      <c r="G85" s="42"/>
      <c r="H85" s="42"/>
      <c r="I85" s="42"/>
      <c r="J85" s="42"/>
      <c r="K85" s="134"/>
      <c r="L85" s="43"/>
      <c r="M85" s="44"/>
      <c r="N85" s="44"/>
      <c r="O85" s="45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</row>
    <row r="86" spans="1:27" x14ac:dyDescent="0.2">
      <c r="A86" s="131"/>
      <c r="B86" s="131"/>
      <c r="C86" s="143"/>
      <c r="D86" s="6"/>
      <c r="E86" s="41"/>
      <c r="F86" s="42"/>
      <c r="G86" s="42"/>
      <c r="H86" s="42"/>
      <c r="I86" s="42"/>
      <c r="J86" s="42"/>
      <c r="K86" s="134"/>
      <c r="L86" s="43"/>
      <c r="M86" s="44"/>
      <c r="N86" s="44"/>
      <c r="O86" s="45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</row>
    <row r="87" spans="1:27" x14ac:dyDescent="0.2">
      <c r="A87" s="131"/>
      <c r="B87" s="131"/>
      <c r="C87" s="6"/>
      <c r="D87" s="6"/>
      <c r="E87" s="41"/>
      <c r="F87" s="42"/>
      <c r="G87" s="42"/>
      <c r="H87" s="42"/>
      <c r="I87" s="42"/>
      <c r="J87" s="42"/>
      <c r="K87" s="42"/>
      <c r="L87" s="43"/>
      <c r="M87" s="44"/>
      <c r="N87" s="44"/>
      <c r="O87" s="45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</row>
    <row r="88" spans="1:27" x14ac:dyDescent="0.2">
      <c r="A88" s="131"/>
      <c r="B88" s="131"/>
      <c r="C88" s="6"/>
      <c r="D88" s="6"/>
      <c r="E88" s="41"/>
      <c r="F88" s="42"/>
      <c r="G88" s="42"/>
      <c r="H88" s="42"/>
      <c r="I88" s="42"/>
      <c r="J88" s="42"/>
      <c r="K88" s="42"/>
      <c r="L88" s="43"/>
      <c r="M88" s="44"/>
      <c r="N88" s="44"/>
      <c r="O88" s="45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</row>
    <row r="89" spans="1:27" s="19" customFormat="1" x14ac:dyDescent="0.2">
      <c r="A89" s="55"/>
      <c r="B89" s="55"/>
      <c r="C89" s="39"/>
      <c r="D89" s="4"/>
      <c r="E89" s="4"/>
      <c r="F89" s="48">
        <f t="shared" ref="F89:N89" si="99">SUM(F8:F88)</f>
        <v>40440746.990000002</v>
      </c>
      <c r="G89" s="48">
        <f t="shared" si="99"/>
        <v>40440667.790389441</v>
      </c>
      <c r="H89" s="48">
        <f t="shared" si="99"/>
        <v>37680454.401998654</v>
      </c>
      <c r="I89" s="48">
        <f t="shared" si="99"/>
        <v>2686249.8356507896</v>
      </c>
      <c r="J89" s="48">
        <f t="shared" si="99"/>
        <v>73963.552740000028</v>
      </c>
      <c r="K89" s="48"/>
      <c r="L89" s="52">
        <f t="shared" si="99"/>
        <v>1</v>
      </c>
      <c r="M89" s="109">
        <f t="shared" si="99"/>
        <v>27254198.04611193</v>
      </c>
      <c r="N89" s="101">
        <f t="shared" si="99"/>
        <v>27254198.046111934</v>
      </c>
      <c r="O89" s="110"/>
      <c r="P89" s="109">
        <f>SUM(P8:P88)</f>
        <v>1734113.25</v>
      </c>
      <c r="Q89" s="101"/>
      <c r="R89" s="101"/>
      <c r="S89" s="101">
        <f>SUM(S8:S88)</f>
        <v>27254198.046111934</v>
      </c>
      <c r="T89" s="101"/>
      <c r="U89" s="101"/>
      <c r="V89" s="101"/>
      <c r="W89" s="101">
        <f>SUM(W8:W88)</f>
        <v>1734113.25</v>
      </c>
      <c r="X89" s="101"/>
      <c r="Y89" s="109">
        <f>SUM(Y8:Y88)</f>
        <v>8009454.7597501706</v>
      </c>
      <c r="Z89" s="101">
        <f>SUM(Z8:Z88)</f>
        <v>36997766.055862121</v>
      </c>
      <c r="AA89" s="48"/>
    </row>
    <row r="90" spans="1:27" ht="16" thickBot="1" x14ac:dyDescent="0.25">
      <c r="M90" s="111"/>
      <c r="N90" s="96"/>
      <c r="P90" s="111"/>
      <c r="Q90" s="111"/>
      <c r="R90" s="111"/>
      <c r="S90" s="111"/>
      <c r="T90" s="111"/>
      <c r="U90" s="112"/>
      <c r="V90" s="112"/>
      <c r="W90" s="111"/>
      <c r="X90" s="111"/>
      <c r="Y90" s="113"/>
      <c r="Z90" s="113"/>
    </row>
    <row r="91" spans="1:27" x14ac:dyDescent="0.2">
      <c r="F91" s="156" t="s">
        <v>59</v>
      </c>
      <c r="G91" s="155" t="s">
        <v>57</v>
      </c>
      <c r="H91" s="76" t="s">
        <v>60</v>
      </c>
      <c r="I91" s="76">
        <v>26129963.712000001</v>
      </c>
      <c r="J91" s="76" t="s">
        <v>63</v>
      </c>
      <c r="K91" s="90">
        <v>1829097.46</v>
      </c>
      <c r="L91" s="93">
        <f>+I91+K91</f>
        <v>27959061.172000002</v>
      </c>
      <c r="M91" s="111"/>
      <c r="N91" s="96"/>
      <c r="P91" s="111"/>
      <c r="Q91" s="111"/>
      <c r="R91" s="111"/>
      <c r="S91" s="111"/>
      <c r="T91" s="111"/>
      <c r="U91" s="111"/>
      <c r="V91" s="111"/>
      <c r="W91" s="111"/>
      <c r="X91" s="114"/>
      <c r="Y91" s="115"/>
      <c r="Z91" s="111"/>
    </row>
    <row r="92" spans="1:27" x14ac:dyDescent="0.2">
      <c r="F92" s="157"/>
      <c r="G92" s="151"/>
      <c r="H92" s="42" t="s">
        <v>61</v>
      </c>
      <c r="I92" s="42">
        <v>1124234.3341119166</v>
      </c>
      <c r="J92" s="42"/>
      <c r="K92" s="91">
        <v>634287.43400000001</v>
      </c>
      <c r="L92" s="94">
        <f>+I92+K92</f>
        <v>1758521.7681119167</v>
      </c>
      <c r="M92" s="111"/>
      <c r="N92" s="111"/>
      <c r="P92" s="111"/>
      <c r="Q92" s="111"/>
      <c r="R92" s="111"/>
      <c r="S92" s="111"/>
      <c r="T92" s="111"/>
      <c r="U92" s="111"/>
      <c r="V92" s="111"/>
      <c r="W92" s="111"/>
      <c r="X92" s="114"/>
      <c r="Y92" s="115"/>
      <c r="Z92" s="111"/>
    </row>
    <row r="93" spans="1:27" x14ac:dyDescent="0.2">
      <c r="F93" s="165" t="s">
        <v>6</v>
      </c>
      <c r="G93" s="166"/>
      <c r="H93" s="162"/>
      <c r="I93" s="48">
        <f>SUM(I91:I92)</f>
        <v>27254198.046111919</v>
      </c>
      <c r="J93" s="42"/>
      <c r="K93" s="92">
        <f>SUM(K91:K92)</f>
        <v>2463384.8939999999</v>
      </c>
      <c r="L93" s="94">
        <f>+I93+K93</f>
        <v>29717582.94011192</v>
      </c>
      <c r="M93" s="111"/>
      <c r="N93" s="111"/>
      <c r="P93" s="111"/>
      <c r="Q93" s="111"/>
      <c r="R93" s="111"/>
      <c r="S93" s="116"/>
      <c r="T93" s="111"/>
      <c r="U93" s="111"/>
      <c r="V93" s="111"/>
      <c r="W93" s="111"/>
      <c r="X93" s="114"/>
      <c r="Y93" s="115"/>
      <c r="Z93" s="111"/>
    </row>
    <row r="94" spans="1:27" ht="16" thickBot="1" x14ac:dyDescent="0.25">
      <c r="F94" s="167" t="s">
        <v>62</v>
      </c>
      <c r="G94" s="168"/>
      <c r="H94" s="169"/>
      <c r="I94" s="108">
        <f>+'[1]Ppto Obra ET1'!I82/1000</f>
        <v>27959061.171999998</v>
      </c>
      <c r="J94" s="108"/>
      <c r="K94" s="97">
        <f>+I93+K93</f>
        <v>29717582.94011192</v>
      </c>
      <c r="L94" s="98"/>
      <c r="M94" s="111"/>
      <c r="N94" s="111"/>
      <c r="P94" s="111"/>
      <c r="Q94" s="111"/>
      <c r="R94" s="111"/>
      <c r="S94" s="111"/>
      <c r="T94" s="111"/>
      <c r="U94" s="111"/>
      <c r="V94" s="111"/>
      <c r="W94" s="111"/>
      <c r="X94" s="114"/>
      <c r="Y94" s="117"/>
      <c r="Z94" s="112"/>
    </row>
    <row r="95" spans="1:27" x14ac:dyDescent="0.2">
      <c r="F95" s="82"/>
      <c r="G95" s="163" t="s">
        <v>85</v>
      </c>
      <c r="H95" s="164"/>
      <c r="I95" s="76">
        <f>+P89</f>
        <v>1734113.25</v>
      </c>
      <c r="J95" s="76"/>
      <c r="K95" s="76"/>
      <c r="L95" s="99">
        <f>+I95+K95</f>
        <v>1734113.25</v>
      </c>
      <c r="M95" s="111"/>
      <c r="N95" s="111"/>
      <c r="P95" s="111"/>
      <c r="Q95" s="111"/>
      <c r="R95" s="111"/>
      <c r="S95" s="111"/>
      <c r="T95" s="111"/>
      <c r="U95" s="111"/>
      <c r="V95" s="111"/>
      <c r="W95" s="111"/>
      <c r="X95" s="114"/>
      <c r="Y95" s="117"/>
      <c r="Z95" s="112"/>
    </row>
    <row r="96" spans="1:27" x14ac:dyDescent="0.2">
      <c r="F96" s="83"/>
      <c r="G96" s="161" t="s">
        <v>86</v>
      </c>
      <c r="H96" s="162"/>
      <c r="I96" s="42">
        <f>+Y89</f>
        <v>8009454.7597501706</v>
      </c>
      <c r="J96" s="42"/>
      <c r="K96" s="42"/>
      <c r="L96" s="100"/>
      <c r="M96" s="111"/>
      <c r="N96" s="111"/>
      <c r="P96" s="111"/>
      <c r="Q96" s="111"/>
      <c r="R96" s="111"/>
      <c r="S96" s="111"/>
      <c r="T96" s="111"/>
      <c r="U96" s="111"/>
      <c r="V96" s="111"/>
      <c r="W96" s="111"/>
      <c r="X96" s="114"/>
      <c r="Y96" s="117"/>
      <c r="Z96" s="112"/>
    </row>
    <row r="97" spans="6:26" ht="16" thickBot="1" x14ac:dyDescent="0.25">
      <c r="F97" s="78" t="s">
        <v>6</v>
      </c>
      <c r="G97" s="63"/>
      <c r="H97" s="63"/>
      <c r="I97" s="101">
        <f>+I93+I95+I96</f>
        <v>36997766.055862091</v>
      </c>
      <c r="J97" s="108"/>
      <c r="K97" s="101">
        <f>+K93+K95+K96</f>
        <v>2463384.8939999999</v>
      </c>
      <c r="L97" s="102">
        <f>+I97+K97</f>
        <v>39461150.949862093</v>
      </c>
      <c r="M97" s="111"/>
      <c r="N97" s="111"/>
      <c r="P97" s="111"/>
      <c r="Q97" s="111"/>
      <c r="R97" s="111"/>
      <c r="S97" s="111"/>
      <c r="T97" s="111"/>
      <c r="U97" s="111"/>
      <c r="V97" s="111"/>
      <c r="W97" s="111"/>
      <c r="X97" s="114"/>
      <c r="Y97" s="115"/>
      <c r="Z97" s="111"/>
    </row>
    <row r="98" spans="6:26" ht="16" thickBot="1" x14ac:dyDescent="0.25">
      <c r="F98" s="95"/>
      <c r="G98" s="96"/>
      <c r="H98" s="96"/>
      <c r="I98" s="152" t="s">
        <v>79</v>
      </c>
      <c r="J98" s="153"/>
      <c r="K98" s="154"/>
      <c r="L98" s="103">
        <f>+M109</f>
        <v>40440746.990000002</v>
      </c>
      <c r="M98" s="111"/>
      <c r="N98" s="111"/>
      <c r="P98" s="111"/>
      <c r="Q98" s="111"/>
      <c r="R98" s="111"/>
      <c r="S98" s="111"/>
      <c r="T98" s="111"/>
      <c r="U98" s="111"/>
      <c r="V98" s="111"/>
      <c r="W98" s="111"/>
      <c r="X98" s="114"/>
      <c r="Y98" s="115"/>
      <c r="Z98" s="111"/>
    </row>
    <row r="99" spans="6:26" ht="16" thickBot="1" x14ac:dyDescent="0.25">
      <c r="F99" s="95"/>
      <c r="G99" s="96"/>
      <c r="H99" s="96"/>
      <c r="I99" s="152" t="s">
        <v>87</v>
      </c>
      <c r="J99" s="153"/>
      <c r="K99" s="154"/>
      <c r="L99" s="103">
        <f>+L97-L98</f>
        <v>-979596.04013790935</v>
      </c>
      <c r="M99" s="111"/>
      <c r="N99" s="111"/>
      <c r="P99" s="111"/>
      <c r="Q99" s="111"/>
      <c r="R99" s="111"/>
      <c r="S99" s="111"/>
      <c r="T99" s="111"/>
      <c r="U99" s="111"/>
      <c r="V99" s="111"/>
      <c r="W99" s="111"/>
      <c r="X99" s="114"/>
      <c r="Y99" s="115"/>
      <c r="Z99" s="111"/>
    </row>
    <row r="100" spans="6:26" ht="16" thickBot="1" x14ac:dyDescent="0.25">
      <c r="F100" s="105"/>
      <c r="G100" s="106"/>
      <c r="H100" s="106"/>
      <c r="I100" s="106"/>
      <c r="J100" s="106"/>
      <c r="K100" s="145" t="str">
        <f>IF(L99&lt;0,"CUMPLE VIGENCIAS","NO CUMPLE VIGENCIAS")</f>
        <v>CUMPLE VIGENCIAS</v>
      </c>
      <c r="L100" s="146"/>
      <c r="M100" s="111"/>
      <c r="N100" s="111"/>
      <c r="P100" s="111"/>
      <c r="Q100" s="111"/>
      <c r="R100" s="111"/>
      <c r="S100" s="111"/>
      <c r="T100" s="111"/>
      <c r="U100" s="111"/>
      <c r="V100" s="111"/>
      <c r="W100" s="111"/>
      <c r="X100" s="114"/>
      <c r="Y100" s="115"/>
      <c r="Z100" s="111"/>
    </row>
    <row r="101" spans="6:26" x14ac:dyDescent="0.2">
      <c r="I101" s="96"/>
      <c r="J101" s="96"/>
      <c r="K101" s="96"/>
      <c r="L101" s="104"/>
      <c r="W101" s="111"/>
      <c r="X101" s="114"/>
      <c r="Y101" s="115"/>
      <c r="Z101" s="111"/>
    </row>
    <row r="102" spans="6:26" ht="16" thickBot="1" x14ac:dyDescent="0.25">
      <c r="W102" s="111"/>
      <c r="X102" s="114"/>
      <c r="Y102" s="115"/>
      <c r="Z102" s="111"/>
    </row>
    <row r="103" spans="6:26" x14ac:dyDescent="0.2">
      <c r="F103" s="65" t="s">
        <v>58</v>
      </c>
      <c r="G103" s="66">
        <v>2023</v>
      </c>
      <c r="H103" s="66">
        <f>1+G103</f>
        <v>2024</v>
      </c>
      <c r="I103" s="66">
        <f t="shared" ref="I103:J103" si="100">1+H103</f>
        <v>2025</v>
      </c>
      <c r="J103" s="66">
        <f t="shared" si="100"/>
        <v>2026</v>
      </c>
      <c r="K103" s="66">
        <f>1+J103</f>
        <v>2027</v>
      </c>
      <c r="L103" s="66">
        <f>1+K103</f>
        <v>2028</v>
      </c>
      <c r="M103" s="68" t="s">
        <v>6</v>
      </c>
      <c r="W103" s="111"/>
      <c r="X103" s="114"/>
      <c r="Y103" s="115"/>
      <c r="Z103" s="111"/>
    </row>
    <row r="104" spans="6:26" x14ac:dyDescent="0.2">
      <c r="F104" s="72" t="s">
        <v>57</v>
      </c>
      <c r="G104" s="69">
        <f>+SUM(H11:H17)</f>
        <v>1044033.3533333333</v>
      </c>
      <c r="H104" s="69">
        <f>+SUM(H18:H29)</f>
        <v>7438458.38883169</v>
      </c>
      <c r="I104" s="69">
        <f>+SUM(H30:H41)</f>
        <v>7009169.4197746981</v>
      </c>
      <c r="J104" s="69">
        <f>+SUM(H42:H53)</f>
        <v>7596997.8955851924</v>
      </c>
      <c r="K104" s="70">
        <f>+SUM(H54:H65)</f>
        <v>7848696.8193730731</v>
      </c>
      <c r="L104" s="71">
        <f>+SUM(H66:H77)</f>
        <v>6743098.5251006614</v>
      </c>
      <c r="M104" s="73">
        <f>SUM(G104:L104)</f>
        <v>37680454.401998647</v>
      </c>
      <c r="W104" s="111"/>
      <c r="X104" s="114"/>
      <c r="Y104" s="115"/>
      <c r="Z104" s="112"/>
    </row>
    <row r="105" spans="6:26" x14ac:dyDescent="0.2">
      <c r="F105" s="72" t="s">
        <v>63</v>
      </c>
      <c r="G105" s="69">
        <f>+SUM(I11:I17)</f>
        <v>304849.57666666666</v>
      </c>
      <c r="H105" s="69">
        <f>+SUM(I18:I29)</f>
        <v>671086.08155774663</v>
      </c>
      <c r="I105" s="69">
        <f>+SUM(I30:I41)</f>
        <v>683447.44022530259</v>
      </c>
      <c r="J105" s="69">
        <f>+SUM(I42:I53)</f>
        <v>524380.65041480702</v>
      </c>
      <c r="K105" s="69">
        <f>+SUM(I54:I65)</f>
        <v>336319.58122692688</v>
      </c>
      <c r="L105" s="69">
        <f>+SUM(I66:I77)</f>
        <v>166166.50555934026</v>
      </c>
      <c r="M105" s="73">
        <f>SUM(G105:L105)</f>
        <v>2686249.83565079</v>
      </c>
      <c r="W105" s="111"/>
      <c r="X105" s="114"/>
      <c r="Y105" s="117"/>
      <c r="Z105" s="112"/>
    </row>
    <row r="106" spans="6:26" x14ac:dyDescent="0.2">
      <c r="F106" s="72" t="s">
        <v>43</v>
      </c>
      <c r="G106" s="69">
        <f>+SUM(J9:J17)</f>
        <v>5236</v>
      </c>
      <c r="H106" s="69">
        <f>+SUM(J18:J29)</f>
        <v>11257.400000000001</v>
      </c>
      <c r="I106" s="69">
        <f>+SUM(J30:J41)</f>
        <v>12383.140000000001</v>
      </c>
      <c r="J106" s="69">
        <f>+SUM(J42:J53)</f>
        <v>13621.454000000003</v>
      </c>
      <c r="K106" s="69">
        <f>+SUM(J54:J65)</f>
        <v>14983.599400000003</v>
      </c>
      <c r="L106" s="69">
        <f>+SUM(J66:J77)</f>
        <v>16481.959340000005</v>
      </c>
      <c r="M106" s="73">
        <f>SUM(G106:L106)</f>
        <v>73963.552740000014</v>
      </c>
      <c r="W106" s="111"/>
      <c r="X106" s="114"/>
      <c r="Y106" s="117"/>
      <c r="Z106" s="112"/>
    </row>
    <row r="107" spans="6:26" ht="16" thickBot="1" x14ac:dyDescent="0.25">
      <c r="F107" s="64" t="s">
        <v>6</v>
      </c>
      <c r="G107" s="67">
        <f>SUM(G104:G106)</f>
        <v>1354118.93</v>
      </c>
      <c r="H107" s="67">
        <f t="shared" ref="H107:M107" si="101">SUM(H104:H106)</f>
        <v>8120801.8703894373</v>
      </c>
      <c r="I107" s="67">
        <f t="shared" si="101"/>
        <v>7705000</v>
      </c>
      <c r="J107" s="67">
        <f t="shared" si="101"/>
        <v>8134999.9999999991</v>
      </c>
      <c r="K107" s="67">
        <f t="shared" si="101"/>
        <v>8200000</v>
      </c>
      <c r="L107" s="67">
        <f t="shared" si="101"/>
        <v>6925746.9900000012</v>
      </c>
      <c r="M107" s="74">
        <f t="shared" si="101"/>
        <v>40440667.790389434</v>
      </c>
      <c r="W107" s="111"/>
      <c r="X107" s="118"/>
      <c r="Y107" s="111"/>
      <c r="Z107" s="111"/>
    </row>
    <row r="108" spans="6:26" ht="16" thickBot="1" x14ac:dyDescent="0.25">
      <c r="L108" s="28"/>
      <c r="W108" s="111"/>
      <c r="X108" s="119"/>
      <c r="Y108" s="112"/>
      <c r="Z108" s="112"/>
    </row>
    <row r="109" spans="6:26" x14ac:dyDescent="0.2">
      <c r="F109" s="75" t="s">
        <v>6</v>
      </c>
      <c r="G109" s="76">
        <v>1800000</v>
      </c>
      <c r="H109" s="76">
        <v>7675000</v>
      </c>
      <c r="I109" s="76">
        <v>7705000</v>
      </c>
      <c r="J109" s="76">
        <v>8135000</v>
      </c>
      <c r="K109" s="76">
        <v>8200000</v>
      </c>
      <c r="L109" s="76">
        <v>6925746.9900000002</v>
      </c>
      <c r="M109" s="77">
        <f>SUM(G109:L109)</f>
        <v>40440746.990000002</v>
      </c>
      <c r="W109" s="111"/>
      <c r="X109" s="111"/>
      <c r="Y109" s="111"/>
      <c r="Z109" s="111"/>
    </row>
    <row r="110" spans="6:26" ht="16" thickBot="1" x14ac:dyDescent="0.25">
      <c r="F110" s="78" t="s">
        <v>44</v>
      </c>
      <c r="G110" s="63">
        <f>+G107-G109</f>
        <v>-445881.07000000007</v>
      </c>
      <c r="H110" s="63">
        <f t="shared" ref="H110:M110" si="102">+H107-H109</f>
        <v>445801.8703894373</v>
      </c>
      <c r="I110" s="63">
        <f t="shared" si="102"/>
        <v>0</v>
      </c>
      <c r="J110" s="63">
        <f t="shared" si="102"/>
        <v>0</v>
      </c>
      <c r="K110" s="63">
        <f t="shared" si="102"/>
        <v>0</v>
      </c>
      <c r="L110" s="63">
        <f t="shared" si="102"/>
        <v>0</v>
      </c>
      <c r="M110" s="79">
        <f t="shared" si="102"/>
        <v>-79.199610568583012</v>
      </c>
      <c r="W110" s="111"/>
      <c r="X110" s="111"/>
      <c r="Y110" s="111"/>
      <c r="Z110" s="111"/>
    </row>
    <row r="111" spans="6:26" x14ac:dyDescent="0.2">
      <c r="L111" s="28"/>
      <c r="W111" s="111"/>
      <c r="X111" s="111"/>
      <c r="Y111" s="111"/>
      <c r="Z111" s="111"/>
    </row>
    <row r="112" spans="6:26" x14ac:dyDescent="0.2">
      <c r="W112" s="111"/>
      <c r="X112" s="111"/>
      <c r="Y112" s="111"/>
      <c r="Z112" s="111"/>
    </row>
    <row r="113" spans="6:26" x14ac:dyDescent="0.2">
      <c r="W113" s="111"/>
      <c r="X113" s="111"/>
      <c r="Y113" s="111"/>
      <c r="Z113" s="111"/>
    </row>
    <row r="114" spans="6:26" x14ac:dyDescent="0.2">
      <c r="W114" s="111"/>
      <c r="X114" s="111"/>
      <c r="Y114" s="111"/>
      <c r="Z114" s="111"/>
    </row>
    <row r="115" spans="6:26" x14ac:dyDescent="0.2">
      <c r="W115" s="111"/>
      <c r="X115" s="111"/>
      <c r="Y115" s="111"/>
      <c r="Z115" s="111"/>
    </row>
    <row r="116" spans="6:26" x14ac:dyDescent="0.2">
      <c r="W116" s="111"/>
      <c r="X116" s="111"/>
      <c r="Y116" s="111"/>
      <c r="Z116" s="111"/>
    </row>
    <row r="124" spans="6:26" x14ac:dyDescent="0.2">
      <c r="F124" s="158" t="s">
        <v>64</v>
      </c>
      <c r="G124" s="159"/>
      <c r="H124" s="160"/>
      <c r="I124" s="42">
        <f>+I91</f>
        <v>26129963.712000001</v>
      </c>
    </row>
    <row r="125" spans="6:26" x14ac:dyDescent="0.2">
      <c r="F125" s="158" t="s">
        <v>65</v>
      </c>
      <c r="G125" s="159"/>
      <c r="H125" s="160"/>
      <c r="I125" s="42">
        <f>+I92</f>
        <v>1124234.3341119166</v>
      </c>
    </row>
    <row r="126" spans="6:26" x14ac:dyDescent="0.2">
      <c r="F126" s="158" t="s">
        <v>66</v>
      </c>
      <c r="G126" s="159"/>
      <c r="H126" s="160"/>
      <c r="I126" s="42">
        <f>+P89</f>
        <v>1734113.25</v>
      </c>
    </row>
    <row r="127" spans="6:26" x14ac:dyDescent="0.2">
      <c r="F127" s="158" t="s">
        <v>67</v>
      </c>
      <c r="G127" s="159"/>
      <c r="H127" s="160"/>
      <c r="I127" s="42">
        <f>+Y89</f>
        <v>8009454.7597501706</v>
      </c>
    </row>
    <row r="128" spans="6:26" x14ac:dyDescent="0.2">
      <c r="F128" s="170" t="s">
        <v>64</v>
      </c>
      <c r="G128" s="171"/>
      <c r="H128" s="172"/>
      <c r="I128" s="48">
        <f>SUM(I124:I127)</f>
        <v>36997766.055862091</v>
      </c>
    </row>
    <row r="129" spans="6:10" x14ac:dyDescent="0.2">
      <c r="F129" s="158"/>
      <c r="G129" s="159"/>
      <c r="H129" s="160"/>
      <c r="I129" s="42"/>
    </row>
    <row r="130" spans="6:10" x14ac:dyDescent="0.2">
      <c r="F130" s="158" t="s">
        <v>69</v>
      </c>
      <c r="G130" s="159"/>
      <c r="H130" s="160"/>
      <c r="I130" s="42" t="e">
        <f>+#REF!</f>
        <v>#REF!</v>
      </c>
    </row>
    <row r="131" spans="6:10" x14ac:dyDescent="0.2">
      <c r="F131" s="158" t="s">
        <v>70</v>
      </c>
      <c r="G131" s="159"/>
      <c r="H131" s="160"/>
      <c r="I131" s="42" t="e">
        <f>+#REF!</f>
        <v>#REF!</v>
      </c>
    </row>
    <row r="132" spans="6:10" x14ac:dyDescent="0.2">
      <c r="F132" s="158" t="s">
        <v>71</v>
      </c>
      <c r="G132" s="159"/>
      <c r="H132" s="160"/>
      <c r="I132" s="42" t="e">
        <f>+#REF!+#REF!</f>
        <v>#REF!</v>
      </c>
    </row>
    <row r="133" spans="6:10" x14ac:dyDescent="0.2">
      <c r="F133" s="170" t="s">
        <v>68</v>
      </c>
      <c r="G133" s="171"/>
      <c r="H133" s="172"/>
      <c r="I133" s="48" t="e">
        <f>SUM(I130:I132)</f>
        <v>#REF!</v>
      </c>
    </row>
    <row r="134" spans="6:10" x14ac:dyDescent="0.2">
      <c r="F134" s="158"/>
      <c r="G134" s="159"/>
      <c r="H134" s="160"/>
      <c r="I134" s="42"/>
    </row>
    <row r="135" spans="6:10" x14ac:dyDescent="0.2">
      <c r="F135" s="158" t="s">
        <v>43</v>
      </c>
      <c r="G135" s="159"/>
      <c r="H135" s="160"/>
      <c r="I135" s="42">
        <f>+J89</f>
        <v>73963.552740000028</v>
      </c>
    </row>
    <row r="136" spans="6:10" x14ac:dyDescent="0.2">
      <c r="F136" s="170" t="s">
        <v>72</v>
      </c>
      <c r="G136" s="171"/>
      <c r="H136" s="172"/>
      <c r="I136" s="48">
        <f>SUM(I135)</f>
        <v>73963.552740000028</v>
      </c>
    </row>
    <row r="137" spans="6:10" x14ac:dyDescent="0.2">
      <c r="F137" s="42"/>
      <c r="G137" s="42"/>
      <c r="H137" s="42"/>
      <c r="I137" s="42"/>
    </row>
    <row r="138" spans="6:10" x14ac:dyDescent="0.2">
      <c r="F138" s="170" t="s">
        <v>6</v>
      </c>
      <c r="G138" s="171"/>
      <c r="H138" s="172"/>
      <c r="I138" s="48" t="e">
        <f>+I136+I133+I128</f>
        <v>#REF!</v>
      </c>
      <c r="J138" s="28">
        <f>+M107</f>
        <v>40440667.790389434</v>
      </c>
    </row>
    <row r="139" spans="6:10" x14ac:dyDescent="0.2">
      <c r="J139" s="28" t="e">
        <f>+I138-J138</f>
        <v>#REF!</v>
      </c>
    </row>
  </sheetData>
  <mergeCells count="94">
    <mergeCell ref="K9:K20"/>
    <mergeCell ref="K21:K32"/>
    <mergeCell ref="K33:K44"/>
    <mergeCell ref="K45:K56"/>
    <mergeCell ref="F9:F17"/>
    <mergeCell ref="F18:F29"/>
    <mergeCell ref="F30:F41"/>
    <mergeCell ref="F42:F53"/>
    <mergeCell ref="F54:F65"/>
    <mergeCell ref="A1:E1"/>
    <mergeCell ref="A9:A17"/>
    <mergeCell ref="B18:B29"/>
    <mergeCell ref="A18:A29"/>
    <mergeCell ref="A30:A41"/>
    <mergeCell ref="A2:B2"/>
    <mergeCell ref="D2:E2"/>
    <mergeCell ref="K81:K86"/>
    <mergeCell ref="A78:A88"/>
    <mergeCell ref="B78:B88"/>
    <mergeCell ref="B30:B41"/>
    <mergeCell ref="A42:A53"/>
    <mergeCell ref="B42:B53"/>
    <mergeCell ref="A54:A65"/>
    <mergeCell ref="B54:B65"/>
    <mergeCell ref="A66:A77"/>
    <mergeCell ref="B66:B77"/>
    <mergeCell ref="C75:C77"/>
    <mergeCell ref="C42:C44"/>
    <mergeCell ref="C45:C47"/>
    <mergeCell ref="C48:C50"/>
    <mergeCell ref="F2:G2"/>
    <mergeCell ref="Q1:Q6"/>
    <mergeCell ref="S1:S6"/>
    <mergeCell ref="Z1:Z6"/>
    <mergeCell ref="L2:N2"/>
    <mergeCell ref="O1:P1"/>
    <mergeCell ref="L1:N1"/>
    <mergeCell ref="X1:X6"/>
    <mergeCell ref="F1:J1"/>
    <mergeCell ref="Y1:Y3"/>
    <mergeCell ref="T1:T6"/>
    <mergeCell ref="U1:U6"/>
    <mergeCell ref="R1:R6"/>
    <mergeCell ref="V1:V6"/>
    <mergeCell ref="W1:W6"/>
    <mergeCell ref="C84:C86"/>
    <mergeCell ref="C60:C62"/>
    <mergeCell ref="C63:C65"/>
    <mergeCell ref="B9:B17"/>
    <mergeCell ref="C66:C68"/>
    <mergeCell ref="C69:C71"/>
    <mergeCell ref="C27:C29"/>
    <mergeCell ref="C30:C32"/>
    <mergeCell ref="C33:C35"/>
    <mergeCell ref="C36:C38"/>
    <mergeCell ref="C9:C11"/>
    <mergeCell ref="C12:C14"/>
    <mergeCell ref="C51:C53"/>
    <mergeCell ref="C54:C56"/>
    <mergeCell ref="C57:C59"/>
    <mergeCell ref="C78:C80"/>
    <mergeCell ref="C15:C17"/>
    <mergeCell ref="C18:C20"/>
    <mergeCell ref="C21:C23"/>
    <mergeCell ref="C72:C74"/>
    <mergeCell ref="C81:C83"/>
    <mergeCell ref="C24:C26"/>
    <mergeCell ref="C39:C41"/>
    <mergeCell ref="F133:H133"/>
    <mergeCell ref="F134:H134"/>
    <mergeCell ref="F135:H135"/>
    <mergeCell ref="F136:H136"/>
    <mergeCell ref="F138:H138"/>
    <mergeCell ref="F129:H129"/>
    <mergeCell ref="F130:H130"/>
    <mergeCell ref="F131:H131"/>
    <mergeCell ref="F132:H132"/>
    <mergeCell ref="G96:H96"/>
    <mergeCell ref="F124:H124"/>
    <mergeCell ref="F125:H125"/>
    <mergeCell ref="F126:H126"/>
    <mergeCell ref="F127:H127"/>
    <mergeCell ref="F128:H128"/>
    <mergeCell ref="F66:F77"/>
    <mergeCell ref="I98:K98"/>
    <mergeCell ref="I99:K99"/>
    <mergeCell ref="K100:L100"/>
    <mergeCell ref="G91:G92"/>
    <mergeCell ref="F91:F92"/>
    <mergeCell ref="G95:H95"/>
    <mergeCell ref="F93:H93"/>
    <mergeCell ref="F94:H94"/>
    <mergeCell ref="K57:K68"/>
    <mergeCell ref="K69:K80"/>
  </mergeCells>
  <pageMargins left="0.70866141732283472" right="0.70866141732283472" top="0.74803149606299213" bottom="0.74803149606299213" header="0.31496062992125984" footer="0.31496062992125984"/>
  <pageSetup paperSize="3" scale="43" orientation="landscape" r:id="rId1"/>
  <colBreaks count="1" manualBreakCount="1">
    <brk id="18" max="88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5244D-3B2F-4C7E-A45E-819C9B28560A}">
  <sheetPr>
    <tabColor rgb="FF00B050"/>
  </sheetPr>
  <dimension ref="A1:AG21"/>
  <sheetViews>
    <sheetView topLeftCell="A7" zoomScale="84" zoomScaleNormal="84" workbookViewId="0">
      <selection activeCell="V9" sqref="V9"/>
    </sheetView>
  </sheetViews>
  <sheetFormatPr baseColWidth="10" defaultRowHeight="15" x14ac:dyDescent="0.2"/>
  <cols>
    <col min="2" max="2" width="60.6640625" bestFit="1" customWidth="1"/>
    <col min="4" max="4" width="6" bestFit="1" customWidth="1"/>
    <col min="5" max="6" width="11.33203125" customWidth="1"/>
    <col min="7" max="8" width="10.5" bestFit="1" customWidth="1"/>
    <col min="9" max="10" width="6" bestFit="1" customWidth="1"/>
    <col min="11" max="11" width="6.6640625" bestFit="1" customWidth="1"/>
    <col min="12" max="12" width="10.1640625" bestFit="1" customWidth="1"/>
    <col min="13" max="13" width="7.33203125" bestFit="1" customWidth="1"/>
    <col min="14" max="14" width="9.6640625" bestFit="1" customWidth="1"/>
    <col min="15" max="15" width="9" bestFit="1" customWidth="1"/>
    <col min="16" max="16" width="6" bestFit="1" customWidth="1"/>
    <col min="17" max="17" width="7.1640625" bestFit="1" customWidth="1"/>
    <col min="18" max="22" width="6" bestFit="1" customWidth="1"/>
    <col min="23" max="23" width="6.6640625" bestFit="1" customWidth="1"/>
    <col min="24" max="24" width="10.1640625" bestFit="1" customWidth="1"/>
    <col min="25" max="25" width="7.33203125" bestFit="1" customWidth="1"/>
    <col min="26" max="26" width="9.6640625" bestFit="1" customWidth="1"/>
    <col min="27" max="27" width="9" bestFit="1" customWidth="1"/>
  </cols>
  <sheetData>
    <row r="1" spans="1:33" x14ac:dyDescent="0.2">
      <c r="D1" s="178" t="s">
        <v>14</v>
      </c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9">
        <v>2022</v>
      </c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77" t="s">
        <v>99</v>
      </c>
      <c r="AC1" s="177"/>
      <c r="AD1" s="177"/>
      <c r="AE1" s="177"/>
      <c r="AF1" s="177"/>
      <c r="AG1" s="177"/>
    </row>
    <row r="2" spans="1:33" x14ac:dyDescent="0.2">
      <c r="D2" s="9" t="s">
        <v>15</v>
      </c>
      <c r="E2" s="10" t="s">
        <v>16</v>
      </c>
      <c r="F2" s="10" t="s">
        <v>17</v>
      </c>
      <c r="G2" s="9" t="s">
        <v>18</v>
      </c>
      <c r="H2" s="10" t="s">
        <v>19</v>
      </c>
      <c r="I2" s="10" t="s">
        <v>20</v>
      </c>
      <c r="J2" s="9" t="s">
        <v>21</v>
      </c>
      <c r="K2" s="10" t="s">
        <v>22</v>
      </c>
      <c r="L2" s="10" t="s">
        <v>23</v>
      </c>
      <c r="M2" s="9" t="s">
        <v>24</v>
      </c>
      <c r="N2" s="10" t="s">
        <v>25</v>
      </c>
      <c r="O2" s="10" t="s">
        <v>26</v>
      </c>
      <c r="P2" s="9" t="s">
        <v>15</v>
      </c>
      <c r="Q2" s="11" t="s">
        <v>16</v>
      </c>
      <c r="R2" s="8" t="s">
        <v>17</v>
      </c>
      <c r="S2" s="9" t="s">
        <v>18</v>
      </c>
      <c r="T2" s="9" t="s">
        <v>19</v>
      </c>
      <c r="U2" s="8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120" t="s">
        <v>15</v>
      </c>
      <c r="AC2" s="120" t="s">
        <v>16</v>
      </c>
      <c r="AD2" s="120" t="s">
        <v>93</v>
      </c>
      <c r="AE2" s="120" t="s">
        <v>94</v>
      </c>
      <c r="AF2" s="120" t="s">
        <v>95</v>
      </c>
      <c r="AG2" s="120" t="s">
        <v>96</v>
      </c>
    </row>
    <row r="3" spans="1:33" x14ac:dyDescent="0.2">
      <c r="A3" s="13">
        <v>530202</v>
      </c>
      <c r="B3" s="15" t="s">
        <v>27</v>
      </c>
      <c r="C3" s="14">
        <v>5.7809999999999997</v>
      </c>
      <c r="D3" s="14">
        <v>101.256</v>
      </c>
      <c r="E3" s="16">
        <v>101.976</v>
      </c>
      <c r="F3" s="16">
        <v>102.364</v>
      </c>
      <c r="G3" s="16">
        <v>102.98099999999999</v>
      </c>
      <c r="H3" s="16">
        <v>103.39100000000001</v>
      </c>
      <c r="I3" s="16">
        <v>103.69199999999999</v>
      </c>
      <c r="J3" s="17">
        <v>104.517</v>
      </c>
      <c r="K3" s="17">
        <v>104.688</v>
      </c>
      <c r="L3" s="17">
        <v>104.90900000000001</v>
      </c>
      <c r="M3" s="17">
        <v>105.26</v>
      </c>
      <c r="N3" s="17">
        <v>105.883</v>
      </c>
      <c r="O3" s="17">
        <v>106.258</v>
      </c>
      <c r="P3" s="17">
        <f>+Z7</f>
        <v>108.01</v>
      </c>
      <c r="Q3" s="17">
        <f>+Z8</f>
        <v>108.99</v>
      </c>
      <c r="R3" s="17">
        <f>+Z9</f>
        <v>111.37</v>
      </c>
      <c r="S3" s="17">
        <f>+Z10</f>
        <v>112.29</v>
      </c>
      <c r="T3" s="17">
        <f>+Z11</f>
        <v>114.7</v>
      </c>
      <c r="U3" s="17">
        <f>+Z12</f>
        <v>115.19</v>
      </c>
      <c r="V3" s="17">
        <f>+Z13</f>
        <v>115.74</v>
      </c>
      <c r="W3" s="18">
        <f>+Z14</f>
        <v>116.21</v>
      </c>
      <c r="X3" s="60">
        <f>+Z15</f>
        <v>116.06</v>
      </c>
      <c r="Y3" s="60">
        <f>+Z16</f>
        <v>116.77</v>
      </c>
      <c r="Z3" s="60">
        <f>+Z17</f>
        <v>117.05</v>
      </c>
      <c r="AA3" s="60">
        <f>+Z18</f>
        <v>116.92</v>
      </c>
      <c r="AB3">
        <f>+AA3*(1+$D$8)</f>
        <v>117.21131678866237</v>
      </c>
      <c r="AC3">
        <f t="shared" ref="AC3:AD3" si="0">+AB3*(1+$D$8)</f>
        <v>117.50335941953614</v>
      </c>
      <c r="AD3">
        <f t="shared" si="0"/>
        <v>117.79612970112304</v>
      </c>
      <c r="AE3">
        <f t="shared" ref="AE3:AG3" si="1">+AD3*(1+$D$8)</f>
        <v>118.08962944643083</v>
      </c>
      <c r="AF3">
        <f t="shared" si="1"/>
        <v>118.38386047298458</v>
      </c>
      <c r="AG3">
        <f t="shared" si="1"/>
        <v>118.67882460283785</v>
      </c>
    </row>
    <row r="4" spans="1:33" x14ac:dyDescent="0.2">
      <c r="E4" s="3">
        <f>+(E3-D3)/D3</f>
        <v>7.1106897369044688E-3</v>
      </c>
      <c r="F4" s="3">
        <f t="shared" ref="F4:AA4" si="2">+(F3-E3)/E3</f>
        <v>3.8048168196438891E-3</v>
      </c>
      <c r="G4" s="3">
        <f t="shared" si="2"/>
        <v>6.0275096713687448E-3</v>
      </c>
      <c r="H4" s="3">
        <f t="shared" si="2"/>
        <v>3.9813169419602723E-3</v>
      </c>
      <c r="I4" s="3">
        <f t="shared" si="2"/>
        <v>2.9112785445540492E-3</v>
      </c>
      <c r="J4" s="3">
        <f t="shared" si="2"/>
        <v>7.9562550630714324E-3</v>
      </c>
      <c r="K4" s="3">
        <f t="shared" si="2"/>
        <v>1.6360974769655317E-3</v>
      </c>
      <c r="L4" s="3">
        <f t="shared" si="2"/>
        <v>2.1110346935656775E-3</v>
      </c>
      <c r="M4" s="3">
        <f t="shared" si="2"/>
        <v>3.3457567987493836E-3</v>
      </c>
      <c r="N4" s="3">
        <f t="shared" si="2"/>
        <v>5.9186775603267188E-3</v>
      </c>
      <c r="O4" s="3">
        <f t="shared" si="2"/>
        <v>3.5416450232804136E-3</v>
      </c>
      <c r="P4" s="50">
        <f t="shared" si="2"/>
        <v>1.6488170302471433E-2</v>
      </c>
      <c r="Q4" s="3">
        <f t="shared" si="2"/>
        <v>9.07323395981844E-3</v>
      </c>
      <c r="R4" s="50">
        <f t="shared" si="2"/>
        <v>2.1836865767501695E-2</v>
      </c>
      <c r="S4" s="3">
        <f t="shared" si="2"/>
        <v>8.2607524467989742E-3</v>
      </c>
      <c r="T4" s="50">
        <f t="shared" si="2"/>
        <v>2.146228515451061E-2</v>
      </c>
      <c r="U4" s="3">
        <f t="shared" si="2"/>
        <v>4.2720139494332593E-3</v>
      </c>
      <c r="V4" s="3">
        <f t="shared" si="2"/>
        <v>4.774720027780165E-3</v>
      </c>
      <c r="W4" s="3">
        <f t="shared" si="2"/>
        <v>4.0608259892863218E-3</v>
      </c>
      <c r="X4" s="3">
        <f t="shared" si="2"/>
        <v>-1.2907667154288915E-3</v>
      </c>
      <c r="Y4" s="3">
        <f t="shared" si="2"/>
        <v>6.117525417887246E-3</v>
      </c>
      <c r="Z4" s="3">
        <f t="shared" si="2"/>
        <v>2.3978761668236805E-3</v>
      </c>
      <c r="AA4" s="3">
        <f t="shared" si="2"/>
        <v>-1.110636480136655E-3</v>
      </c>
      <c r="AB4" s="3">
        <f t="shared" ref="AB4" si="3">+(AB3-AA3)/AA3</f>
        <v>2.4915907343685518E-3</v>
      </c>
      <c r="AC4" s="3">
        <f t="shared" ref="AC4" si="4">+(AC3-AB3)/AB3</f>
        <v>2.4915907343685327E-3</v>
      </c>
      <c r="AD4" s="3">
        <f t="shared" ref="AD4" si="5">+(AD3-AC3)/AC3</f>
        <v>2.4915907343685769E-3</v>
      </c>
      <c r="AE4" s="3">
        <f t="shared" ref="AE4" si="6">+(AE3-AD3)/AD3</f>
        <v>2.4915907343685856E-3</v>
      </c>
      <c r="AF4" s="3">
        <f t="shared" ref="AF4" si="7">+(AF3-AE3)/AE3</f>
        <v>2.4915907343685774E-3</v>
      </c>
      <c r="AG4" s="3">
        <f t="shared" ref="AG4" si="8">+(AG3-AF3)/AF3</f>
        <v>2.4915907343685678E-3</v>
      </c>
    </row>
    <row r="5" spans="1:33" ht="32" x14ac:dyDescent="0.2">
      <c r="G5" s="121" t="s">
        <v>88</v>
      </c>
      <c r="H5" s="121" t="s">
        <v>38</v>
      </c>
    </row>
    <row r="6" spans="1:33" x14ac:dyDescent="0.2">
      <c r="D6" s="12"/>
      <c r="G6" s="12"/>
      <c r="H6" s="12"/>
      <c r="I6" s="12"/>
      <c r="J6" s="12"/>
      <c r="L6" s="3"/>
      <c r="AB6" s="5" t="s">
        <v>97</v>
      </c>
      <c r="AC6" s="5"/>
      <c r="AD6" s="5"/>
      <c r="AE6" s="5"/>
      <c r="AF6" s="5">
        <f>+AD3</f>
        <v>117.79612970112304</v>
      </c>
    </row>
    <row r="7" spans="1:33" x14ac:dyDescent="0.2">
      <c r="D7" s="3"/>
      <c r="E7" s="176" t="s">
        <v>89</v>
      </c>
      <c r="F7" s="176"/>
      <c r="G7" s="12">
        <f>+AVERAGE(P4:AA4)</f>
        <v>8.0285721655621901E-3</v>
      </c>
      <c r="H7" s="12">
        <f>+SUM(P4:AA4)</f>
        <v>9.6342865986746282E-2</v>
      </c>
      <c r="I7" s="12"/>
      <c r="J7" s="12"/>
      <c r="Y7" s="122">
        <v>44562</v>
      </c>
      <c r="Z7" s="123">
        <v>108.01</v>
      </c>
      <c r="AB7" s="5" t="s">
        <v>98</v>
      </c>
      <c r="AC7" s="5"/>
      <c r="AD7" s="5"/>
      <c r="AE7" s="5"/>
      <c r="AF7" s="5">
        <f>+AG3</f>
        <v>118.67882460283785</v>
      </c>
    </row>
    <row r="8" spans="1:33" x14ac:dyDescent="0.2">
      <c r="B8" s="12">
        <f>+G9</f>
        <v>2.4682550348580903E-3</v>
      </c>
      <c r="C8" s="2" t="s">
        <v>92</v>
      </c>
      <c r="D8" s="38">
        <f>+G8</f>
        <v>2.4915907343686446E-3</v>
      </c>
      <c r="E8" s="176" t="s">
        <v>90</v>
      </c>
      <c r="F8" s="176"/>
      <c r="G8" s="12">
        <f>+AVERAGE(V4:AA4)</f>
        <v>2.4915907343686446E-3</v>
      </c>
      <c r="H8" s="12">
        <f>+SUM(V4:AA4)</f>
        <v>1.4949544406211868E-2</v>
      </c>
      <c r="I8" s="12"/>
      <c r="J8" s="12"/>
      <c r="Y8" s="122">
        <v>44593</v>
      </c>
      <c r="Z8" s="124">
        <v>108.99</v>
      </c>
    </row>
    <row r="9" spans="1:33" x14ac:dyDescent="0.2">
      <c r="C9" s="2"/>
      <c r="D9" s="12"/>
      <c r="E9" s="176" t="s">
        <v>91</v>
      </c>
      <c r="F9" s="176"/>
      <c r="G9" s="12">
        <f>+AVERAGE(Y4:AA4)</f>
        <v>2.4682550348580903E-3</v>
      </c>
      <c r="H9" s="12">
        <f>+SUM(Y4:AA4)</f>
        <v>7.4047651045742709E-3</v>
      </c>
      <c r="I9" s="12"/>
      <c r="J9" s="12"/>
      <c r="Y9" s="122">
        <v>44621</v>
      </c>
      <c r="Z9" s="123">
        <v>111.37</v>
      </c>
    </row>
    <row r="10" spans="1:33" x14ac:dyDescent="0.2">
      <c r="C10" s="2"/>
      <c r="G10" s="12"/>
      <c r="I10" s="12"/>
      <c r="Y10" s="122">
        <v>44652</v>
      </c>
      <c r="Z10" s="124">
        <v>112.29</v>
      </c>
    </row>
    <row r="11" spans="1:33" x14ac:dyDescent="0.2">
      <c r="Y11" s="122">
        <v>44682</v>
      </c>
      <c r="Z11" s="123">
        <v>114.7</v>
      </c>
    </row>
    <row r="12" spans="1:33" x14ac:dyDescent="0.2">
      <c r="C12" s="2"/>
      <c r="Y12" s="122">
        <v>44713</v>
      </c>
      <c r="Z12" s="124">
        <v>115.19</v>
      </c>
    </row>
    <row r="13" spans="1:33" x14ac:dyDescent="0.2">
      <c r="Y13" s="122">
        <v>44743</v>
      </c>
      <c r="Z13" s="123">
        <v>115.74</v>
      </c>
    </row>
    <row r="14" spans="1:33" x14ac:dyDescent="0.2">
      <c r="Y14" s="122">
        <v>44774</v>
      </c>
      <c r="Z14" s="124">
        <v>116.21</v>
      </c>
    </row>
    <row r="15" spans="1:33" x14ac:dyDescent="0.2">
      <c r="Y15" s="122">
        <v>44805</v>
      </c>
      <c r="Z15" s="123">
        <v>116.06</v>
      </c>
    </row>
    <row r="16" spans="1:33" x14ac:dyDescent="0.2">
      <c r="Y16" s="122">
        <v>44835</v>
      </c>
      <c r="Z16" s="124">
        <v>116.77</v>
      </c>
    </row>
    <row r="17" spans="25:26" x14ac:dyDescent="0.2">
      <c r="Y17" s="122">
        <v>44866</v>
      </c>
      <c r="Z17" s="123">
        <v>117.05</v>
      </c>
    </row>
    <row r="18" spans="25:26" x14ac:dyDescent="0.2">
      <c r="Y18" s="122">
        <v>44896</v>
      </c>
      <c r="Z18" s="124">
        <v>116.92</v>
      </c>
    </row>
    <row r="19" spans="25:26" x14ac:dyDescent="0.2">
      <c r="Y19" s="2"/>
    </row>
    <row r="20" spans="25:26" x14ac:dyDescent="0.2">
      <c r="Y20" s="2"/>
    </row>
    <row r="21" spans="25:26" x14ac:dyDescent="0.2">
      <c r="Y21" s="2"/>
    </row>
  </sheetData>
  <mergeCells count="6">
    <mergeCell ref="E8:F8"/>
    <mergeCell ref="E9:F9"/>
    <mergeCell ref="AB1:AG1"/>
    <mergeCell ref="D1:O1"/>
    <mergeCell ref="P1:AA1"/>
    <mergeCell ref="E7:F7"/>
  </mergeCells>
  <phoneticPr fontId="8" type="noConversion"/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modelo (2)</vt:lpstr>
      <vt:lpstr>modelo</vt:lpstr>
      <vt:lpstr>Tabla de reajustes</vt:lpstr>
      <vt:lpstr>modelo!Área_de_impresión</vt:lpstr>
      <vt:lpstr>'modelo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trujillo</dc:creator>
  <cp:lastModifiedBy>Paola Fontalvo</cp:lastModifiedBy>
  <cp:lastPrinted>2023-02-01T00:36:56Z</cp:lastPrinted>
  <dcterms:created xsi:type="dcterms:W3CDTF">2022-10-20T12:24:57Z</dcterms:created>
  <dcterms:modified xsi:type="dcterms:W3CDTF">2023-03-31T21:01:14Z</dcterms:modified>
</cp:coreProperties>
</file>