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drawings/drawing2.xml" ContentType="application/vnd.openxmlformats-officedocument.drawing+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xl/drawings/drawing3.xml" ContentType="application/vnd.openxmlformats-officedocument.drawing+xml"/>
  <Override PartName="/xl/charts/chart56.xml" ContentType="application/vnd.openxmlformats-officedocument.drawingml.chart+xml"/>
  <Override PartName="/xl/charts/style56.xml" ContentType="application/vnd.ms-office.chartstyle+xml"/>
  <Override PartName="/xl/charts/colors56.xml" ContentType="application/vnd.ms-office.chartcolorstyle+xml"/>
  <Override PartName="/xl/charts/chart57.xml" ContentType="application/vnd.openxmlformats-officedocument.drawingml.chart+xml"/>
  <Override PartName="/xl/charts/style57.xml" ContentType="application/vnd.ms-office.chartstyle+xml"/>
  <Override PartName="/xl/charts/colors57.xml" ContentType="application/vnd.ms-office.chartcolorstyle+xml"/>
  <Override PartName="/xl/charts/chart58.xml" ContentType="application/vnd.openxmlformats-officedocument.drawingml.chart+xml"/>
  <Override PartName="/xl/charts/style58.xml" ContentType="application/vnd.ms-office.chartstyle+xml"/>
  <Override PartName="/xl/charts/colors58.xml" ContentType="application/vnd.ms-office.chartcolorstyle+xml"/>
  <Override PartName="/xl/charts/chart59.xml" ContentType="application/vnd.openxmlformats-officedocument.drawingml.chart+xml"/>
  <Override PartName="/xl/charts/style59.xml" ContentType="application/vnd.ms-office.chartstyle+xml"/>
  <Override PartName="/xl/charts/colors59.xml" ContentType="application/vnd.ms-office.chartcolorstyle+xml"/>
  <Override PartName="/xl/charts/chart60.xml" ContentType="application/vnd.openxmlformats-officedocument.drawingml.chart+xml"/>
  <Override PartName="/xl/charts/style60.xml" ContentType="application/vnd.ms-office.chartstyle+xml"/>
  <Override PartName="/xl/charts/colors60.xml" ContentType="application/vnd.ms-office.chartcolorstyle+xml"/>
  <Override PartName="/xl/drawings/drawing4.xml" ContentType="application/vnd.openxmlformats-officedocument.drawing+xml"/>
  <Override PartName="/xl/charts/chart61.xml" ContentType="application/vnd.openxmlformats-officedocument.drawingml.chart+xml"/>
  <Override PartName="/xl/charts/style61.xml" ContentType="application/vnd.ms-office.chartstyle+xml"/>
  <Override PartName="/xl/charts/colors61.xml" ContentType="application/vnd.ms-office.chartcolorstyle+xml"/>
  <Override PartName="/xl/charts/chart62.xml" ContentType="application/vnd.openxmlformats-officedocument.drawingml.chart+xml"/>
  <Override PartName="/xl/charts/style62.xml" ContentType="application/vnd.ms-office.chartstyle+xml"/>
  <Override PartName="/xl/charts/colors62.xml" ContentType="application/vnd.ms-office.chartcolorstyle+xml"/>
  <Override PartName="/xl/charts/chart63.xml" ContentType="application/vnd.openxmlformats-officedocument.drawingml.chart+xml"/>
  <Override PartName="/xl/charts/style63.xml" ContentType="application/vnd.ms-office.chartstyle+xml"/>
  <Override PartName="/xl/charts/colors63.xml" ContentType="application/vnd.ms-office.chartcolorstyle+xml"/>
  <Override PartName="/xl/charts/chart64.xml" ContentType="application/vnd.openxmlformats-officedocument.drawingml.chart+xml"/>
  <Override PartName="/xl/charts/style64.xml" ContentType="application/vnd.ms-office.chartstyle+xml"/>
  <Override PartName="/xl/charts/colors64.xml" ContentType="application/vnd.ms-office.chartcolorstyle+xml"/>
  <Override PartName="/xl/charts/chart65.xml" ContentType="application/vnd.openxmlformats-officedocument.drawingml.chart+xml"/>
  <Override PartName="/xl/charts/style65.xml" ContentType="application/vnd.ms-office.chartstyle+xml"/>
  <Override PartName="/xl/charts/colors65.xml" ContentType="application/vnd.ms-office.chartcolorstyle+xml"/>
  <Override PartName="/xl/charts/chart66.xml" ContentType="application/vnd.openxmlformats-officedocument.drawingml.chart+xml"/>
  <Override PartName="/xl/charts/style66.xml" ContentType="application/vnd.ms-office.chartstyle+xml"/>
  <Override PartName="/xl/charts/colors66.xml" ContentType="application/vnd.ms-office.chartcolorstyle+xml"/>
  <Override PartName="/xl/charts/chart67.xml" ContentType="application/vnd.openxmlformats-officedocument.drawingml.chart+xml"/>
  <Override PartName="/xl/charts/style67.xml" ContentType="application/vnd.ms-office.chartstyle+xml"/>
  <Override PartName="/xl/charts/colors67.xml" ContentType="application/vnd.ms-office.chartcolorstyle+xml"/>
  <Override PartName="/xl/charts/chart68.xml" ContentType="application/vnd.openxmlformats-officedocument.drawingml.chart+xml"/>
  <Override PartName="/xl/charts/style68.xml" ContentType="application/vnd.ms-office.chartstyle+xml"/>
  <Override PartName="/xl/charts/colors68.xml" ContentType="application/vnd.ms-office.chartcolorstyle+xml"/>
  <Override PartName="/xl/drawings/drawing5.xml" ContentType="application/vnd.openxmlformats-officedocument.drawing+xml"/>
  <Override PartName="/xl/charts/chart69.xml" ContentType="application/vnd.openxmlformats-officedocument.drawingml.chart+xml"/>
  <Override PartName="/xl/charts/style69.xml" ContentType="application/vnd.ms-office.chartstyle+xml"/>
  <Override PartName="/xl/charts/colors69.xml" ContentType="application/vnd.ms-office.chartcolorstyle+xml"/>
  <Override PartName="/xl/charts/chart70.xml" ContentType="application/vnd.openxmlformats-officedocument.drawingml.chart+xml"/>
  <Override PartName="/xl/charts/style70.xml" ContentType="application/vnd.ms-office.chartstyle+xml"/>
  <Override PartName="/xl/charts/colors70.xml" ContentType="application/vnd.ms-office.chartcolorstyle+xml"/>
  <Override PartName="/xl/drawings/drawing6.xml" ContentType="application/vnd.openxmlformats-officedocument.drawing+xml"/>
  <Override PartName="/xl/charts/chart71.xml" ContentType="application/vnd.openxmlformats-officedocument.drawingml.chart+xml"/>
  <Override PartName="/xl/charts/style71.xml" ContentType="application/vnd.ms-office.chartstyle+xml"/>
  <Override PartName="/xl/charts/colors71.xml" ContentType="application/vnd.ms-office.chartcolorstyle+xml"/>
  <Override PartName="/xl/charts/chart72.xml" ContentType="application/vnd.openxmlformats-officedocument.drawingml.chart+xml"/>
  <Override PartName="/xl/charts/style72.xml" ContentType="application/vnd.ms-office.chartstyle+xml"/>
  <Override PartName="/xl/charts/colors72.xml" ContentType="application/vnd.ms-office.chartcolorstyle+xml"/>
  <Override PartName="/xl/drawings/drawing7.xml" ContentType="application/vnd.openxmlformats-officedocument.drawing+xml"/>
  <Override PartName="/xl/charts/chart73.xml" ContentType="application/vnd.openxmlformats-officedocument.drawingml.chart+xml"/>
  <Override PartName="/xl/charts/style73.xml" ContentType="application/vnd.ms-office.chartstyle+xml"/>
  <Override PartName="/xl/charts/colors73.xml" ContentType="application/vnd.ms-office.chartcolorstyle+xml"/>
  <Override PartName="/xl/charts/chart74.xml" ContentType="application/vnd.openxmlformats-officedocument.drawingml.chart+xml"/>
  <Override PartName="/xl/charts/style74.xml" ContentType="application/vnd.ms-office.chartstyle+xml"/>
  <Override PartName="/xl/charts/colors74.xml" ContentType="application/vnd.ms-office.chartcolorstyle+xml"/>
  <Override PartName="/xl/charts/chart75.xml" ContentType="application/vnd.openxmlformats-officedocument.drawingml.chart+xml"/>
  <Override PartName="/xl/charts/style75.xml" ContentType="application/vnd.ms-office.chartstyle+xml"/>
  <Override PartName="/xl/charts/colors75.xml" ContentType="application/vnd.ms-office.chartcolorstyle+xml"/>
  <Override PartName="/xl/charts/chart76.xml" ContentType="application/vnd.openxmlformats-officedocument.drawingml.chart+xml"/>
  <Override PartName="/xl/charts/style76.xml" ContentType="application/vnd.ms-office.chartstyle+xml"/>
  <Override PartName="/xl/charts/colors76.xml" ContentType="application/vnd.ms-office.chartcolorstyle+xml"/>
  <Override PartName="/xl/drawings/drawing8.xml" ContentType="application/vnd.openxmlformats-officedocument.drawing+xml"/>
  <Override PartName="/xl/charts/chart77.xml" ContentType="application/vnd.openxmlformats-officedocument.drawingml.chart+xml"/>
  <Override PartName="/xl/charts/style77.xml" ContentType="application/vnd.ms-office.chartstyle+xml"/>
  <Override PartName="/xl/charts/colors77.xml" ContentType="application/vnd.ms-office.chartcolorstyle+xml"/>
  <Override PartName="/xl/charts/chart78.xml" ContentType="application/vnd.openxmlformats-officedocument.drawingml.chart+xml"/>
  <Override PartName="/xl/charts/style78.xml" ContentType="application/vnd.ms-office.chartstyle+xml"/>
  <Override PartName="/xl/charts/colors78.xml" ContentType="application/vnd.ms-office.chartcolorstyle+xml"/>
  <Override PartName="/xl/charts/chart79.xml" ContentType="application/vnd.openxmlformats-officedocument.drawingml.chart+xml"/>
  <Override PartName="/xl/charts/style79.xml" ContentType="application/vnd.ms-office.chartstyle+xml"/>
  <Override PartName="/xl/charts/colors79.xml" ContentType="application/vnd.ms-office.chartcolorstyle+xml"/>
  <Override PartName="/xl/charts/chart80.xml" ContentType="application/vnd.openxmlformats-officedocument.drawingml.chart+xml"/>
  <Override PartName="/xl/charts/style80.xml" ContentType="application/vnd.ms-office.chartstyle+xml"/>
  <Override PartName="/xl/charts/colors80.xml" ContentType="application/vnd.ms-office.chartcolorstyle+xml"/>
  <Override PartName="/xl/charts/chart81.xml" ContentType="application/vnd.openxmlformats-officedocument.drawingml.chart+xml"/>
  <Override PartName="/xl/charts/style81.xml" ContentType="application/vnd.ms-office.chartstyle+xml"/>
  <Override PartName="/xl/charts/colors81.xml" ContentType="application/vnd.ms-office.chartcolorstyle+xml"/>
  <Override PartName="/xl/drawings/drawing9.xml" ContentType="application/vnd.openxmlformats-officedocument.drawing+xml"/>
  <Override PartName="/xl/charts/chart82.xml" ContentType="application/vnd.openxmlformats-officedocument.drawingml.chart+xml"/>
  <Override PartName="/xl/charts/style82.xml" ContentType="application/vnd.ms-office.chartstyle+xml"/>
  <Override PartName="/xl/charts/colors82.xml" ContentType="application/vnd.ms-office.chartcolorstyle+xml"/>
  <Override PartName="/xl/drawings/drawing10.xml" ContentType="application/vnd.openxmlformats-officedocument.drawing+xml"/>
  <Override PartName="/xl/charts/chart83.xml" ContentType="application/vnd.openxmlformats-officedocument.drawingml.chart+xml"/>
  <Override PartName="/xl/charts/style83.xml" ContentType="application/vnd.ms-office.chartstyle+xml"/>
  <Override PartName="/xl/charts/colors83.xml" ContentType="application/vnd.ms-office.chartcolorstyle+xml"/>
  <Override PartName="/xl/drawings/drawing11.xml" ContentType="application/vnd.openxmlformats-officedocument.drawing+xml"/>
  <Override PartName="/xl/charts/chart84.xml" ContentType="application/vnd.openxmlformats-officedocument.drawingml.chart+xml"/>
  <Override PartName="/xl/charts/style84.xml" ContentType="application/vnd.ms-office.chartstyle+xml"/>
  <Override PartName="/xl/charts/colors84.xml" ContentType="application/vnd.ms-office.chartcolorstyle+xml"/>
  <Override PartName="/xl/drawings/drawing12.xml" ContentType="application/vnd.openxmlformats-officedocument.drawing+xml"/>
  <Override PartName="/xl/charts/chart85.xml" ContentType="application/vnd.openxmlformats-officedocument.drawingml.chart+xml"/>
  <Override PartName="/xl/charts/style85.xml" ContentType="application/vnd.ms-office.chartstyle+xml"/>
  <Override PartName="/xl/charts/colors85.xml" ContentType="application/vnd.ms-office.chartcolorstyle+xml"/>
  <Override PartName="/xl/drawings/drawing13.xml" ContentType="application/vnd.openxmlformats-officedocument.drawing+xml"/>
  <Override PartName="/xl/charts/chart86.xml" ContentType="application/vnd.openxmlformats-officedocument.drawingml.chart+xml"/>
  <Override PartName="/xl/charts/style86.xml" ContentType="application/vnd.ms-office.chartstyle+xml"/>
  <Override PartName="/xl/charts/colors86.xml" ContentType="application/vnd.ms-office.chartcolorstyle+xml"/>
  <Override PartName="/xl/charts/chart87.xml" ContentType="application/vnd.openxmlformats-officedocument.drawingml.chart+xml"/>
  <Override PartName="/xl/charts/style87.xml" ContentType="application/vnd.ms-office.chartstyle+xml"/>
  <Override PartName="/xl/charts/colors87.xml" ContentType="application/vnd.ms-office.chartcolorstyle+xml"/>
  <Override PartName="/xl/charts/chart88.xml" ContentType="application/vnd.openxmlformats-officedocument.drawingml.chart+xml"/>
  <Override PartName="/xl/charts/style88.xml" ContentType="application/vnd.ms-office.chartstyle+xml"/>
  <Override PartName="/xl/charts/colors88.xml" ContentType="application/vnd.ms-office.chartcolorstyle+xml"/>
  <Override PartName="/xl/charts/chart89.xml" ContentType="application/vnd.openxmlformats-officedocument.drawingml.chart+xml"/>
  <Override PartName="/xl/charts/style89.xml" ContentType="application/vnd.ms-office.chartstyle+xml"/>
  <Override PartName="/xl/charts/colors89.xml" ContentType="application/vnd.ms-office.chartcolorstyle+xml"/>
  <Override PartName="/xl/charts/chart90.xml" ContentType="application/vnd.openxmlformats-officedocument.drawingml.chart+xml"/>
  <Override PartName="/xl/charts/style90.xml" ContentType="application/vnd.ms-office.chartstyle+xml"/>
  <Override PartName="/xl/charts/colors90.xml" ContentType="application/vnd.ms-office.chartcolorstyle+xml"/>
  <Override PartName="/xl/charts/chart91.xml" ContentType="application/vnd.openxmlformats-officedocument.drawingml.chart+xml"/>
  <Override PartName="/xl/charts/style91.xml" ContentType="application/vnd.ms-office.chartstyle+xml"/>
  <Override PartName="/xl/charts/colors91.xml" ContentType="application/vnd.ms-office.chartcolorstyle+xml"/>
  <Override PartName="/xl/charts/chart92.xml" ContentType="application/vnd.openxmlformats-officedocument.drawingml.chart+xml"/>
  <Override PartName="/xl/charts/style92.xml" ContentType="application/vnd.ms-office.chartstyle+xml"/>
  <Override PartName="/xl/charts/colors92.xml" ContentType="application/vnd.ms-office.chartcolorstyle+xml"/>
  <Override PartName="/xl/charts/chart93.xml" ContentType="application/vnd.openxmlformats-officedocument.drawingml.chart+xml"/>
  <Override PartName="/xl/charts/style93.xml" ContentType="application/vnd.ms-office.chartstyle+xml"/>
  <Override PartName="/xl/charts/colors93.xml" ContentType="application/vnd.ms-office.chartcolorstyle+xml"/>
  <Override PartName="/xl/charts/chart94.xml" ContentType="application/vnd.openxmlformats-officedocument.drawingml.chart+xml"/>
  <Override PartName="/xl/charts/style94.xml" ContentType="application/vnd.ms-office.chartstyle+xml"/>
  <Override PartName="/xl/charts/colors94.xml" ContentType="application/vnd.ms-office.chartcolorstyle+xml"/>
  <Override PartName="/xl/charts/chart95.xml" ContentType="application/vnd.openxmlformats-officedocument.drawingml.chart+xml"/>
  <Override PartName="/xl/charts/style95.xml" ContentType="application/vnd.ms-office.chartstyle+xml"/>
  <Override PartName="/xl/charts/colors95.xml" ContentType="application/vnd.ms-office.chartcolorstyle+xml"/>
  <Override PartName="/xl/charts/chart96.xml" ContentType="application/vnd.openxmlformats-officedocument.drawingml.chart+xml"/>
  <Override PartName="/xl/charts/style96.xml" ContentType="application/vnd.ms-office.chartstyle+xml"/>
  <Override PartName="/xl/charts/colors96.xml" ContentType="application/vnd.ms-office.chartcolorstyle+xml"/>
  <Override PartName="/xl/charts/chart97.xml" ContentType="application/vnd.openxmlformats-officedocument.drawingml.chart+xml"/>
  <Override PartName="/xl/charts/style97.xml" ContentType="application/vnd.ms-office.chartstyle+xml"/>
  <Override PartName="/xl/charts/colors97.xml" ContentType="application/vnd.ms-office.chartcolorstyle+xml"/>
  <Override PartName="/xl/charts/chart98.xml" ContentType="application/vnd.openxmlformats-officedocument.drawingml.chart+xml"/>
  <Override PartName="/xl/charts/style98.xml" ContentType="application/vnd.ms-office.chartstyle+xml"/>
  <Override PartName="/xl/charts/colors98.xml" ContentType="application/vnd.ms-office.chartcolorstyle+xml"/>
  <Override PartName="/xl/charts/chart99.xml" ContentType="application/vnd.openxmlformats-officedocument.drawingml.chart+xml"/>
  <Override PartName="/xl/charts/style99.xml" ContentType="application/vnd.ms-office.chartstyle+xml"/>
  <Override PartName="/xl/charts/colors99.xml" ContentType="application/vnd.ms-office.chartcolorstyle+xml"/>
  <Override PartName="/xl/charts/chart100.xml" ContentType="application/vnd.openxmlformats-officedocument.drawingml.chart+xml"/>
  <Override PartName="/xl/charts/style100.xml" ContentType="application/vnd.ms-office.chartstyle+xml"/>
  <Override PartName="/xl/charts/colors100.xml" ContentType="application/vnd.ms-office.chartcolorstyle+xml"/>
  <Override PartName="/xl/charts/chart101.xml" ContentType="application/vnd.openxmlformats-officedocument.drawingml.chart+xml"/>
  <Override PartName="/xl/charts/style101.xml" ContentType="application/vnd.ms-office.chartstyle+xml"/>
  <Override PartName="/xl/charts/colors101.xml" ContentType="application/vnd.ms-office.chartcolorstyle+xml"/>
  <Override PartName="/xl/charts/chart102.xml" ContentType="application/vnd.openxmlformats-officedocument.drawingml.chart+xml"/>
  <Override PartName="/xl/charts/style102.xml" ContentType="application/vnd.ms-office.chartstyle+xml"/>
  <Override PartName="/xl/charts/colors102.xml" ContentType="application/vnd.ms-office.chartcolorstyle+xml"/>
  <Override PartName="/xl/charts/chart103.xml" ContentType="application/vnd.openxmlformats-officedocument.drawingml.chart+xml"/>
  <Override PartName="/xl/charts/style103.xml" ContentType="application/vnd.ms-office.chartstyle+xml"/>
  <Override PartName="/xl/charts/colors103.xml" ContentType="application/vnd.ms-office.chartcolorstyle+xml"/>
  <Override PartName="/xl/charts/chart104.xml" ContentType="application/vnd.openxmlformats-officedocument.drawingml.chart+xml"/>
  <Override PartName="/xl/charts/style104.xml" ContentType="application/vnd.ms-office.chartstyle+xml"/>
  <Override PartName="/xl/charts/colors104.xml" ContentType="application/vnd.ms-office.chartcolorstyle+xml"/>
  <Override PartName="/xl/charts/chart105.xml" ContentType="application/vnd.openxmlformats-officedocument.drawingml.chart+xml"/>
  <Override PartName="/xl/charts/style105.xml" ContentType="application/vnd.ms-office.chartstyle+xml"/>
  <Override PartName="/xl/charts/colors105.xml" ContentType="application/vnd.ms-office.chartcolorstyle+xml"/>
  <Override PartName="/xl/charts/chart106.xml" ContentType="application/vnd.openxmlformats-officedocument.drawingml.chart+xml"/>
  <Override PartName="/xl/charts/style106.xml" ContentType="application/vnd.ms-office.chartstyle+xml"/>
  <Override PartName="/xl/charts/colors106.xml" ContentType="application/vnd.ms-office.chartcolorstyle+xml"/>
  <Override PartName="/xl/charts/chart107.xml" ContentType="application/vnd.openxmlformats-officedocument.drawingml.chart+xml"/>
  <Override PartName="/xl/charts/style107.xml" ContentType="application/vnd.ms-office.chartstyle+xml"/>
  <Override PartName="/xl/charts/colors107.xml" ContentType="application/vnd.ms-office.chartcolorstyle+xml"/>
  <Override PartName="/xl/charts/chart108.xml" ContentType="application/vnd.openxmlformats-officedocument.drawingml.chart+xml"/>
  <Override PartName="/xl/charts/style108.xml" ContentType="application/vnd.ms-office.chartstyle+xml"/>
  <Override PartName="/xl/charts/colors108.xml" ContentType="application/vnd.ms-office.chartcolorstyle+xml"/>
  <Override PartName="/xl/charts/chart109.xml" ContentType="application/vnd.openxmlformats-officedocument.drawingml.chart+xml"/>
  <Override PartName="/xl/charts/style109.xml" ContentType="application/vnd.ms-office.chartstyle+xml"/>
  <Override PartName="/xl/charts/colors109.xml" ContentType="application/vnd.ms-office.chartcolorstyle+xml"/>
  <Override PartName="/xl/charts/chart110.xml" ContentType="application/vnd.openxmlformats-officedocument.drawingml.chart+xml"/>
  <Override PartName="/xl/charts/style110.xml" ContentType="application/vnd.ms-office.chartstyle+xml"/>
  <Override PartName="/xl/charts/colors110.xml" ContentType="application/vnd.ms-office.chartcolorstyle+xml"/>
  <Override PartName="/xl/charts/chart111.xml" ContentType="application/vnd.openxmlformats-officedocument.drawingml.chart+xml"/>
  <Override PartName="/xl/charts/style111.xml" ContentType="application/vnd.ms-office.chartstyle+xml"/>
  <Override PartName="/xl/charts/colors111.xml" ContentType="application/vnd.ms-office.chartcolorstyle+xml"/>
  <Override PartName="/xl/charts/chart112.xml" ContentType="application/vnd.openxmlformats-officedocument.drawingml.chart+xml"/>
  <Override PartName="/xl/charts/style112.xml" ContentType="application/vnd.ms-office.chartstyle+xml"/>
  <Override PartName="/xl/charts/colors112.xml" ContentType="application/vnd.ms-office.chartcolorstyle+xml"/>
  <Override PartName="/xl/charts/chart113.xml" ContentType="application/vnd.openxmlformats-officedocument.drawingml.chart+xml"/>
  <Override PartName="/xl/charts/style113.xml" ContentType="application/vnd.ms-office.chartstyle+xml"/>
  <Override PartName="/xl/charts/colors113.xml" ContentType="application/vnd.ms-office.chartcolorstyle+xml"/>
  <Override PartName="/xl/charts/chart114.xml" ContentType="application/vnd.openxmlformats-officedocument.drawingml.chart+xml"/>
  <Override PartName="/xl/charts/style114.xml" ContentType="application/vnd.ms-office.chartstyle+xml"/>
  <Override PartName="/xl/charts/colors114.xml" ContentType="application/vnd.ms-office.chartcolorstyle+xml"/>
  <Override PartName="/xl/charts/chart115.xml" ContentType="application/vnd.openxmlformats-officedocument.drawingml.chart+xml"/>
  <Override PartName="/xl/charts/style115.xml" ContentType="application/vnd.ms-office.chartstyle+xml"/>
  <Override PartName="/xl/charts/colors115.xml" ContentType="application/vnd.ms-office.chartcolorstyle+xml"/>
  <Override PartName="/xl/charts/chart116.xml" ContentType="application/vnd.openxmlformats-officedocument.drawingml.chart+xml"/>
  <Override PartName="/xl/charts/style116.xml" ContentType="application/vnd.ms-office.chartstyle+xml"/>
  <Override PartName="/xl/charts/colors116.xml" ContentType="application/vnd.ms-office.chartcolorstyle+xml"/>
  <Override PartName="/xl/charts/chart117.xml" ContentType="application/vnd.openxmlformats-officedocument.drawingml.chart+xml"/>
  <Override PartName="/xl/charts/style117.xml" ContentType="application/vnd.ms-office.chartstyle+xml"/>
  <Override PartName="/xl/charts/colors117.xml" ContentType="application/vnd.ms-office.chartcolorstyle+xml"/>
  <Override PartName="/xl/charts/chart118.xml" ContentType="application/vnd.openxmlformats-officedocument.drawingml.chart+xml"/>
  <Override PartName="/xl/charts/style118.xml" ContentType="application/vnd.ms-office.chartstyle+xml"/>
  <Override PartName="/xl/charts/colors118.xml" ContentType="application/vnd.ms-office.chartcolorstyle+xml"/>
  <Override PartName="/xl/charts/chart119.xml" ContentType="application/vnd.openxmlformats-officedocument.drawingml.chart+xml"/>
  <Override PartName="/xl/charts/style119.xml" ContentType="application/vnd.ms-office.chartstyle+xml"/>
  <Override PartName="/xl/charts/colors119.xml" ContentType="application/vnd.ms-office.chartcolorstyle+xml"/>
  <Override PartName="/xl/charts/chart120.xml" ContentType="application/vnd.openxmlformats-officedocument.drawingml.chart+xml"/>
  <Override PartName="/xl/charts/style120.xml" ContentType="application/vnd.ms-office.chartstyle+xml"/>
  <Override PartName="/xl/charts/colors120.xml" ContentType="application/vnd.ms-office.chartcolorstyle+xml"/>
  <Override PartName="/xl/charts/chart121.xml" ContentType="application/vnd.openxmlformats-officedocument.drawingml.chart+xml"/>
  <Override PartName="/xl/charts/style121.xml" ContentType="application/vnd.ms-office.chartstyle+xml"/>
  <Override PartName="/xl/charts/colors121.xml" ContentType="application/vnd.ms-office.chartcolorstyle+xml"/>
  <Override PartName="/xl/charts/chart122.xml" ContentType="application/vnd.openxmlformats-officedocument.drawingml.chart+xml"/>
  <Override PartName="/xl/charts/style122.xml" ContentType="application/vnd.ms-office.chartstyle+xml"/>
  <Override PartName="/xl/charts/colors122.xml" ContentType="application/vnd.ms-office.chartcolorstyle+xml"/>
  <Override PartName="/xl/charts/chart123.xml" ContentType="application/vnd.openxmlformats-officedocument.drawingml.chart+xml"/>
  <Override PartName="/xl/charts/style123.xml" ContentType="application/vnd.ms-office.chartstyle+xml"/>
  <Override PartName="/xl/charts/colors123.xml" ContentType="application/vnd.ms-office.chartcolorstyle+xml"/>
  <Override PartName="/xl/charts/chart124.xml" ContentType="application/vnd.openxmlformats-officedocument.drawingml.chart+xml"/>
  <Override PartName="/xl/charts/style124.xml" ContentType="application/vnd.ms-office.chartstyle+xml"/>
  <Override PartName="/xl/charts/colors124.xml" ContentType="application/vnd.ms-office.chartcolorstyle+xml"/>
  <Override PartName="/xl/charts/chart125.xml" ContentType="application/vnd.openxmlformats-officedocument.drawingml.chart+xml"/>
  <Override PartName="/xl/charts/style125.xml" ContentType="application/vnd.ms-office.chartstyle+xml"/>
  <Override PartName="/xl/charts/colors125.xml" ContentType="application/vnd.ms-office.chartcolorstyle+xml"/>
  <Override PartName="/xl/charts/chart126.xml" ContentType="application/vnd.openxmlformats-officedocument.drawingml.chart+xml"/>
  <Override PartName="/xl/charts/style126.xml" ContentType="application/vnd.ms-office.chartstyle+xml"/>
  <Override PartName="/xl/charts/colors126.xml" ContentType="application/vnd.ms-office.chartcolorstyle+xml"/>
  <Override PartName="/xl/charts/chart127.xml" ContentType="application/vnd.openxmlformats-officedocument.drawingml.chart+xml"/>
  <Override PartName="/xl/charts/style127.xml" ContentType="application/vnd.ms-office.chartstyle+xml"/>
  <Override PartName="/xl/charts/colors127.xml" ContentType="application/vnd.ms-office.chartcolorstyle+xml"/>
  <Override PartName="/xl/charts/chart128.xml" ContentType="application/vnd.openxmlformats-officedocument.drawingml.chart+xml"/>
  <Override PartName="/xl/charts/style128.xml" ContentType="application/vnd.ms-office.chartstyle+xml"/>
  <Override PartName="/xl/charts/colors128.xml" ContentType="application/vnd.ms-office.chartcolorstyle+xml"/>
  <Override PartName="/xl/charts/chart129.xml" ContentType="application/vnd.openxmlformats-officedocument.drawingml.chart+xml"/>
  <Override PartName="/xl/charts/style129.xml" ContentType="application/vnd.ms-office.chartstyle+xml"/>
  <Override PartName="/xl/charts/colors129.xml" ContentType="application/vnd.ms-office.chartcolorstyle+xml"/>
  <Override PartName="/xl/charts/chart130.xml" ContentType="application/vnd.openxmlformats-officedocument.drawingml.chart+xml"/>
  <Override PartName="/xl/charts/style130.xml" ContentType="application/vnd.ms-office.chartstyle+xml"/>
  <Override PartName="/xl/charts/colors130.xml" ContentType="application/vnd.ms-office.chartcolorstyle+xml"/>
  <Override PartName="/xl/charts/chart131.xml" ContentType="application/vnd.openxmlformats-officedocument.drawingml.chart+xml"/>
  <Override PartName="/xl/charts/style131.xml" ContentType="application/vnd.ms-office.chartstyle+xml"/>
  <Override PartName="/xl/charts/colors131.xml" ContentType="application/vnd.ms-office.chartcolorstyle+xml"/>
  <Override PartName="/xl/charts/chart132.xml" ContentType="application/vnd.openxmlformats-officedocument.drawingml.chart+xml"/>
  <Override PartName="/xl/charts/style132.xml" ContentType="application/vnd.ms-office.chartstyle+xml"/>
  <Override PartName="/xl/charts/colors132.xml" ContentType="application/vnd.ms-office.chartcolorstyle+xml"/>
  <Override PartName="/xl/charts/chart133.xml" ContentType="application/vnd.openxmlformats-officedocument.drawingml.chart+xml"/>
  <Override PartName="/xl/charts/style133.xml" ContentType="application/vnd.ms-office.chartstyle+xml"/>
  <Override PartName="/xl/charts/colors133.xml" ContentType="application/vnd.ms-office.chartcolorstyle+xml"/>
  <Override PartName="/xl/charts/chart134.xml" ContentType="application/vnd.openxmlformats-officedocument.drawingml.chart+xml"/>
  <Override PartName="/xl/charts/style134.xml" ContentType="application/vnd.ms-office.chartstyle+xml"/>
  <Override PartName="/xl/charts/colors134.xml" ContentType="application/vnd.ms-office.chartcolorstyle+xml"/>
  <Override PartName="/xl/charts/chart135.xml" ContentType="application/vnd.openxmlformats-officedocument.drawingml.chart+xml"/>
  <Override PartName="/xl/charts/style135.xml" ContentType="application/vnd.ms-office.chartstyle+xml"/>
  <Override PartName="/xl/charts/colors135.xml" ContentType="application/vnd.ms-office.chartcolorstyle+xml"/>
  <Override PartName="/xl/charts/chart136.xml" ContentType="application/vnd.openxmlformats-officedocument.drawingml.chart+xml"/>
  <Override PartName="/xl/charts/style136.xml" ContentType="application/vnd.ms-office.chartstyle+xml"/>
  <Override PartName="/xl/charts/colors136.xml" ContentType="application/vnd.ms-office.chartcolorstyle+xml"/>
  <Override PartName="/xl/charts/chart137.xml" ContentType="application/vnd.openxmlformats-officedocument.drawingml.chart+xml"/>
  <Override PartName="/xl/charts/style137.xml" ContentType="application/vnd.ms-office.chartstyle+xml"/>
  <Override PartName="/xl/charts/colors137.xml" ContentType="application/vnd.ms-office.chartcolorstyle+xml"/>
  <Override PartName="/xl/charts/chart138.xml" ContentType="application/vnd.openxmlformats-officedocument.drawingml.chart+xml"/>
  <Override PartName="/xl/charts/style138.xml" ContentType="application/vnd.ms-office.chartstyle+xml"/>
  <Override PartName="/xl/charts/colors138.xml" ContentType="application/vnd.ms-office.chartcolorstyle+xml"/>
  <Override PartName="/xl/charts/chart139.xml" ContentType="application/vnd.openxmlformats-officedocument.drawingml.chart+xml"/>
  <Override PartName="/xl/charts/style139.xml" ContentType="application/vnd.ms-office.chartstyle+xml"/>
  <Override PartName="/xl/charts/colors139.xml" ContentType="application/vnd.ms-office.chartcolorstyle+xml"/>
  <Override PartName="/xl/charts/chart140.xml" ContentType="application/vnd.openxmlformats-officedocument.drawingml.chart+xml"/>
  <Override PartName="/xl/charts/style140.xml" ContentType="application/vnd.ms-office.chartstyle+xml"/>
  <Override PartName="/xl/charts/colors140.xml" ContentType="application/vnd.ms-office.chartcolorstyle+xml"/>
  <Override PartName="/xl/charts/chart141.xml" ContentType="application/vnd.openxmlformats-officedocument.drawingml.chart+xml"/>
  <Override PartName="/xl/charts/style141.xml" ContentType="application/vnd.ms-office.chartstyle+xml"/>
  <Override PartName="/xl/charts/colors141.xml" ContentType="application/vnd.ms-office.chartcolorstyle+xml"/>
  <Override PartName="/xl/charts/chart142.xml" ContentType="application/vnd.openxmlformats-officedocument.drawingml.chart+xml"/>
  <Override PartName="/xl/charts/style142.xml" ContentType="application/vnd.ms-office.chartstyle+xml"/>
  <Override PartName="/xl/charts/colors142.xml" ContentType="application/vnd.ms-office.chartcolorstyle+xml"/>
  <Override PartName="/xl/charts/chart143.xml" ContentType="application/vnd.openxmlformats-officedocument.drawingml.chart+xml"/>
  <Override PartName="/xl/charts/style143.xml" ContentType="application/vnd.ms-office.chartstyle+xml"/>
  <Override PartName="/xl/charts/colors143.xml" ContentType="application/vnd.ms-office.chartcolorstyle+xml"/>
  <Override PartName="/xl/charts/chart144.xml" ContentType="application/vnd.openxmlformats-officedocument.drawingml.chart+xml"/>
  <Override PartName="/xl/charts/style144.xml" ContentType="application/vnd.ms-office.chartstyle+xml"/>
  <Override PartName="/xl/charts/colors144.xml" ContentType="application/vnd.ms-office.chartcolorstyle+xml"/>
  <Override PartName="/xl/charts/chart145.xml" ContentType="application/vnd.openxmlformats-officedocument.drawingml.chart+xml"/>
  <Override PartName="/xl/charts/style145.xml" ContentType="application/vnd.ms-office.chartstyle+xml"/>
  <Override PartName="/xl/charts/colors145.xml" ContentType="application/vnd.ms-office.chartcolorstyle+xml"/>
  <Override PartName="/xl/charts/chart146.xml" ContentType="application/vnd.openxmlformats-officedocument.drawingml.chart+xml"/>
  <Override PartName="/xl/charts/style146.xml" ContentType="application/vnd.ms-office.chartstyle+xml"/>
  <Override PartName="/xl/charts/colors146.xml" ContentType="application/vnd.ms-office.chartcolorstyle+xml"/>
  <Override PartName="/xl/charts/chart147.xml" ContentType="application/vnd.openxmlformats-officedocument.drawingml.chart+xml"/>
  <Override PartName="/xl/charts/style147.xml" ContentType="application/vnd.ms-office.chartstyle+xml"/>
  <Override PartName="/xl/charts/colors147.xml" ContentType="application/vnd.ms-office.chartcolorstyle+xml"/>
  <Override PartName="/xl/charts/chart148.xml" ContentType="application/vnd.openxmlformats-officedocument.drawingml.chart+xml"/>
  <Override PartName="/xl/charts/style148.xml" ContentType="application/vnd.ms-office.chartstyle+xml"/>
  <Override PartName="/xl/charts/colors148.xml" ContentType="application/vnd.ms-office.chartcolorstyle+xml"/>
  <Override PartName="/xl/drawings/drawing14.xml" ContentType="application/vnd.openxmlformats-officedocument.drawing+xml"/>
  <Override PartName="/xl/charts/chart149.xml" ContentType="application/vnd.openxmlformats-officedocument.drawingml.chart+xml"/>
  <Override PartName="/xl/charts/style149.xml" ContentType="application/vnd.ms-office.chartstyle+xml"/>
  <Override PartName="/xl/charts/colors149.xml" ContentType="application/vnd.ms-office.chartcolorstyle+xml"/>
  <Override PartName="/xl/drawings/drawing15.xml" ContentType="application/vnd.openxmlformats-officedocument.drawing+xml"/>
  <Override PartName="/xl/charts/chart150.xml" ContentType="application/vnd.openxmlformats-officedocument.drawingml.chart+xml"/>
  <Override PartName="/xl/charts/style150.xml" ContentType="application/vnd.ms-office.chartstyle+xml"/>
  <Override PartName="/xl/charts/colors150.xml" ContentType="application/vnd.ms-office.chartcolorstyle+xml"/>
  <Override PartName="/xl/charts/chart151.xml" ContentType="application/vnd.openxmlformats-officedocument.drawingml.chart+xml"/>
  <Override PartName="/xl/charts/style151.xml" ContentType="application/vnd.ms-office.chartstyle+xml"/>
  <Override PartName="/xl/charts/colors151.xml" ContentType="application/vnd.ms-office.chartcolorstyle+xml"/>
  <Override PartName="/xl/charts/chart152.xml" ContentType="application/vnd.openxmlformats-officedocument.drawingml.chart+xml"/>
  <Override PartName="/xl/charts/style152.xml" ContentType="application/vnd.ms-office.chartstyle+xml"/>
  <Override PartName="/xl/charts/colors15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938-d-002\gaa-ssf\2023\PROYECTOS DE INVERSION 2023\PROCESOS CONTRACTUALES\INSUMOS DE LABORATORIOS 2023\"/>
    </mc:Choice>
  </mc:AlternateContent>
  <bookViews>
    <workbookView xWindow="-120" yWindow="-120" windowWidth="29040" windowHeight="15840" firstSheet="3" activeTab="3"/>
  </bookViews>
  <sheets>
    <sheet name="LOTE 1 " sheetId="1" r:id="rId1"/>
    <sheet name="LOTE 2" sheetId="2" r:id="rId2"/>
    <sheet name="LOTE 3" sheetId="3" r:id="rId3"/>
    <sheet name="LOTE 4 " sheetId="4" r:id="rId4"/>
    <sheet name="LOTE 5" sheetId="5" r:id="rId5"/>
    <sheet name="LOTE 6" sheetId="6" r:id="rId6"/>
    <sheet name="LOTE 7 " sheetId="7" r:id="rId7"/>
    <sheet name="LOTE 8" sheetId="8" r:id="rId8"/>
    <sheet name="LOTE 9" sheetId="9" r:id="rId9"/>
    <sheet name="LOTE 10 " sheetId="10" r:id="rId10"/>
    <sheet name="LOTE 11" sheetId="12" r:id="rId11"/>
    <sheet name="LOTE 12 " sheetId="13" r:id="rId12"/>
    <sheet name="LOTE 13" sheetId="14" r:id="rId13"/>
    <sheet name="LOTE 14" sheetId="15" r:id="rId14"/>
    <sheet name="LOTE 15" sheetId="16" r:id="rId15"/>
    <sheet name="TOTALES" sheetId="17" r:id="rId16"/>
  </sheets>
  <definedNames>
    <definedName name="_xlnm._FilterDatabase" localSheetId="0" hidden="1">'LOTE 1 '!$B$5:$Y$5</definedName>
    <definedName name="_xlnm._FilterDatabase" localSheetId="12" hidden="1">'LOTE 13'!$B$3:$Q$69</definedName>
    <definedName name="_xlnm._FilterDatabase" localSheetId="1" hidden="1">'LOTE 2'!$B$4:$W$4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2" i="4" l="1"/>
  <c r="R8" i="4" l="1"/>
  <c r="R7" i="4"/>
  <c r="B8" i="14" l="1"/>
  <c r="B9" i="14"/>
  <c r="B10" i="14"/>
  <c r="B11" i="14" s="1"/>
  <c r="B12" i="14" s="1"/>
  <c r="B13" i="14" s="1"/>
  <c r="B14" i="14" s="1"/>
  <c r="B15" i="14" s="1"/>
  <c r="B16" i="14" s="1"/>
  <c r="B17" i="14" s="1"/>
  <c r="B18" i="14" s="1"/>
  <c r="B19" i="14" s="1"/>
  <c r="B20" i="14" s="1"/>
  <c r="B21" i="14" s="1"/>
  <c r="B22" i="14" s="1"/>
  <c r="B23" i="14" s="1"/>
  <c r="B24" i="14" s="1"/>
  <c r="B25" i="14" s="1"/>
  <c r="B26" i="14" s="1"/>
  <c r="B27" i="14" s="1"/>
  <c r="B28" i="14" s="1"/>
  <c r="B29" i="14" s="1"/>
  <c r="B30" i="14" s="1"/>
  <c r="B31" i="14" s="1"/>
  <c r="B32" i="14" s="1"/>
  <c r="B33" i="14" s="1"/>
  <c r="B34" i="14" s="1"/>
  <c r="B35" i="14" s="1"/>
  <c r="B36" i="14" s="1"/>
  <c r="B37" i="14" s="1"/>
  <c r="B38" i="14" s="1"/>
  <c r="B39" i="14" s="1"/>
  <c r="B40" i="14" s="1"/>
  <c r="B41" i="14" s="1"/>
  <c r="B42" i="14" s="1"/>
  <c r="B43" i="14" s="1"/>
  <c r="B44" i="14" s="1"/>
  <c r="B45" i="14" s="1"/>
  <c r="B46" i="14" s="1"/>
  <c r="B47" i="14" s="1"/>
  <c r="B48" i="14" s="1"/>
  <c r="B49" i="14" s="1"/>
  <c r="B50" i="14" s="1"/>
  <c r="B51" i="14" s="1"/>
  <c r="B52" i="14" s="1"/>
  <c r="B53" i="14" s="1"/>
  <c r="B54" i="14" s="1"/>
  <c r="B55" i="14" s="1"/>
  <c r="B56" i="14" s="1"/>
  <c r="B57" i="14" s="1"/>
  <c r="B58" i="14" s="1"/>
  <c r="B59" i="14" s="1"/>
  <c r="B60" i="14" s="1"/>
  <c r="B61" i="14" s="1"/>
  <c r="B62" i="14" s="1"/>
  <c r="B63" i="14" s="1"/>
  <c r="B64" i="14" s="1"/>
  <c r="B65" i="14" s="1"/>
  <c r="B66" i="14" s="1"/>
  <c r="B67" i="14" s="1"/>
  <c r="B68" i="14" s="1"/>
  <c r="M12" i="14" l="1"/>
  <c r="N4" i="13"/>
  <c r="R11" i="2"/>
  <c r="R6" i="2"/>
  <c r="P4" i="17" l="1"/>
  <c r="L4" i="17"/>
  <c r="B8" i="8"/>
  <c r="B18" i="1"/>
  <c r="B19" i="1"/>
  <c r="B20" i="1" s="1"/>
  <c r="B21" i="1" s="1"/>
  <c r="B22" i="1" s="1"/>
  <c r="B23" i="1" s="1"/>
  <c r="B24" i="1" s="1"/>
  <c r="B25" i="1" s="1"/>
  <c r="B26" i="1" s="1"/>
  <c r="B27" i="1" s="1"/>
  <c r="B28" i="1" s="1"/>
  <c r="B29" i="1" s="1"/>
  <c r="B30" i="1" s="1"/>
  <c r="B31" i="1" s="1"/>
  <c r="B32" i="1" s="1"/>
  <c r="B33" i="1" s="1"/>
  <c r="B34" i="1" s="1"/>
  <c r="V9" i="16"/>
  <c r="W8" i="16"/>
  <c r="X8" i="16"/>
  <c r="Y8" i="16"/>
  <c r="Z8" i="16"/>
  <c r="AA8" i="16"/>
  <c r="AB8" i="16"/>
  <c r="AC8" i="16"/>
  <c r="V8" i="16"/>
  <c r="AC6" i="16"/>
  <c r="AC7" i="16"/>
  <c r="AB6" i="16"/>
  <c r="AB7" i="16"/>
  <c r="AA6" i="16"/>
  <c r="AA7" i="16"/>
  <c r="Z6" i="16"/>
  <c r="Z7" i="16"/>
  <c r="Y6" i="16"/>
  <c r="Y7" i="16"/>
  <c r="X6" i="16"/>
  <c r="X7" i="16"/>
  <c r="W6" i="16"/>
  <c r="W7" i="16"/>
  <c r="V6" i="16"/>
  <c r="V7" i="16"/>
  <c r="AC5" i="16"/>
  <c r="AB5" i="16"/>
  <c r="AA5" i="16"/>
  <c r="Z5" i="16"/>
  <c r="Y5" i="16"/>
  <c r="X5" i="16"/>
  <c r="W5" i="16"/>
  <c r="V5" i="16"/>
  <c r="N6" i="15"/>
  <c r="O5" i="15"/>
  <c r="N5" i="15"/>
  <c r="L7" i="14"/>
  <c r="L8" i="14"/>
  <c r="L9" i="14"/>
  <c r="L10" i="14"/>
  <c r="L11" i="14"/>
  <c r="L12" i="14"/>
  <c r="L13" i="14"/>
  <c r="L14" i="14"/>
  <c r="L15" i="14"/>
  <c r="L16" i="14"/>
  <c r="L17" i="14"/>
  <c r="L18" i="14"/>
  <c r="L19" i="14"/>
  <c r="L20" i="14"/>
  <c r="L21" i="14"/>
  <c r="L22" i="14"/>
  <c r="L23" i="14"/>
  <c r="L24" i="14"/>
  <c r="L25" i="14"/>
  <c r="L26" i="14"/>
  <c r="L27" i="14"/>
  <c r="L28" i="14"/>
  <c r="L29" i="14"/>
  <c r="L30" i="14"/>
  <c r="L31" i="14"/>
  <c r="L32" i="14"/>
  <c r="L33" i="14"/>
  <c r="L34" i="14"/>
  <c r="L35" i="14"/>
  <c r="L36" i="14"/>
  <c r="L37" i="14"/>
  <c r="L38" i="14"/>
  <c r="L39" i="14"/>
  <c r="L40" i="14"/>
  <c r="L41" i="14"/>
  <c r="L42" i="14"/>
  <c r="L43" i="14"/>
  <c r="L44" i="14"/>
  <c r="L45" i="14"/>
  <c r="L46" i="14"/>
  <c r="L47" i="14"/>
  <c r="L48" i="14"/>
  <c r="L49" i="14"/>
  <c r="L50" i="14"/>
  <c r="L51" i="14"/>
  <c r="L52" i="14"/>
  <c r="L53" i="14"/>
  <c r="L54" i="14"/>
  <c r="L55" i="14"/>
  <c r="L56" i="14"/>
  <c r="L57" i="14"/>
  <c r="L58" i="14"/>
  <c r="L59" i="14"/>
  <c r="L60" i="14"/>
  <c r="L61" i="14"/>
  <c r="L62" i="14"/>
  <c r="L63" i="14"/>
  <c r="L64" i="14"/>
  <c r="L65" i="14"/>
  <c r="L66" i="14"/>
  <c r="L67" i="14"/>
  <c r="L68" i="14"/>
  <c r="L6" i="14"/>
  <c r="P7" i="12"/>
  <c r="T6" i="12"/>
  <c r="S6" i="12"/>
  <c r="R6" i="12"/>
  <c r="Q6" i="12"/>
  <c r="P6" i="12"/>
  <c r="Q7" i="10"/>
  <c r="S6" i="10"/>
  <c r="R6" i="10"/>
  <c r="Q6" i="10"/>
  <c r="Q6" i="9"/>
  <c r="S5" i="9"/>
  <c r="R5" i="9"/>
  <c r="Q5" i="9"/>
  <c r="W11" i="7"/>
  <c r="X10" i="7"/>
  <c r="Y10" i="7"/>
  <c r="Z10" i="7"/>
  <c r="AA10" i="7"/>
  <c r="AB10" i="7"/>
  <c r="AC10" i="7"/>
  <c r="AD10" i="7"/>
  <c r="AE10" i="7"/>
  <c r="W10" i="7"/>
  <c r="AE7" i="7"/>
  <c r="AE8" i="7"/>
  <c r="AE9" i="7"/>
  <c r="AD7" i="7"/>
  <c r="AD8" i="7"/>
  <c r="AD9" i="7"/>
  <c r="AC7" i="7"/>
  <c r="AC8" i="7"/>
  <c r="AC9" i="7"/>
  <c r="AB7" i="7"/>
  <c r="AB8" i="7"/>
  <c r="AB9" i="7"/>
  <c r="AA7" i="7"/>
  <c r="AA8" i="7"/>
  <c r="AA9" i="7"/>
  <c r="Z7" i="7"/>
  <c r="Z8" i="7"/>
  <c r="Z9" i="7"/>
  <c r="Y7" i="7"/>
  <c r="Y8" i="7"/>
  <c r="Y9" i="7"/>
  <c r="X7" i="7"/>
  <c r="X8" i="7"/>
  <c r="X9" i="7"/>
  <c r="W7" i="7"/>
  <c r="W8" i="7"/>
  <c r="W9" i="7"/>
  <c r="AE6" i="7"/>
  <c r="AD6" i="7"/>
  <c r="AC6" i="7"/>
  <c r="AB6" i="7"/>
  <c r="AA6" i="7"/>
  <c r="Z6" i="7"/>
  <c r="Y6" i="7"/>
  <c r="X6" i="7"/>
  <c r="W6" i="7"/>
  <c r="S9" i="6"/>
  <c r="T8" i="6"/>
  <c r="U8" i="6"/>
  <c r="V8" i="6"/>
  <c r="W8" i="6"/>
  <c r="X8" i="6"/>
  <c r="Y8" i="6"/>
  <c r="S8" i="6"/>
  <c r="Y7" i="6"/>
  <c r="X7" i="6"/>
  <c r="W7" i="6"/>
  <c r="V7" i="6"/>
  <c r="U7" i="6"/>
  <c r="T7" i="6"/>
  <c r="S7" i="6"/>
  <c r="Y6" i="6"/>
  <c r="X6" i="6"/>
  <c r="W6" i="6"/>
  <c r="V6" i="6"/>
  <c r="U6" i="6"/>
  <c r="T6" i="6"/>
  <c r="S6" i="6"/>
  <c r="S8" i="5"/>
  <c r="T7" i="5"/>
  <c r="U7" i="5"/>
  <c r="V7" i="5"/>
  <c r="W7" i="5"/>
  <c r="X7" i="5"/>
  <c r="S7" i="5"/>
  <c r="X6" i="5"/>
  <c r="W6" i="5"/>
  <c r="V6" i="5"/>
  <c r="U6" i="5"/>
  <c r="T6" i="5"/>
  <c r="S6" i="5"/>
  <c r="X5" i="5"/>
  <c r="W5" i="5"/>
  <c r="V5" i="5"/>
  <c r="U5" i="5"/>
  <c r="T5" i="5"/>
  <c r="S5" i="5"/>
  <c r="N7" i="7"/>
  <c r="N8" i="7"/>
  <c r="N9" i="7"/>
  <c r="N6" i="7"/>
  <c r="N6" i="4"/>
  <c r="N7" i="4"/>
  <c r="N8" i="4"/>
  <c r="N9" i="4"/>
  <c r="N10" i="4"/>
  <c r="N11" i="4"/>
  <c r="N12" i="4"/>
  <c r="N5" i="4"/>
  <c r="V12" i="3" l="1"/>
  <c r="W11" i="3"/>
  <c r="X11" i="3"/>
  <c r="Y11" i="3"/>
  <c r="Z11" i="3"/>
  <c r="AA11" i="3"/>
  <c r="V11" i="3"/>
  <c r="AA7" i="3"/>
  <c r="AA8" i="3"/>
  <c r="AA9" i="3"/>
  <c r="AA10" i="3"/>
  <c r="Z7" i="3"/>
  <c r="Z8" i="3"/>
  <c r="Z9" i="3"/>
  <c r="Z10" i="3"/>
  <c r="Y7" i="3"/>
  <c r="Y8" i="3"/>
  <c r="Y9" i="3"/>
  <c r="Y10" i="3"/>
  <c r="X7" i="3"/>
  <c r="X8" i="3"/>
  <c r="X9" i="3"/>
  <c r="X10" i="3"/>
  <c r="W7" i="3"/>
  <c r="W8" i="3"/>
  <c r="W9" i="3"/>
  <c r="W10" i="3"/>
  <c r="V7" i="3"/>
  <c r="V8" i="3"/>
  <c r="V9" i="3"/>
  <c r="V10" i="3"/>
  <c r="AA6" i="3"/>
  <c r="Z6" i="3"/>
  <c r="Y6" i="3"/>
  <c r="X6" i="3"/>
  <c r="W6" i="3"/>
  <c r="V6" i="3"/>
  <c r="AI7" i="2"/>
  <c r="AI8" i="2"/>
  <c r="AI9" i="2"/>
  <c r="AI10" i="2"/>
  <c r="AI12" i="2"/>
  <c r="AI13" i="2"/>
  <c r="AI14" i="2"/>
  <c r="AI15" i="2"/>
  <c r="AI16" i="2"/>
  <c r="AI17" i="2"/>
  <c r="AI19" i="2"/>
  <c r="AI20" i="2"/>
  <c r="AI21" i="2"/>
  <c r="AI22" i="2"/>
  <c r="AI23" i="2"/>
  <c r="AI24" i="2"/>
  <c r="AI25" i="2"/>
  <c r="AI26" i="2"/>
  <c r="AI27" i="2"/>
  <c r="AI28" i="2"/>
  <c r="AI29" i="2"/>
  <c r="AH7" i="2"/>
  <c r="AH8" i="2"/>
  <c r="AH9" i="2"/>
  <c r="AH10" i="2"/>
  <c r="AH12" i="2"/>
  <c r="AH13" i="2"/>
  <c r="AH14" i="2"/>
  <c r="AH15" i="2"/>
  <c r="AH16" i="2"/>
  <c r="AH17" i="2"/>
  <c r="AH19" i="2"/>
  <c r="AH20" i="2"/>
  <c r="AH21" i="2"/>
  <c r="AH22" i="2"/>
  <c r="AH23" i="2"/>
  <c r="AH24" i="2"/>
  <c r="AH25" i="2"/>
  <c r="AH26" i="2"/>
  <c r="AH27" i="2"/>
  <c r="AH28" i="2"/>
  <c r="AH29" i="2"/>
  <c r="AG7" i="2"/>
  <c r="AG8" i="2"/>
  <c r="AG9" i="2"/>
  <c r="AG10" i="2"/>
  <c r="AG12" i="2"/>
  <c r="AG13" i="2"/>
  <c r="AG14" i="2"/>
  <c r="AG15" i="2"/>
  <c r="AG16" i="2"/>
  <c r="AG17" i="2"/>
  <c r="AG19" i="2"/>
  <c r="AG20" i="2"/>
  <c r="AG21" i="2"/>
  <c r="AG22" i="2"/>
  <c r="AG23" i="2"/>
  <c r="AG24" i="2"/>
  <c r="AG25" i="2"/>
  <c r="AG26" i="2"/>
  <c r="AG27" i="2"/>
  <c r="AG28" i="2"/>
  <c r="AG29" i="2"/>
  <c r="AF7" i="2"/>
  <c r="AF8" i="2"/>
  <c r="AF9" i="2"/>
  <c r="AF10" i="2"/>
  <c r="AF12" i="2"/>
  <c r="AF13" i="2"/>
  <c r="AF14" i="2"/>
  <c r="AF15" i="2"/>
  <c r="AF16" i="2"/>
  <c r="AF17" i="2"/>
  <c r="AF19" i="2"/>
  <c r="AF20" i="2"/>
  <c r="AF21" i="2"/>
  <c r="AF22" i="2"/>
  <c r="AF23" i="2"/>
  <c r="AF24" i="2"/>
  <c r="AF25" i="2"/>
  <c r="AF26" i="2"/>
  <c r="AF27" i="2"/>
  <c r="AF28" i="2"/>
  <c r="AF29" i="2"/>
  <c r="AE7" i="2"/>
  <c r="AE8" i="2"/>
  <c r="AE9" i="2"/>
  <c r="AE10" i="2"/>
  <c r="AE12" i="2"/>
  <c r="AE13" i="2"/>
  <c r="AE14" i="2"/>
  <c r="AE15" i="2"/>
  <c r="AE16" i="2"/>
  <c r="AE17" i="2"/>
  <c r="AE19" i="2"/>
  <c r="AE20" i="2"/>
  <c r="AE21" i="2"/>
  <c r="AE22" i="2"/>
  <c r="AE23" i="2"/>
  <c r="AE24" i="2"/>
  <c r="AE25" i="2"/>
  <c r="AE26" i="2"/>
  <c r="AE27" i="2"/>
  <c r="AE28" i="2"/>
  <c r="AE29" i="2"/>
  <c r="AD7" i="2"/>
  <c r="AD8" i="2"/>
  <c r="AD9" i="2"/>
  <c r="AD10" i="2"/>
  <c r="AD12" i="2"/>
  <c r="AD13" i="2"/>
  <c r="AD14" i="2"/>
  <c r="AD15" i="2"/>
  <c r="AD16" i="2"/>
  <c r="AD17" i="2"/>
  <c r="AD19" i="2"/>
  <c r="AD20" i="2"/>
  <c r="AD21" i="2"/>
  <c r="AD22" i="2"/>
  <c r="AD23" i="2"/>
  <c r="AD24" i="2"/>
  <c r="AD25" i="2"/>
  <c r="AD26" i="2"/>
  <c r="AD27" i="2"/>
  <c r="AD28" i="2"/>
  <c r="AD29" i="2"/>
  <c r="AC7" i="2"/>
  <c r="AC8" i="2"/>
  <c r="AC9" i="2"/>
  <c r="AC10" i="2"/>
  <c r="AC12" i="2"/>
  <c r="AC13" i="2"/>
  <c r="AC14" i="2"/>
  <c r="AC15" i="2"/>
  <c r="AC16" i="2"/>
  <c r="AC17" i="2"/>
  <c r="AC19" i="2"/>
  <c r="AC20" i="2"/>
  <c r="AC21" i="2"/>
  <c r="AC22" i="2"/>
  <c r="AC23" i="2"/>
  <c r="AC24" i="2"/>
  <c r="AC25" i="2"/>
  <c r="AC26" i="2"/>
  <c r="AC27" i="2"/>
  <c r="AC28" i="2"/>
  <c r="AC29" i="2"/>
  <c r="AB7" i="2"/>
  <c r="AB8" i="2"/>
  <c r="AB9" i="2"/>
  <c r="AB10" i="2"/>
  <c r="AB12" i="2"/>
  <c r="AB13" i="2"/>
  <c r="AB14" i="2"/>
  <c r="AB15" i="2"/>
  <c r="AB16" i="2"/>
  <c r="AB17" i="2"/>
  <c r="AB19" i="2"/>
  <c r="AB20" i="2"/>
  <c r="AB21" i="2"/>
  <c r="AB22" i="2"/>
  <c r="AB23" i="2"/>
  <c r="AB24" i="2"/>
  <c r="AB25" i="2"/>
  <c r="AB26" i="2"/>
  <c r="AB27" i="2"/>
  <c r="AB28" i="2"/>
  <c r="AB29" i="2"/>
  <c r="AA7" i="2"/>
  <c r="AA8" i="2"/>
  <c r="AA9" i="2"/>
  <c r="AA10" i="2"/>
  <c r="AA12" i="2"/>
  <c r="AA13" i="2"/>
  <c r="AA14" i="2"/>
  <c r="AA15" i="2"/>
  <c r="AA16" i="2"/>
  <c r="AA17" i="2"/>
  <c r="AA19" i="2"/>
  <c r="AA20" i="2"/>
  <c r="AA21" i="2"/>
  <c r="AA22" i="2"/>
  <c r="AA23" i="2"/>
  <c r="AA24" i="2"/>
  <c r="AA25" i="2"/>
  <c r="AA26" i="2"/>
  <c r="AA27" i="2"/>
  <c r="AA28" i="2"/>
  <c r="AA29" i="2"/>
  <c r="Z7" i="2"/>
  <c r="Z8" i="2"/>
  <c r="Z9" i="2"/>
  <c r="Z10" i="2"/>
  <c r="Z12" i="2"/>
  <c r="Z13" i="2"/>
  <c r="Z14" i="2"/>
  <c r="Z15" i="2"/>
  <c r="Z16" i="2"/>
  <c r="Z17" i="2"/>
  <c r="Z19" i="2"/>
  <c r="Z20" i="2"/>
  <c r="Z21" i="2"/>
  <c r="Z22" i="2"/>
  <c r="Z23" i="2"/>
  <c r="Z24" i="2"/>
  <c r="Z25" i="2"/>
  <c r="Z26" i="2"/>
  <c r="Z27" i="2"/>
  <c r="Z28" i="2"/>
  <c r="Z29" i="2"/>
  <c r="AI5" i="2"/>
  <c r="AH5" i="2"/>
  <c r="AG5" i="2"/>
  <c r="AF5" i="2"/>
  <c r="AE5" i="2"/>
  <c r="AD5" i="2"/>
  <c r="AC5" i="2"/>
  <c r="AB5" i="2"/>
  <c r="AA5" i="2"/>
  <c r="Z5" i="2"/>
  <c r="Q7" i="3" l="1"/>
  <c r="W22" i="1"/>
  <c r="V23" i="2"/>
  <c r="V29" i="2"/>
  <c r="V25" i="2"/>
  <c r="Q10" i="3"/>
  <c r="Q9" i="3"/>
  <c r="V5" i="2"/>
  <c r="AD22" i="1" l="1"/>
  <c r="AB22" i="1"/>
  <c r="AI22" i="1"/>
  <c r="AG22" i="1"/>
  <c r="AE22" i="1"/>
  <c r="AH22" i="1"/>
  <c r="AF22" i="1"/>
  <c r="AC22" i="1"/>
  <c r="AA22" i="1"/>
  <c r="AJ22" i="1"/>
  <c r="C17" i="17"/>
  <c r="C16" i="17"/>
  <c r="C13" i="17"/>
  <c r="C8" i="17"/>
  <c r="C7" i="17"/>
  <c r="B6" i="16"/>
  <c r="B7" i="16" s="1"/>
  <c r="S8" i="16"/>
  <c r="K6" i="15"/>
  <c r="P4" i="13"/>
  <c r="P34" i="1"/>
  <c r="W34" i="1" s="1"/>
  <c r="O34" i="1"/>
  <c r="S6" i="16"/>
  <c r="S7" i="16"/>
  <c r="S5" i="16"/>
  <c r="R6" i="16"/>
  <c r="R7" i="16"/>
  <c r="R5" i="16"/>
  <c r="Q6" i="16"/>
  <c r="Q5" i="16"/>
  <c r="M7" i="16"/>
  <c r="M6" i="16"/>
  <c r="M5" i="16"/>
  <c r="G5" i="15"/>
  <c r="T4" i="13" l="1"/>
  <c r="Q4" i="13"/>
  <c r="X4" i="13"/>
  <c r="M6" i="17" s="1"/>
  <c r="W4" i="13"/>
  <c r="J6" i="17" s="1"/>
  <c r="Z4" i="13"/>
  <c r="L6" i="17" s="1"/>
  <c r="Y4" i="13"/>
  <c r="N6" i="17" s="1"/>
  <c r="V4" i="13"/>
  <c r="I6" i="17" s="1"/>
  <c r="U4" i="13"/>
  <c r="O6" i="17" s="1"/>
  <c r="AG34" i="1"/>
  <c r="AC34" i="1"/>
  <c r="AA34" i="1"/>
  <c r="AH34" i="1"/>
  <c r="AF34" i="1"/>
  <c r="AE34" i="1"/>
  <c r="AJ34" i="1"/>
  <c r="AD34" i="1"/>
  <c r="AB34" i="1"/>
  <c r="AI34" i="1"/>
  <c r="X34" i="1"/>
  <c r="I5" i="15"/>
  <c r="H5" i="15"/>
  <c r="J5" i="15" s="1"/>
  <c r="K5" i="15" s="1"/>
  <c r="H6" i="17" l="1"/>
  <c r="Q6" i="17" s="1"/>
  <c r="T5" i="13"/>
  <c r="B7" i="14"/>
  <c r="O9" i="14"/>
  <c r="O10" i="14"/>
  <c r="O12" i="14"/>
  <c r="O14" i="14"/>
  <c r="O20" i="14"/>
  <c r="O21" i="14"/>
  <c r="O22" i="14"/>
  <c r="O23" i="14"/>
  <c r="O26" i="14"/>
  <c r="O39" i="14"/>
  <c r="O41" i="14"/>
  <c r="O42" i="14"/>
  <c r="O46" i="14"/>
  <c r="O48" i="14"/>
  <c r="O49" i="14"/>
  <c r="O50" i="14"/>
  <c r="O53" i="14"/>
  <c r="O54" i="14"/>
  <c r="O55" i="14"/>
  <c r="O56" i="14"/>
  <c r="O60" i="14"/>
  <c r="O61" i="14"/>
  <c r="O62" i="14"/>
  <c r="O63" i="14"/>
  <c r="O64" i="14"/>
  <c r="O65" i="14"/>
  <c r="O66" i="14"/>
  <c r="O67" i="14"/>
  <c r="O68" i="14"/>
  <c r="N7" i="14"/>
  <c r="O7" i="14" s="1"/>
  <c r="N8" i="14"/>
  <c r="O8" i="14" s="1"/>
  <c r="N11" i="14"/>
  <c r="O11" i="14" s="1"/>
  <c r="N13" i="14"/>
  <c r="O13" i="14" s="1"/>
  <c r="N15" i="14"/>
  <c r="O15" i="14" s="1"/>
  <c r="N16" i="14"/>
  <c r="O16" i="14" s="1"/>
  <c r="N17" i="14"/>
  <c r="O17" i="14" s="1"/>
  <c r="N18" i="14"/>
  <c r="O18" i="14" s="1"/>
  <c r="N19" i="14"/>
  <c r="O19" i="14" s="1"/>
  <c r="N24" i="14"/>
  <c r="O24" i="14" s="1"/>
  <c r="N25" i="14"/>
  <c r="O25" i="14" s="1"/>
  <c r="N27" i="14"/>
  <c r="O27" i="14" s="1"/>
  <c r="N28" i="14"/>
  <c r="O28" i="14" s="1"/>
  <c r="N29" i="14"/>
  <c r="O29" i="14" s="1"/>
  <c r="N30" i="14"/>
  <c r="O30" i="14" s="1"/>
  <c r="N31" i="14"/>
  <c r="O31" i="14" s="1"/>
  <c r="N32" i="14"/>
  <c r="O32" i="14" s="1"/>
  <c r="N33" i="14"/>
  <c r="O33" i="14" s="1"/>
  <c r="N34" i="14"/>
  <c r="O34" i="14" s="1"/>
  <c r="N35" i="14"/>
  <c r="O35" i="14" s="1"/>
  <c r="N36" i="14"/>
  <c r="O36" i="14" s="1"/>
  <c r="N37" i="14"/>
  <c r="O37" i="14" s="1"/>
  <c r="N38" i="14"/>
  <c r="O38" i="14" s="1"/>
  <c r="N40" i="14"/>
  <c r="O40" i="14" s="1"/>
  <c r="N43" i="14"/>
  <c r="O43" i="14" s="1"/>
  <c r="N44" i="14"/>
  <c r="O44" i="14" s="1"/>
  <c r="N45" i="14"/>
  <c r="O45" i="14" s="1"/>
  <c r="N47" i="14"/>
  <c r="O47" i="14" s="1"/>
  <c r="N51" i="14"/>
  <c r="O51" i="14" s="1"/>
  <c r="N52" i="14"/>
  <c r="O52" i="14" s="1"/>
  <c r="N57" i="14"/>
  <c r="O57" i="14" s="1"/>
  <c r="N58" i="14"/>
  <c r="O58" i="14" s="1"/>
  <c r="N59" i="14"/>
  <c r="O59" i="14" s="1"/>
  <c r="N6" i="14"/>
  <c r="O6" i="14" s="1"/>
  <c r="P6" i="14" l="1"/>
  <c r="W6" i="14"/>
  <c r="X6" i="14"/>
  <c r="Y6" i="14"/>
  <c r="T6" i="14"/>
  <c r="U6" i="14"/>
  <c r="Z6" i="14"/>
  <c r="V6" i="14"/>
  <c r="P58" i="14"/>
  <c r="V58" i="14"/>
  <c r="W58" i="14"/>
  <c r="X58" i="14"/>
  <c r="Y58" i="14"/>
  <c r="T58" i="14"/>
  <c r="U58" i="14"/>
  <c r="Z58" i="14"/>
  <c r="P40" i="14"/>
  <c r="W40" i="14"/>
  <c r="X40" i="14"/>
  <c r="T40" i="14"/>
  <c r="Y40" i="14"/>
  <c r="U40" i="14"/>
  <c r="Z40" i="14"/>
  <c r="V40" i="14"/>
  <c r="P31" i="14"/>
  <c r="X31" i="14"/>
  <c r="T31" i="14"/>
  <c r="Y31" i="14"/>
  <c r="U31" i="14"/>
  <c r="Z31" i="14"/>
  <c r="V31" i="14"/>
  <c r="W31" i="14"/>
  <c r="P18" i="14"/>
  <c r="V18" i="14"/>
  <c r="W18" i="14"/>
  <c r="X18" i="14"/>
  <c r="Y18" i="14"/>
  <c r="T18" i="14"/>
  <c r="U18" i="14"/>
  <c r="Z18" i="14"/>
  <c r="P68" i="14"/>
  <c r="X68" i="14"/>
  <c r="T68" i="14"/>
  <c r="Y68" i="14"/>
  <c r="U68" i="14"/>
  <c r="Z68" i="14"/>
  <c r="V68" i="14"/>
  <c r="W68" i="14"/>
  <c r="P60" i="14"/>
  <c r="X60" i="14"/>
  <c r="T60" i="14"/>
  <c r="Y60" i="14"/>
  <c r="U60" i="14"/>
  <c r="Z60" i="14"/>
  <c r="V60" i="14"/>
  <c r="W60" i="14"/>
  <c r="P49" i="14"/>
  <c r="W49" i="14"/>
  <c r="X49" i="14"/>
  <c r="T49" i="14"/>
  <c r="Y49" i="14"/>
  <c r="U49" i="14"/>
  <c r="Z49" i="14"/>
  <c r="V49" i="14"/>
  <c r="P22" i="14"/>
  <c r="X22" i="14"/>
  <c r="T22" i="14"/>
  <c r="Y22" i="14"/>
  <c r="U22" i="14"/>
  <c r="V22" i="14"/>
  <c r="W22" i="14"/>
  <c r="Z22" i="14"/>
  <c r="P57" i="14"/>
  <c r="W57" i="14"/>
  <c r="X57" i="14"/>
  <c r="T57" i="14"/>
  <c r="Y57" i="14"/>
  <c r="U57" i="14"/>
  <c r="Z57" i="14"/>
  <c r="V57" i="14"/>
  <c r="P38" i="14"/>
  <c r="X38" i="14"/>
  <c r="T38" i="14"/>
  <c r="U38" i="14"/>
  <c r="V38" i="14"/>
  <c r="W38" i="14"/>
  <c r="Y38" i="14"/>
  <c r="Z38" i="14"/>
  <c r="P30" i="14"/>
  <c r="X30" i="14"/>
  <c r="T30" i="14"/>
  <c r="Y30" i="14"/>
  <c r="U30" i="14"/>
  <c r="V30" i="14"/>
  <c r="W30" i="14"/>
  <c r="Z30" i="14"/>
  <c r="P17" i="14"/>
  <c r="W17" i="14"/>
  <c r="X17" i="14"/>
  <c r="T17" i="14"/>
  <c r="Y17" i="14"/>
  <c r="U17" i="14"/>
  <c r="Z17" i="14"/>
  <c r="V17" i="14"/>
  <c r="P67" i="14"/>
  <c r="T67" i="14"/>
  <c r="U67" i="14"/>
  <c r="V67" i="14"/>
  <c r="W67" i="14"/>
  <c r="X67" i="14"/>
  <c r="Z67" i="14"/>
  <c r="Y67" i="14"/>
  <c r="P48" i="14"/>
  <c r="W48" i="14"/>
  <c r="X48" i="14"/>
  <c r="Y48" i="14"/>
  <c r="T48" i="14"/>
  <c r="Z48" i="14"/>
  <c r="U48" i="14"/>
  <c r="V48" i="14"/>
  <c r="P21" i="14"/>
  <c r="T21" i="14"/>
  <c r="U21" i="14"/>
  <c r="Z21" i="14"/>
  <c r="V21" i="14"/>
  <c r="W21" i="14"/>
  <c r="X21" i="14"/>
  <c r="Y21" i="14"/>
  <c r="P52" i="14"/>
  <c r="U52" i="14"/>
  <c r="V52" i="14"/>
  <c r="W52" i="14"/>
  <c r="X52" i="14"/>
  <c r="T52" i="14"/>
  <c r="Z52" i="14"/>
  <c r="Y52" i="14"/>
  <c r="P37" i="14"/>
  <c r="T37" i="14"/>
  <c r="U37" i="14"/>
  <c r="Z37" i="14"/>
  <c r="V37" i="14"/>
  <c r="W37" i="14"/>
  <c r="Y37" i="14"/>
  <c r="X37" i="14"/>
  <c r="P29" i="14"/>
  <c r="T29" i="14"/>
  <c r="U29" i="14"/>
  <c r="Z29" i="14"/>
  <c r="V29" i="14"/>
  <c r="W29" i="14"/>
  <c r="Y29" i="14"/>
  <c r="X29" i="14"/>
  <c r="P16" i="14"/>
  <c r="W16" i="14"/>
  <c r="X16" i="14"/>
  <c r="T16" i="14"/>
  <c r="Y16" i="14"/>
  <c r="U16" i="14"/>
  <c r="Z16" i="14"/>
  <c r="V16" i="14"/>
  <c r="P66" i="14"/>
  <c r="T66" i="14"/>
  <c r="U66" i="14"/>
  <c r="Z66" i="14"/>
  <c r="V66" i="14"/>
  <c r="W66" i="14"/>
  <c r="X66" i="14"/>
  <c r="Y66" i="14"/>
  <c r="P46" i="14"/>
  <c r="X46" i="14"/>
  <c r="T46" i="14"/>
  <c r="U46" i="14"/>
  <c r="V46" i="14"/>
  <c r="W46" i="14"/>
  <c r="Z46" i="14"/>
  <c r="Y46" i="14"/>
  <c r="P20" i="14"/>
  <c r="U20" i="14"/>
  <c r="V20" i="14"/>
  <c r="W20" i="14"/>
  <c r="X20" i="14"/>
  <c r="T20" i="14"/>
  <c r="Y20" i="14"/>
  <c r="Z20" i="14"/>
  <c r="P59" i="14"/>
  <c r="U59" i="14"/>
  <c r="V59" i="14"/>
  <c r="W59" i="14"/>
  <c r="X59" i="14"/>
  <c r="T59" i="14"/>
  <c r="Y59" i="14"/>
  <c r="Z59" i="14"/>
  <c r="P51" i="14"/>
  <c r="U51" i="14"/>
  <c r="V51" i="14"/>
  <c r="W51" i="14"/>
  <c r="X51" i="14"/>
  <c r="T51" i="14"/>
  <c r="Y51" i="14"/>
  <c r="Z51" i="14"/>
  <c r="P36" i="14"/>
  <c r="U36" i="14"/>
  <c r="V36" i="14"/>
  <c r="W36" i="14"/>
  <c r="X36" i="14"/>
  <c r="T36" i="14"/>
  <c r="Y36" i="14"/>
  <c r="Z36" i="14"/>
  <c r="P28" i="14"/>
  <c r="U28" i="14"/>
  <c r="V28" i="14"/>
  <c r="W28" i="14"/>
  <c r="X28" i="14"/>
  <c r="T28" i="14"/>
  <c r="Z28" i="14"/>
  <c r="Y28" i="14"/>
  <c r="P15" i="14"/>
  <c r="X15" i="14"/>
  <c r="T15" i="14"/>
  <c r="Y15" i="14"/>
  <c r="U15" i="14"/>
  <c r="Z15" i="14"/>
  <c r="V15" i="14"/>
  <c r="W15" i="14"/>
  <c r="P65" i="14"/>
  <c r="U65" i="14"/>
  <c r="V65" i="14"/>
  <c r="W65" i="14"/>
  <c r="X65" i="14"/>
  <c r="T65" i="14"/>
  <c r="Y65" i="14"/>
  <c r="Z65" i="14"/>
  <c r="P56" i="14"/>
  <c r="W56" i="14"/>
  <c r="X56" i="14"/>
  <c r="T56" i="14"/>
  <c r="Y56" i="14"/>
  <c r="U56" i="14"/>
  <c r="Z56" i="14"/>
  <c r="V56" i="14"/>
  <c r="P42" i="14"/>
  <c r="V42" i="14"/>
  <c r="W42" i="14"/>
  <c r="X42" i="14"/>
  <c r="T42" i="14"/>
  <c r="Y42" i="14"/>
  <c r="U42" i="14"/>
  <c r="Z42" i="14"/>
  <c r="P14" i="14"/>
  <c r="X14" i="14"/>
  <c r="T14" i="14"/>
  <c r="Y14" i="14"/>
  <c r="U14" i="14"/>
  <c r="Z14" i="14"/>
  <c r="V14" i="14"/>
  <c r="W14" i="14"/>
  <c r="P47" i="14"/>
  <c r="X47" i="14"/>
  <c r="T47" i="14"/>
  <c r="Y47" i="14"/>
  <c r="U47" i="14"/>
  <c r="Z47" i="14"/>
  <c r="V47" i="14"/>
  <c r="W47" i="14"/>
  <c r="P35" i="14"/>
  <c r="U35" i="14"/>
  <c r="V35" i="14"/>
  <c r="W35" i="14"/>
  <c r="X35" i="14"/>
  <c r="T35" i="14"/>
  <c r="Y35" i="14"/>
  <c r="Z35" i="14"/>
  <c r="P27" i="14"/>
  <c r="U27" i="14"/>
  <c r="V27" i="14"/>
  <c r="W27" i="14"/>
  <c r="X27" i="14"/>
  <c r="T27" i="14"/>
  <c r="Y27" i="14"/>
  <c r="Z27" i="14"/>
  <c r="P13" i="14"/>
  <c r="T13" i="14"/>
  <c r="U13" i="14"/>
  <c r="Z13" i="14"/>
  <c r="V13" i="14"/>
  <c r="W13" i="14"/>
  <c r="X13" i="14"/>
  <c r="Y13" i="14"/>
  <c r="P64" i="14"/>
  <c r="U64" i="14"/>
  <c r="V64" i="14"/>
  <c r="W64" i="14"/>
  <c r="X64" i="14"/>
  <c r="T64" i="14"/>
  <c r="Y64" i="14"/>
  <c r="Z64" i="14"/>
  <c r="P55" i="14"/>
  <c r="X55" i="14"/>
  <c r="T55" i="14"/>
  <c r="Y55" i="14"/>
  <c r="U55" i="14"/>
  <c r="Z55" i="14"/>
  <c r="V55" i="14"/>
  <c r="W55" i="14"/>
  <c r="P41" i="14"/>
  <c r="W41" i="14"/>
  <c r="X41" i="14"/>
  <c r="T41" i="14"/>
  <c r="Y41" i="14"/>
  <c r="U41" i="14"/>
  <c r="Z41" i="14"/>
  <c r="V41" i="14"/>
  <c r="P12" i="14"/>
  <c r="U12" i="14"/>
  <c r="V12" i="14"/>
  <c r="W12" i="14"/>
  <c r="X12" i="14"/>
  <c r="T12" i="14"/>
  <c r="Z12" i="14"/>
  <c r="Y12" i="14"/>
  <c r="P45" i="14"/>
  <c r="T45" i="14"/>
  <c r="U45" i="14"/>
  <c r="Z45" i="14"/>
  <c r="V45" i="14"/>
  <c r="W45" i="14"/>
  <c r="X45" i="14"/>
  <c r="Y45" i="14"/>
  <c r="P34" i="14"/>
  <c r="V34" i="14"/>
  <c r="W34" i="14"/>
  <c r="X34" i="14"/>
  <c r="T34" i="14"/>
  <c r="Y34" i="14"/>
  <c r="U34" i="14"/>
  <c r="Z34" i="14"/>
  <c r="P25" i="14"/>
  <c r="W25" i="14"/>
  <c r="X25" i="14"/>
  <c r="T25" i="14"/>
  <c r="Y25" i="14"/>
  <c r="U25" i="14"/>
  <c r="Z25" i="14"/>
  <c r="V25" i="14"/>
  <c r="P11" i="14"/>
  <c r="U11" i="14"/>
  <c r="V11" i="14"/>
  <c r="W11" i="14"/>
  <c r="X11" i="14"/>
  <c r="T11" i="14"/>
  <c r="Y11" i="14"/>
  <c r="Z11" i="14"/>
  <c r="P63" i="14"/>
  <c r="V63" i="14"/>
  <c r="W63" i="14"/>
  <c r="X63" i="14"/>
  <c r="T63" i="14"/>
  <c r="Y63" i="14"/>
  <c r="U63" i="14"/>
  <c r="Z63" i="14"/>
  <c r="P54" i="14"/>
  <c r="T54" i="14"/>
  <c r="U54" i="14"/>
  <c r="V54" i="14"/>
  <c r="W54" i="14"/>
  <c r="Y54" i="14"/>
  <c r="X54" i="14"/>
  <c r="Z54" i="14"/>
  <c r="P39" i="14"/>
  <c r="X39" i="14"/>
  <c r="T39" i="14"/>
  <c r="Y39" i="14"/>
  <c r="U39" i="14"/>
  <c r="Z39" i="14"/>
  <c r="V39" i="14"/>
  <c r="W39" i="14"/>
  <c r="P10" i="14"/>
  <c r="V10" i="14"/>
  <c r="W10" i="14"/>
  <c r="X10" i="14"/>
  <c r="T10" i="14"/>
  <c r="Y10" i="14"/>
  <c r="U10" i="14"/>
  <c r="Z10" i="14"/>
  <c r="P44" i="14"/>
  <c r="U44" i="14"/>
  <c r="V44" i="14"/>
  <c r="W44" i="14"/>
  <c r="X44" i="14"/>
  <c r="T44" i="14"/>
  <c r="Y44" i="14"/>
  <c r="Z44" i="14"/>
  <c r="P33" i="14"/>
  <c r="W33" i="14"/>
  <c r="X33" i="14"/>
  <c r="T33" i="14"/>
  <c r="Y33" i="14"/>
  <c r="U33" i="14"/>
  <c r="Z33" i="14"/>
  <c r="V33" i="14"/>
  <c r="P24" i="14"/>
  <c r="W24" i="14"/>
  <c r="X24" i="14"/>
  <c r="Y24" i="14"/>
  <c r="T24" i="14"/>
  <c r="Z24" i="14"/>
  <c r="U24" i="14"/>
  <c r="V24" i="14"/>
  <c r="P8" i="14"/>
  <c r="W8" i="14"/>
  <c r="T8" i="14"/>
  <c r="X8" i="14"/>
  <c r="V8" i="14"/>
  <c r="Y8" i="14"/>
  <c r="Z8" i="14"/>
  <c r="U8" i="14"/>
  <c r="P62" i="14"/>
  <c r="W62" i="14"/>
  <c r="X62" i="14"/>
  <c r="T62" i="14"/>
  <c r="Y62" i="14"/>
  <c r="U62" i="14"/>
  <c r="Z62" i="14"/>
  <c r="V62" i="14"/>
  <c r="P53" i="14"/>
  <c r="T53" i="14"/>
  <c r="U53" i="14"/>
  <c r="Z53" i="14"/>
  <c r="V53" i="14"/>
  <c r="W53" i="14"/>
  <c r="Y53" i="14"/>
  <c r="X53" i="14"/>
  <c r="P26" i="14"/>
  <c r="V26" i="14"/>
  <c r="W26" i="14"/>
  <c r="X26" i="14"/>
  <c r="Y26" i="14"/>
  <c r="T26" i="14"/>
  <c r="U26" i="14"/>
  <c r="Z26" i="14"/>
  <c r="P9" i="14"/>
  <c r="W9" i="14"/>
  <c r="X9" i="14"/>
  <c r="T9" i="14"/>
  <c r="Y9" i="14"/>
  <c r="U9" i="14"/>
  <c r="Z9" i="14"/>
  <c r="V9" i="14"/>
  <c r="P43" i="14"/>
  <c r="U43" i="14"/>
  <c r="V43" i="14"/>
  <c r="W43" i="14"/>
  <c r="X43" i="14"/>
  <c r="T43" i="14"/>
  <c r="Y43" i="14"/>
  <c r="Z43" i="14"/>
  <c r="P32" i="14"/>
  <c r="W32" i="14"/>
  <c r="X32" i="14"/>
  <c r="T32" i="14"/>
  <c r="Y32" i="14"/>
  <c r="Z32" i="14"/>
  <c r="U32" i="14"/>
  <c r="V32" i="14"/>
  <c r="P19" i="14"/>
  <c r="U19" i="14"/>
  <c r="V19" i="14"/>
  <c r="W19" i="14"/>
  <c r="X19" i="14"/>
  <c r="T19" i="14"/>
  <c r="Y19" i="14"/>
  <c r="Z19" i="14"/>
  <c r="P7" i="14"/>
  <c r="X7" i="14"/>
  <c r="Y7" i="14"/>
  <c r="T7" i="14"/>
  <c r="U7" i="14"/>
  <c r="Z7" i="14"/>
  <c r="V7" i="14"/>
  <c r="W7" i="14"/>
  <c r="P61" i="14"/>
  <c r="W61" i="14"/>
  <c r="X61" i="14"/>
  <c r="Y61" i="14"/>
  <c r="T61" i="14"/>
  <c r="U61" i="14"/>
  <c r="Z61" i="14"/>
  <c r="V61" i="14"/>
  <c r="P50" i="14"/>
  <c r="V50" i="14"/>
  <c r="W50" i="14"/>
  <c r="X50" i="14"/>
  <c r="T50" i="14"/>
  <c r="Y50" i="14"/>
  <c r="U50" i="14"/>
  <c r="Z50" i="14"/>
  <c r="P23" i="14"/>
  <c r="X23" i="14"/>
  <c r="T23" i="14"/>
  <c r="Y23" i="14"/>
  <c r="U23" i="14"/>
  <c r="Z23" i="14"/>
  <c r="V23" i="14"/>
  <c r="W23" i="14"/>
  <c r="P69" i="14"/>
  <c r="C15" i="17" s="1"/>
  <c r="B7" i="7"/>
  <c r="B8" i="7" s="1"/>
  <c r="B9" i="7" s="1"/>
  <c r="L6" i="10"/>
  <c r="R9" i="7"/>
  <c r="N6" i="5"/>
  <c r="N5" i="5"/>
  <c r="S12" i="4"/>
  <c r="S11" i="4"/>
  <c r="S9" i="4"/>
  <c r="S8" i="4"/>
  <c r="S6" i="4"/>
  <c r="S5" i="4"/>
  <c r="U28" i="2"/>
  <c r="U27" i="2"/>
  <c r="U25" i="2"/>
  <c r="U24" i="2"/>
  <c r="U15" i="2"/>
  <c r="U14" i="2"/>
  <c r="U13" i="2"/>
  <c r="U11" i="2"/>
  <c r="U10" i="2"/>
  <c r="U9" i="2"/>
  <c r="V9" i="2" s="1"/>
  <c r="U8" i="2"/>
  <c r="U7" i="2"/>
  <c r="U6" i="2"/>
  <c r="U5" i="2"/>
  <c r="T69" i="14" l="1"/>
  <c r="I4" i="17" s="1"/>
  <c r="V69" i="14"/>
  <c r="K4" i="17" s="1"/>
  <c r="Z69" i="14"/>
  <c r="O4" i="17" s="1"/>
  <c r="U69" i="14"/>
  <c r="J4" i="17" s="1"/>
  <c r="Y69" i="14"/>
  <c r="H4" i="17" s="1"/>
  <c r="X69" i="14"/>
  <c r="N4" i="17" s="1"/>
  <c r="W69" i="14"/>
  <c r="M4" i="17" s="1"/>
  <c r="P8" i="6"/>
  <c r="P7" i="6"/>
  <c r="P6" i="6"/>
  <c r="O7" i="6"/>
  <c r="O6" i="6"/>
  <c r="N7" i="6"/>
  <c r="N6" i="6"/>
  <c r="Q4" i="17" l="1"/>
  <c r="T70" i="14"/>
  <c r="L4" i="13"/>
  <c r="Q5" i="13" s="1"/>
  <c r="C14" i="17" s="1"/>
  <c r="E14" i="17" s="1"/>
  <c r="M7" i="12"/>
  <c r="M6" i="12"/>
  <c r="L6" i="12"/>
  <c r="K6" i="12"/>
  <c r="M6" i="10" l="1"/>
  <c r="N6" i="10" s="1"/>
  <c r="N7" i="10" s="1"/>
  <c r="C12" i="17" s="1"/>
  <c r="M5" i="9"/>
  <c r="N5" i="9" s="1"/>
  <c r="N6" i="9" s="1"/>
  <c r="C11" i="17" s="1"/>
  <c r="R8" i="8"/>
  <c r="R7" i="8"/>
  <c r="R9" i="8"/>
  <c r="R10" i="8"/>
  <c r="R6" i="8"/>
  <c r="S9" i="7"/>
  <c r="T9" i="7" s="1"/>
  <c r="S10" i="8" l="1"/>
  <c r="AC10" i="8"/>
  <c r="AA10" i="8"/>
  <c r="Y10" i="8"/>
  <c r="W10" i="8"/>
  <c r="AB10" i="8"/>
  <c r="Z10" i="8"/>
  <c r="X10" i="8"/>
  <c r="V10" i="8"/>
  <c r="S6" i="8"/>
  <c r="Z6" i="8"/>
  <c r="Y6" i="8"/>
  <c r="X6" i="8"/>
  <c r="W6" i="8"/>
  <c r="V6" i="8"/>
  <c r="AB6" i="8"/>
  <c r="AB11" i="8" s="1"/>
  <c r="AC6" i="8"/>
  <c r="AC11" i="8" s="1"/>
  <c r="AA6" i="8"/>
  <c r="S9" i="8"/>
  <c r="X9" i="8"/>
  <c r="AB9" i="8"/>
  <c r="Z9" i="8"/>
  <c r="V9" i="8"/>
  <c r="AC9" i="8"/>
  <c r="AA9" i="8"/>
  <c r="Y9" i="8"/>
  <c r="W9" i="8"/>
  <c r="S8" i="8"/>
  <c r="AB8" i="8"/>
  <c r="Z8" i="8"/>
  <c r="V8" i="8"/>
  <c r="X8" i="8"/>
  <c r="AC8" i="8"/>
  <c r="AA8" i="8"/>
  <c r="Y8" i="8"/>
  <c r="W8" i="8"/>
  <c r="S7" i="8"/>
  <c r="S11" i="8" s="1"/>
  <c r="C10" i="17" s="1"/>
  <c r="E17" i="17" s="1"/>
  <c r="AB7" i="8"/>
  <c r="Z7" i="8"/>
  <c r="V7" i="8"/>
  <c r="X7" i="8"/>
  <c r="AC7" i="8"/>
  <c r="AA7" i="8"/>
  <c r="Y7" i="8"/>
  <c r="W7" i="8"/>
  <c r="S7" i="7"/>
  <c r="T7" i="7" s="1"/>
  <c r="S8" i="7"/>
  <c r="T8" i="7" s="1"/>
  <c r="S6" i="7"/>
  <c r="T6" i="7" s="1"/>
  <c r="T10" i="7" s="1"/>
  <c r="C9" i="17" s="1"/>
  <c r="L7" i="6"/>
  <c r="L6" i="6"/>
  <c r="K6" i="5"/>
  <c r="K5" i="5"/>
  <c r="K7" i="3"/>
  <c r="K8" i="3"/>
  <c r="K9" i="3"/>
  <c r="K10" i="3"/>
  <c r="K6" i="3"/>
  <c r="O6" i="2"/>
  <c r="O7" i="2"/>
  <c r="O8" i="2"/>
  <c r="O9" i="2"/>
  <c r="O10" i="2"/>
  <c r="O11" i="2"/>
  <c r="O12" i="2"/>
  <c r="O13" i="2"/>
  <c r="O14" i="2"/>
  <c r="O15" i="2"/>
  <c r="O16" i="2"/>
  <c r="O17" i="2"/>
  <c r="O18" i="2"/>
  <c r="O19" i="2"/>
  <c r="O20" i="2"/>
  <c r="O21" i="2"/>
  <c r="O22" i="2"/>
  <c r="O23" i="2"/>
  <c r="O24" i="2"/>
  <c r="O25" i="2"/>
  <c r="O26" i="2"/>
  <c r="O27" i="2"/>
  <c r="O28" i="2"/>
  <c r="O29" i="2"/>
  <c r="O5" i="2"/>
  <c r="O7" i="1"/>
  <c r="O8" i="1"/>
  <c r="O9" i="1"/>
  <c r="O10" i="1"/>
  <c r="O11" i="1"/>
  <c r="O12" i="1"/>
  <c r="O13" i="1"/>
  <c r="O14" i="1"/>
  <c r="O15" i="1"/>
  <c r="O16" i="1"/>
  <c r="O17" i="1"/>
  <c r="O18" i="1"/>
  <c r="O19" i="1"/>
  <c r="O20" i="1"/>
  <c r="O21" i="1"/>
  <c r="O22" i="1"/>
  <c r="X22" i="1" s="1"/>
  <c r="O23" i="1"/>
  <c r="O24" i="1"/>
  <c r="O25" i="1"/>
  <c r="O26" i="1"/>
  <c r="O27" i="1"/>
  <c r="O28" i="1"/>
  <c r="O29" i="1"/>
  <c r="O30" i="1"/>
  <c r="O31" i="1"/>
  <c r="O32" i="1"/>
  <c r="O33" i="1"/>
  <c r="O6" i="1"/>
  <c r="V11" i="8" l="1"/>
  <c r="V12" i="8" s="1"/>
  <c r="W11" i="8"/>
  <c r="Y11" i="8"/>
  <c r="Z11" i="8"/>
  <c r="X11" i="8"/>
  <c r="AA11" i="8"/>
  <c r="M7" i="6"/>
  <c r="M6" i="6"/>
  <c r="O6" i="5" l="1"/>
  <c r="P6" i="5" s="1"/>
  <c r="O5" i="5"/>
  <c r="P5" i="5" s="1"/>
  <c r="P7" i="5" l="1"/>
  <c r="T11" i="4"/>
  <c r="T12" i="4"/>
  <c r="R11" i="4"/>
  <c r="R10" i="4"/>
  <c r="T10" i="4" s="1"/>
  <c r="R9" i="4"/>
  <c r="T9" i="4" s="1"/>
  <c r="T8" i="4"/>
  <c r="AA9" i="4" l="1"/>
  <c r="AB9" i="4"/>
  <c r="U9" i="4"/>
  <c r="Z9" i="4"/>
  <c r="AE9" i="4"/>
  <c r="AC9" i="4"/>
  <c r="AF9" i="4"/>
  <c r="Y9" i="4"/>
  <c r="X9" i="4"/>
  <c r="AD9" i="4"/>
  <c r="AA10" i="4"/>
  <c r="AB10" i="4"/>
  <c r="U10" i="4"/>
  <c r="Z10" i="4"/>
  <c r="AE10" i="4"/>
  <c r="AC10" i="4"/>
  <c r="AF10" i="4"/>
  <c r="Y10" i="4"/>
  <c r="X10" i="4"/>
  <c r="AD10" i="4"/>
  <c r="AA12" i="4"/>
  <c r="AB12" i="4"/>
  <c r="U12" i="4"/>
  <c r="Y12" i="4"/>
  <c r="X12" i="4"/>
  <c r="AD12" i="4"/>
  <c r="Z12" i="4"/>
  <c r="AE12" i="4"/>
  <c r="AC12" i="4"/>
  <c r="AF12" i="4"/>
  <c r="AA11" i="4"/>
  <c r="AB11" i="4"/>
  <c r="U11" i="4"/>
  <c r="X11" i="4"/>
  <c r="AD11" i="4"/>
  <c r="Z11" i="4"/>
  <c r="AE11" i="4"/>
  <c r="AC11" i="4"/>
  <c r="AF11" i="4"/>
  <c r="Y11" i="4"/>
  <c r="AA8" i="4"/>
  <c r="U8" i="4"/>
  <c r="AB8" i="4"/>
  <c r="X8" i="4"/>
  <c r="AD8" i="4"/>
  <c r="Z8" i="4"/>
  <c r="AC8" i="4"/>
  <c r="AE8" i="4"/>
  <c r="Y8" i="4"/>
  <c r="AF8" i="4"/>
  <c r="T7" i="4"/>
  <c r="R6" i="4"/>
  <c r="T6" i="4" s="1"/>
  <c r="R5" i="4"/>
  <c r="T5" i="4" s="1"/>
  <c r="AB5" i="4" l="1"/>
  <c r="AA5" i="4"/>
  <c r="U5" i="4"/>
  <c r="AF5" i="4"/>
  <c r="X5" i="4"/>
  <c r="AE5" i="4"/>
  <c r="AD5" i="4"/>
  <c r="AC5" i="4"/>
  <c r="Z5" i="4"/>
  <c r="Y5" i="4"/>
  <c r="AB6" i="4"/>
  <c r="U6" i="4"/>
  <c r="AA6" i="4"/>
  <c r="AE6" i="4"/>
  <c r="AC6" i="4"/>
  <c r="AF6" i="4"/>
  <c r="Y6" i="4"/>
  <c r="X6" i="4"/>
  <c r="AD6" i="4"/>
  <c r="Z6" i="4"/>
  <c r="AB7" i="4"/>
  <c r="AB13" i="4" s="1"/>
  <c r="U7" i="4"/>
  <c r="U13" i="4" s="1"/>
  <c r="C6" i="17" s="1"/>
  <c r="AA7" i="4"/>
  <c r="AA13" i="4" s="1"/>
  <c r="AE7" i="4"/>
  <c r="AE13" i="4" s="1"/>
  <c r="Z7" i="4"/>
  <c r="X7" i="4"/>
  <c r="AF7" i="4"/>
  <c r="Y7" i="4"/>
  <c r="Y13" i="4" s="1"/>
  <c r="AC7" i="4"/>
  <c r="AD7" i="4"/>
  <c r="Q8" i="3"/>
  <c r="R8" i="3" s="1"/>
  <c r="R9" i="3"/>
  <c r="R10" i="3"/>
  <c r="Q6" i="3"/>
  <c r="R6" i="3" s="1"/>
  <c r="R7" i="3"/>
  <c r="W9" i="1"/>
  <c r="W8" i="1"/>
  <c r="V17" i="2"/>
  <c r="W17" i="2" s="1"/>
  <c r="V21" i="2"/>
  <c r="W21" i="2" s="1"/>
  <c r="V20" i="2"/>
  <c r="W20" i="2" s="1"/>
  <c r="B7" i="3"/>
  <c r="V24" i="2"/>
  <c r="W24" i="2" s="1"/>
  <c r="V18" i="2"/>
  <c r="V15" i="2"/>
  <c r="W15" i="2" s="1"/>
  <c r="V27" i="2"/>
  <c r="W27" i="2" s="1"/>
  <c r="V28" i="2"/>
  <c r="W28" i="2" s="1"/>
  <c r="V11" i="2"/>
  <c r="V10" i="2"/>
  <c r="W10" i="2" s="1"/>
  <c r="V8" i="2"/>
  <c r="W8" i="2" s="1"/>
  <c r="V7" i="2"/>
  <c r="W7" i="2" s="1"/>
  <c r="V6" i="2"/>
  <c r="W9" i="2"/>
  <c r="V12" i="2"/>
  <c r="W12" i="2" s="1"/>
  <c r="V13" i="2"/>
  <c r="W13" i="2" s="1"/>
  <c r="V14" i="2"/>
  <c r="W14" i="2" s="1"/>
  <c r="V16" i="2"/>
  <c r="W16" i="2" s="1"/>
  <c r="V19" i="2"/>
  <c r="W19" i="2" s="1"/>
  <c r="V22" i="2"/>
  <c r="W22" i="2" s="1"/>
  <c r="W23" i="2"/>
  <c r="W25" i="2"/>
  <c r="V26" i="2"/>
  <c r="W26" i="2" s="1"/>
  <c r="W29" i="2"/>
  <c r="W5" i="2"/>
  <c r="AC13" i="4" l="1"/>
  <c r="AF13" i="4"/>
  <c r="X13" i="4"/>
  <c r="AD13" i="4"/>
  <c r="Z13" i="4"/>
  <c r="X14" i="4"/>
  <c r="W18" i="2"/>
  <c r="AB18" i="2"/>
  <c r="AF18" i="2"/>
  <c r="AG18" i="2"/>
  <c r="AC18" i="2"/>
  <c r="Z18" i="2"/>
  <c r="AD18" i="2"/>
  <c r="AH18" i="2"/>
  <c r="AI18" i="2"/>
  <c r="AE18" i="2"/>
  <c r="AA18" i="2"/>
  <c r="W11" i="2"/>
  <c r="AH11" i="2"/>
  <c r="Z11" i="2"/>
  <c r="AF11" i="2"/>
  <c r="AI11" i="2"/>
  <c r="AA11" i="2"/>
  <c r="AB11" i="2"/>
  <c r="AC11" i="2"/>
  <c r="AD11" i="2"/>
  <c r="AG11" i="2"/>
  <c r="AE11" i="2"/>
  <c r="W6" i="2"/>
  <c r="AI6" i="2"/>
  <c r="AI30" i="2" s="1"/>
  <c r="AH6" i="2"/>
  <c r="AG6" i="2"/>
  <c r="AF6" i="2"/>
  <c r="AE6" i="2"/>
  <c r="AE30" i="2" s="1"/>
  <c r="AD6" i="2"/>
  <c r="AC6" i="2"/>
  <c r="AB6" i="2"/>
  <c r="AA6" i="2"/>
  <c r="AA30" i="2" s="1"/>
  <c r="Z6" i="2"/>
  <c r="AC8" i="1"/>
  <c r="AA8" i="1"/>
  <c r="AJ8" i="1"/>
  <c r="AH8" i="1"/>
  <c r="AF8" i="1"/>
  <c r="AD8" i="1"/>
  <c r="AB8" i="1"/>
  <c r="AI8" i="1"/>
  <c r="AG8" i="1"/>
  <c r="AE8" i="1"/>
  <c r="AI9" i="1"/>
  <c r="AG9" i="1"/>
  <c r="AE9" i="1"/>
  <c r="AC9" i="1"/>
  <c r="AH9" i="1"/>
  <c r="AD9" i="1"/>
  <c r="AF9" i="1"/>
  <c r="AB9" i="1"/>
  <c r="AJ9" i="1"/>
  <c r="AA9" i="1"/>
  <c r="X8" i="1"/>
  <c r="X9" i="1"/>
  <c r="R11" i="3"/>
  <c r="C5" i="17" s="1"/>
  <c r="W30" i="2"/>
  <c r="C4" i="17" s="1"/>
  <c r="AF30" i="2" l="1"/>
  <c r="AG30" i="2"/>
  <c r="Z30" i="2"/>
  <c r="AH30" i="2"/>
  <c r="AB30" i="2"/>
  <c r="AC30" i="2"/>
  <c r="AD30" i="2"/>
  <c r="W23" i="1"/>
  <c r="W21" i="1"/>
  <c r="W7" i="1"/>
  <c r="W10" i="1"/>
  <c r="W11" i="1"/>
  <c r="W12" i="1"/>
  <c r="W13" i="1"/>
  <c r="W14" i="1"/>
  <c r="W15" i="1"/>
  <c r="W16" i="1"/>
  <c r="W17" i="1"/>
  <c r="W18" i="1"/>
  <c r="W24" i="1"/>
  <c r="W25" i="1"/>
  <c r="W26" i="1"/>
  <c r="W27" i="1"/>
  <c r="W28" i="1"/>
  <c r="W29" i="1"/>
  <c r="W30" i="1"/>
  <c r="W31" i="1"/>
  <c r="W32" i="1"/>
  <c r="W33" i="1"/>
  <c r="W6" i="1"/>
  <c r="Z31" i="2" l="1"/>
  <c r="AI27" i="1"/>
  <c r="AG27" i="1"/>
  <c r="AE27" i="1"/>
  <c r="AC27" i="1"/>
  <c r="AA27" i="1"/>
  <c r="AJ27" i="1"/>
  <c r="AH27" i="1"/>
  <c r="AF27" i="1"/>
  <c r="AD27" i="1"/>
  <c r="AB27" i="1"/>
  <c r="AJ14" i="1"/>
  <c r="AD14" i="1"/>
  <c r="AB14" i="1"/>
  <c r="AE14" i="1"/>
  <c r="AI14" i="1"/>
  <c r="AH14" i="1"/>
  <c r="AG14" i="1"/>
  <c r="AC14" i="1"/>
  <c r="AA14" i="1"/>
  <c r="AF14" i="1"/>
  <c r="AD6" i="1"/>
  <c r="AE6" i="1"/>
  <c r="AB6" i="1"/>
  <c r="AJ6" i="1"/>
  <c r="AA6" i="1"/>
  <c r="AI6" i="1"/>
  <c r="AH6" i="1"/>
  <c r="AC6" i="1"/>
  <c r="AG6" i="1"/>
  <c r="AF6" i="1"/>
  <c r="AJ13" i="1"/>
  <c r="AH13" i="1"/>
  <c r="AF13" i="1"/>
  <c r="AI13" i="1"/>
  <c r="AG13" i="1"/>
  <c r="AE13" i="1"/>
  <c r="AB13" i="1"/>
  <c r="AC13" i="1"/>
  <c r="AA13" i="1"/>
  <c r="AD13" i="1"/>
  <c r="AI33" i="1"/>
  <c r="AG33" i="1"/>
  <c r="AE33" i="1"/>
  <c r="AD33" i="1"/>
  <c r="AJ33" i="1"/>
  <c r="AH33" i="1"/>
  <c r="AB33" i="1"/>
  <c r="AF33" i="1"/>
  <c r="AC33" i="1"/>
  <c r="AA33" i="1"/>
  <c r="AI25" i="1"/>
  <c r="AG25" i="1"/>
  <c r="AE25" i="1"/>
  <c r="AJ25" i="1"/>
  <c r="AH25" i="1"/>
  <c r="AB25" i="1"/>
  <c r="AA25" i="1"/>
  <c r="AF25" i="1"/>
  <c r="AC25" i="1"/>
  <c r="AD25" i="1"/>
  <c r="AD12" i="1"/>
  <c r="AB12" i="1"/>
  <c r="AC12" i="1"/>
  <c r="AA12" i="1"/>
  <c r="AI12" i="1"/>
  <c r="AG12" i="1"/>
  <c r="AE12" i="1"/>
  <c r="AJ12" i="1"/>
  <c r="AH12" i="1"/>
  <c r="AF12" i="1"/>
  <c r="AC24" i="1"/>
  <c r="AA24" i="1"/>
  <c r="AJ24" i="1"/>
  <c r="AH24" i="1"/>
  <c r="AF24" i="1"/>
  <c r="AD24" i="1"/>
  <c r="AB24" i="1"/>
  <c r="AI24" i="1"/>
  <c r="AG24" i="1"/>
  <c r="AE24" i="1"/>
  <c r="AI11" i="1"/>
  <c r="AG11" i="1"/>
  <c r="AE11" i="1"/>
  <c r="AC11" i="1"/>
  <c r="AA11" i="1"/>
  <c r="AJ11" i="1"/>
  <c r="AH11" i="1"/>
  <c r="AF11" i="1"/>
  <c r="AD11" i="1"/>
  <c r="AB11" i="1"/>
  <c r="AC32" i="1"/>
  <c r="AA32" i="1"/>
  <c r="AJ32" i="1"/>
  <c r="AH32" i="1"/>
  <c r="AF32" i="1"/>
  <c r="AD32" i="1"/>
  <c r="AB32" i="1"/>
  <c r="AI32" i="1"/>
  <c r="AG32" i="1"/>
  <c r="AE32" i="1"/>
  <c r="AJ31" i="1"/>
  <c r="AH31" i="1"/>
  <c r="AF31" i="1"/>
  <c r="AD31" i="1"/>
  <c r="AB31" i="1"/>
  <c r="AI31" i="1"/>
  <c r="AG31" i="1"/>
  <c r="AE31" i="1"/>
  <c r="AC31" i="1"/>
  <c r="AA31" i="1"/>
  <c r="AI18" i="1"/>
  <c r="AC18" i="1"/>
  <c r="AA18" i="1"/>
  <c r="AH18" i="1"/>
  <c r="AF18" i="1"/>
  <c r="AG18" i="1"/>
  <c r="AJ18" i="1"/>
  <c r="AE18" i="1"/>
  <c r="AD18" i="1"/>
  <c r="AB18" i="1"/>
  <c r="AE10" i="1"/>
  <c r="AC10" i="1"/>
  <c r="AA10" i="1"/>
  <c r="AH10" i="1"/>
  <c r="AF10" i="1"/>
  <c r="AJ10" i="1"/>
  <c r="AD10" i="1"/>
  <c r="AB10" i="1"/>
  <c r="AI10" i="1"/>
  <c r="AG10" i="1"/>
  <c r="AJ7" i="1"/>
  <c r="AH7" i="1"/>
  <c r="AF7" i="1"/>
  <c r="AD7" i="1"/>
  <c r="AB7" i="1"/>
  <c r="AI7" i="1"/>
  <c r="AG7" i="1"/>
  <c r="AE7" i="1"/>
  <c r="AC7" i="1"/>
  <c r="AA7" i="1"/>
  <c r="AC26" i="1"/>
  <c r="AA26" i="1"/>
  <c r="AJ26" i="1"/>
  <c r="AI26" i="1"/>
  <c r="AG26" i="1"/>
  <c r="AH26" i="1"/>
  <c r="AF26" i="1"/>
  <c r="AD26" i="1"/>
  <c r="AB26" i="1"/>
  <c r="AE26" i="1"/>
  <c r="AJ30" i="1"/>
  <c r="AH30" i="1"/>
  <c r="AD30" i="1"/>
  <c r="AB30" i="1"/>
  <c r="AF30" i="1"/>
  <c r="AE30" i="1"/>
  <c r="AI30" i="1"/>
  <c r="AG30" i="1"/>
  <c r="AC30" i="1"/>
  <c r="AA30" i="1"/>
  <c r="AI17" i="1"/>
  <c r="AG17" i="1"/>
  <c r="AE17" i="1"/>
  <c r="AJ17" i="1"/>
  <c r="AF17" i="1"/>
  <c r="AD17" i="1"/>
  <c r="AA17" i="1"/>
  <c r="AH17" i="1"/>
  <c r="AB17" i="1"/>
  <c r="AC17" i="1"/>
  <c r="AJ29" i="1"/>
  <c r="AH29" i="1"/>
  <c r="AF29" i="1"/>
  <c r="AB29" i="1"/>
  <c r="AG29" i="1"/>
  <c r="AE29" i="1"/>
  <c r="AC29" i="1"/>
  <c r="AI29" i="1"/>
  <c r="AA29" i="1"/>
  <c r="AD29" i="1"/>
  <c r="AC16" i="1"/>
  <c r="AA16" i="1"/>
  <c r="AD16" i="1"/>
  <c r="AB16" i="1"/>
  <c r="AJ16" i="1"/>
  <c r="AH16" i="1"/>
  <c r="AF16" i="1"/>
  <c r="AI16" i="1"/>
  <c r="AG16" i="1"/>
  <c r="AE16" i="1"/>
  <c r="AJ21" i="1"/>
  <c r="AH21" i="1"/>
  <c r="AF21" i="1"/>
  <c r="AI21" i="1"/>
  <c r="AA21" i="1"/>
  <c r="AD21" i="1"/>
  <c r="AG21" i="1"/>
  <c r="AE21" i="1"/>
  <c r="AC21" i="1"/>
  <c r="AB21" i="1"/>
  <c r="AD28" i="1"/>
  <c r="AB28" i="1"/>
  <c r="AC28" i="1"/>
  <c r="AA28" i="1"/>
  <c r="AI28" i="1"/>
  <c r="AG28" i="1"/>
  <c r="AE28" i="1"/>
  <c r="AJ28" i="1"/>
  <c r="AH28" i="1"/>
  <c r="AF28" i="1"/>
  <c r="AJ15" i="1"/>
  <c r="AH15" i="1"/>
  <c r="AF15" i="1"/>
  <c r="AD15" i="1"/>
  <c r="AB15" i="1"/>
  <c r="AI15" i="1"/>
  <c r="AG15" i="1"/>
  <c r="AE15" i="1"/>
  <c r="AC15" i="1"/>
  <c r="AA15" i="1"/>
  <c r="AJ23" i="1"/>
  <c r="AH23" i="1"/>
  <c r="AF23" i="1"/>
  <c r="AD23" i="1"/>
  <c r="AB23" i="1"/>
  <c r="AI23" i="1"/>
  <c r="AG23" i="1"/>
  <c r="AE23" i="1"/>
  <c r="AC23" i="1"/>
  <c r="AA23" i="1"/>
  <c r="X14" i="1"/>
  <c r="X6" i="1"/>
  <c r="X26" i="1"/>
  <c r="X13" i="1"/>
  <c r="X15" i="1"/>
  <c r="X25" i="1"/>
  <c r="X12" i="1"/>
  <c r="X33" i="1"/>
  <c r="X24" i="1"/>
  <c r="X11" i="1"/>
  <c r="X28" i="1"/>
  <c r="X27" i="1"/>
  <c r="X31" i="1"/>
  <c r="X10" i="1"/>
  <c r="X17" i="1"/>
  <c r="X7" i="1"/>
  <c r="X23" i="1"/>
  <c r="X32" i="1"/>
  <c r="X18" i="1"/>
  <c r="X30" i="1"/>
  <c r="X29" i="1"/>
  <c r="X16" i="1"/>
  <c r="X21" i="1"/>
  <c r="U20" i="1"/>
  <c r="W20" i="1" l="1"/>
  <c r="R19" i="1"/>
  <c r="AD20" i="1" l="1"/>
  <c r="AB20" i="1"/>
  <c r="AI20" i="1"/>
  <c r="AG20" i="1"/>
  <c r="AE20" i="1"/>
  <c r="AC20" i="1"/>
  <c r="AA20" i="1"/>
  <c r="AJ20" i="1"/>
  <c r="AH20" i="1"/>
  <c r="AF20" i="1"/>
  <c r="X20" i="1"/>
  <c r="W19" i="1"/>
  <c r="AI19" i="1" l="1"/>
  <c r="AG19" i="1"/>
  <c r="AG35" i="1" s="1"/>
  <c r="L8" i="17" s="1"/>
  <c r="AE19" i="1"/>
  <c r="AE35" i="1" s="1"/>
  <c r="J8" i="17" s="1"/>
  <c r="AC19" i="1"/>
  <c r="AA19" i="1"/>
  <c r="AJ19" i="1"/>
  <c r="AH19" i="1"/>
  <c r="AH35" i="1" s="1"/>
  <c r="M8" i="17" s="1"/>
  <c r="AF19" i="1"/>
  <c r="AF35" i="1" s="1"/>
  <c r="K8" i="17" s="1"/>
  <c r="AD19" i="1"/>
  <c r="AB19" i="1"/>
  <c r="AD35" i="1"/>
  <c r="I8" i="17" s="1"/>
  <c r="AB35" i="1"/>
  <c r="P8" i="17" s="1"/>
  <c r="AC35" i="1"/>
  <c r="AA35" i="1"/>
  <c r="H8" i="17" s="1"/>
  <c r="AJ35" i="1"/>
  <c r="O8" i="17" s="1"/>
  <c r="AI35" i="1"/>
  <c r="N8" i="17" s="1"/>
  <c r="X19" i="1"/>
  <c r="X35" i="1" s="1"/>
  <c r="C3" i="17" s="1"/>
  <c r="B7" i="8"/>
  <c r="B9" i="8" s="1"/>
  <c r="B10" i="8" s="1"/>
  <c r="B7" i="6"/>
  <c r="B6" i="5"/>
  <c r="B6" i="4"/>
  <c r="B7" i="4" s="1"/>
  <c r="B8" i="4" s="1"/>
  <c r="B9" i="4" s="1"/>
  <c r="B10" i="4" s="1"/>
  <c r="B11" i="4" s="1"/>
  <c r="B12" i="4" s="1"/>
  <c r="B8" i="3"/>
  <c r="B9" i="3" s="1"/>
  <c r="B10" i="3" s="1"/>
  <c r="B6" i="2"/>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7" i="1"/>
  <c r="B8" i="1" s="1"/>
  <c r="B9" i="1" s="1"/>
  <c r="B10" i="1" s="1"/>
  <c r="B11" i="1" s="1"/>
  <c r="B12" i="1" s="1"/>
  <c r="B13" i="1" s="1"/>
  <c r="B14" i="1" s="1"/>
  <c r="B15" i="1" s="1"/>
  <c r="B16" i="1" s="1"/>
  <c r="B17" i="1" s="1"/>
  <c r="Q8" i="17" l="1"/>
  <c r="Q9" i="17" s="1"/>
  <c r="AA36" i="1"/>
  <c r="C18" i="17"/>
  <c r="E9" i="17"/>
  <c r="E18" i="17" l="1"/>
</calcChain>
</file>

<file path=xl/sharedStrings.xml><?xml version="1.0" encoding="utf-8"?>
<sst xmlns="http://schemas.openxmlformats.org/spreadsheetml/2006/main" count="871" uniqueCount="366">
  <si>
    <t xml:space="preserve">LOTE 1 </t>
  </si>
  <si>
    <t xml:space="preserve">ITEM </t>
  </si>
  <si>
    <t xml:space="preserve">Tubos capilares de microhematocritos sin heparina codificados con color azul. Desechables sin marca de calibración.
</t>
  </si>
  <si>
    <t>Caja x 100 unidades</t>
  </si>
  <si>
    <t>DIRECCIÓN REGIONAL BOGOTÁ</t>
  </si>
  <si>
    <t>GRUPO NACIONAL DE APOYO
 AL SISTEMA DE VERDAD JUSTICIA 
REPARACIÓN Y NO REPETICIÓN -SSF (BOGOTA)</t>
  </si>
  <si>
    <t>GRUPO NACIONAL DE CIENCIAS
 FORENSES (BOGOTA)</t>
  </si>
  <si>
    <t>GRUPO NACIONAL GENETICA CONVENIO CONTRATO ICBF (BOGOTA)</t>
  </si>
  <si>
    <t>DIRECCIÓN REGIONAL NOROCCIDENTE</t>
  </si>
  <si>
    <t>DIRECCIÓN REGIONAL NORORIENTE</t>
  </si>
  <si>
    <t>DIRECCIÓN REGIONAL OCCIDENTE</t>
  </si>
  <si>
    <t>DIRECCIÓN REGIONAL SUROCCIDENTE</t>
  </si>
  <si>
    <t>DIRECCIÓN REGIONAL NORTE</t>
  </si>
  <si>
    <t>DIRECCIÓN REGIONAL SUR</t>
  </si>
  <si>
    <t>DIRECCIÓN REGIONAL ORIENTE</t>
  </si>
  <si>
    <t xml:space="preserve">CANTIDAD TOTAL </t>
  </si>
  <si>
    <t xml:space="preserve">Varilla o barra agitadora de vidrio de 25-30cm de longitud y de 6-8mm diámetro.
</t>
  </si>
  <si>
    <t>Unidad</t>
  </si>
  <si>
    <t xml:space="preserve">Chupa o Tetina de látex natural para pipetas pasteur, capacidad 2mL. </t>
  </si>
  <si>
    <t>Paquete x 100 unidades</t>
  </si>
  <si>
    <t>Cinta indicadora para esterilización por calor húmedo (autoclave) de 18-24mm de ancho y 50-60m de largo</t>
  </si>
  <si>
    <t>Rollo</t>
  </si>
  <si>
    <t>Embudo analítico plástico de medida
100-110 mm diámetro del embudo
 x 140-200mm Largo total  x 
7-10 mm diamétro del vástago.</t>
  </si>
  <si>
    <t>Escobillón de limpieza o churrusco para bureta de 10ml. Material: cerda y alambre. Dimensiones: 
Largo total 600- 800mm
Diametro del cepillo 15-18mm</t>
  </si>
  <si>
    <t>unidad</t>
  </si>
  <si>
    <t xml:space="preserve">Escobillón de limpieza o churrusco para pipeta de 2ml. Material: Lana/Nylon y alambre.
 Dimensiones: 
Largo total  390-650
Diámetro del cepillo 5-9
</t>
  </si>
  <si>
    <t xml:space="preserve">Escobillón de limpieza o churrusco para pipeta de 5ml. Material: Lana/Nylon y alambre.
 Dimensiones: 
Largo total  450-800
Diámetro del cepillo 10-15
</t>
  </si>
  <si>
    <t>Espátula combinada doble, con cuchara con punta redonda y plana en acero inoxidable, no se oxidan en entornos ácidos, esterilizable en autoclave. Longitud 20 cm.</t>
  </si>
  <si>
    <t>Espátula combinada doble con punta redonda y plana en acero inoxidable, no se oxidan en entornos ácidos, esterilizable en autoclave. Longitud 20 cm.</t>
  </si>
  <si>
    <t>Espátula combinada doble, con cuchara con punta redonda y plana en acero inoxidable, no se oxidan en entornos ácidos, esterilizable en autoclave. Longitud 180 cm.</t>
  </si>
  <si>
    <t>Frasco en vidrio color ambar con gotero, capacidad 20 ml</t>
  </si>
  <si>
    <t xml:space="preserve">Frasco en vidrio color ambar con gotero, capacidad 50 ml
</t>
  </si>
  <si>
    <t>Frasco en vidrio color ambar con gotero, capacidad 30 ml</t>
  </si>
  <si>
    <t>Frasco Lavador de laboratorio, de polietileno, capacidad 250 mL, incoloro, con boquilla o tubo rígido tipo cuello de cisne, medidas: 17,5cm x 6cm aproximadamente</t>
  </si>
  <si>
    <t>Lapiz punta de diamante para escritura sobre vidrio</t>
  </si>
  <si>
    <t>Papel parafilm caja standard de 4 pulgadas, (aproximadamente 10 cm) de ancho y mínimo 38.1 metros (Aproximadamente 125 pies) de largo.</t>
  </si>
  <si>
    <t xml:space="preserve">Papel vinipel </t>
  </si>
  <si>
    <t>Rollo*100m largo x 30cm ancho</t>
  </si>
  <si>
    <t xml:space="preserve">Pesasustancias cuadradas o hexagonales en poliestireno antiestático, biológicamente inerte, color natural con capacidad aproximada de 100 ml                </t>
  </si>
  <si>
    <t>Paquete de 500 unidades</t>
  </si>
  <si>
    <t>Pesasustancias cuadradas o hexagonales en poliestireno antiestático, biológicamente inerte, color natural con capacidad aproximada de 250 ml</t>
  </si>
  <si>
    <t>Pesasustancias cuadradas o hexagonales en poliestireno antiestático, biológicamente inerte, color natural con capacidad aproximada de 7 ml.</t>
  </si>
  <si>
    <t xml:space="preserve">
Pinza de disección  de 14 cm, en acero inoxidable,   sin garra , sin estrias, autoclavables y   de punta fina .</t>
  </si>
  <si>
    <t xml:space="preserve">Pinzas de disección de 14 cm aproximadamente, en acero inoxidable, de punta redonda , sin garra y con estrías . </t>
  </si>
  <si>
    <t>Reloj con Temporizador / timer para laboratorio: Digital, con dos o tres temporizadores independientes, que realice conteo del tiempo de forma ascendente y descendente, la medición del tiempo hasta 99 horas 59 minutos, 59 segundos, alarma con durabilidad de 1 minuto cuando el contabilizador llegue a cero, con capacidad de memoria, con clip de fijacion magnetica para superficies metálicas. Tipo Boe 220 Jumbo.</t>
  </si>
  <si>
    <t>Tapa de vidrio para desecador, 32 cm de diametro.</t>
  </si>
  <si>
    <t>Tijeras de mayo punta fina, recta de 13 a 16 cm de longitud, en acero inoxidable.</t>
  </si>
  <si>
    <t>Toallas de papel libre de fibra (Lint Free), para laboratorio tipo Kimwipes.</t>
  </si>
  <si>
    <t>Paquete de 280 toallas</t>
  </si>
  <si>
    <t xml:space="preserve">VALOR UNITARIO CON IVA </t>
  </si>
  <si>
    <t>HISTORICO 2022</t>
  </si>
  <si>
    <t xml:space="preserve">VALOR UNITARIO ESTIMADO CON IVA </t>
  </si>
  <si>
    <t xml:space="preserve">VALOR TOTAL CON IVA </t>
  </si>
  <si>
    <t>ANNAR</t>
  </si>
  <si>
    <t>AVANTIKA</t>
  </si>
  <si>
    <t>LAB BRANDS</t>
  </si>
  <si>
    <t>NORQUIMICOS</t>
  </si>
  <si>
    <t>QUIMITRONICA</t>
  </si>
  <si>
    <t>PAF</t>
  </si>
  <si>
    <t>ESTUDIO DE MERCADO</t>
  </si>
  <si>
    <t>Balón volumétrico  o aforado de 10 mL, clase A.</t>
  </si>
  <si>
    <t xml:space="preserve">Balón volumétrico  o aforado de 100 mL, clase A
</t>
  </si>
  <si>
    <t>Balón volumétrico o aforado de 5 mL, clase A</t>
  </si>
  <si>
    <t>Matraz aforado clase A de 100 mL con certificado de calibración individual (con un año de vigencia)</t>
  </si>
  <si>
    <t>Matraz aforado clase A de 2000 mL con certificado de calibración individual (con un año de vigencia)</t>
  </si>
  <si>
    <t>Matraz aforado clase A de 5 mL con certificado de calibración individual</t>
  </si>
  <si>
    <t>Matraz aforado clase A de 50 mL con certificado de calibración individual</t>
  </si>
  <si>
    <t xml:space="preserve">Mortero de porcelana con pistilo, aprox. Entre 10 y 15 cm de diámetro
</t>
  </si>
  <si>
    <t>Pipetas de vidrio tipo pasteur de 140-160 mm de longitud</t>
  </si>
  <si>
    <t>Caja x 250 unidades</t>
  </si>
  <si>
    <t>Pipetas pasteur larga, 220 a 250 mm, vidrio sodico-calcico, no esteriles.</t>
  </si>
  <si>
    <t>Pipetas pasteur plástica no esteril longitud 155-160 mm con capacidad de 3 ml graduadas.</t>
  </si>
  <si>
    <t>Caja x 500 unidades</t>
  </si>
  <si>
    <t>Probeta de 1000 mL en vidrio  y graduada., con pico,  base de plastico o vidrio.</t>
  </si>
  <si>
    <t xml:space="preserve">Tubos de ensayo  en vidrio  (borosilicato) fondo redondo de 15 mL (16x150mm) con tapa rosca </t>
  </si>
  <si>
    <t>caja x 250 unidades</t>
  </si>
  <si>
    <t>Tubos de ensayo  en vidrio (borosilicato)  fondo redondo de 7mL (13 x 100 mm) con tapa rosca</t>
  </si>
  <si>
    <t>Tubos de ensayo  en vidrio borosilicato  fondo redondo de 15 mL (15x150mm) sin tapa</t>
  </si>
  <si>
    <t>Tubos de ensayo de vidrio borosilicato, fondo redondo,  de 16 mL (15/16-125mm) con tapa rosca.</t>
  </si>
  <si>
    <t xml:space="preserve">Tubos de ensayo en vidrio (borosilicato)  fondo redondo de 10 mL  (16x100mm) con tapa rosca. </t>
  </si>
  <si>
    <t>Vaso de precipitado (Beaker) de forma baja, con pico, graduado, resistente a altas temperaturas (en borosilicato), volumen nominal de 10 mL</t>
  </si>
  <si>
    <t>Vaso de precipitado (Beaker) de forma baja, con pico, graduado, resistente a altas temperaturas (en borosilicato), volumen nominal de 100 mL</t>
  </si>
  <si>
    <t>Vaso de precipitado (Beaker) de forma baja, con pico, graduado, resistente a altas temperaturas (en borosilicato), volumen nominal de 1000 mL</t>
  </si>
  <si>
    <t>Vaso de precipitado (Beaker) de forma baja, con pico, graduado, resistente a altas temperaturas (en borosilicato), volumen nominal de 2000 mL</t>
  </si>
  <si>
    <t>Vaso de precipitado (Beaker) de forma baja, con pico, graduado, resistente a altas temperaturas (en borosilicato), volumen nominal de 250 mL</t>
  </si>
  <si>
    <t>Vaso de precipitado (Beaker) de forma baja, con pico, graduado, resistente a altas temperaturas (en borosilicato), volumen nominal de 50 mL</t>
  </si>
  <si>
    <t xml:space="preserve">Vaso de precipitado (Beaker) de forma baja, con pico, graduado, resistente a altas temperaturas (en borosilicato), volumen nominal de 500-600 mL
</t>
  </si>
  <si>
    <t>ITEM</t>
  </si>
  <si>
    <t>LOTE 2</t>
  </si>
  <si>
    <t>Frasco de vidrio transaparente con tapa rosca, redondo, resistente a altas temperaturas (máx. 140°C), autoclavable (frasco en en borosilicato y tapa el polipropileno), tapa con con sello integral/interno, frasco con anillo vertido libre de goteo, volumen nominal de 50ml</t>
  </si>
  <si>
    <t>Frasco de vidrio transaparente con tapa rosca, redondo, resistente a altas temperaturas (máx 140°C), autoclavable (frasco en en borosilicato y tapa el polipropileno), tapa con con sello integral/interno, frasco con anillo vertido libre de goteo, volumen nominal de 250ml</t>
  </si>
  <si>
    <t>Frasco de vidrio transaparente con tapa rosca, redondo, resistente a altas temperaturas (máx. 140°C), autoclavable (frasco en en borosilicato y tapa el polipropileno), tapa con con sello integral/interno, frasco con anillo vertido libre de goteo, volumen nominal de 500ml</t>
  </si>
  <si>
    <t>Frasco de vidrio transaparente con tapa rosca, redondo, resistente a altas temperaturas (máx. 140°C), autoclavable (frasco en en borosilicato y tapa el polipropileno), tapa con con sello integral/interno, frasco con anillo vertido libre de goteo, volumen nominal de 1000ml</t>
  </si>
  <si>
    <t xml:space="preserve">Frasco de vidrio transaparente con tapa rosca, redondo, resistente a altas temperaturas (máx. 140°C), autoclavable (frasco en en borosilicato y tapa el polipropileno), tapa con con sello integral/interno, frasco con anillo vertido libre de goteo, volumen nominal de 2000ml </t>
  </si>
  <si>
    <t>LOTE 3</t>
  </si>
  <si>
    <t xml:space="preserve">Caja de 500 unidades </t>
  </si>
  <si>
    <t>caja de 1000 unidades</t>
  </si>
  <si>
    <t>Tubos de microcentrífuga en polipropileno, fondo cónico de 1,5 ml, con tapa plana, con superficie de escritura, color natural.</t>
  </si>
  <si>
    <t>Bolsa por 500 unidades</t>
  </si>
  <si>
    <t>Bolsa de 500 unidades</t>
  </si>
  <si>
    <t>Tubos de microcentrífuga en polipropileno, fondo cónico de 2.0 ml, con tapa plana (no tapa rosca), graduados, con superficie de escritura.</t>
  </si>
  <si>
    <t>Paquete X 500 unidades</t>
  </si>
  <si>
    <t>Tubos de polipropileno fondo cónico, tapa rosca hermética, graduados, volumen de 15 mL, tipo falcon, no estéril, resistentes a solventes orgánicos.</t>
  </si>
  <si>
    <t>Paquete de 50 tubos</t>
  </si>
  <si>
    <t>DIRECCIÓN REGIONAL 
BOGOTÁ</t>
  </si>
  <si>
    <t>DIRECCIÓN REGIONAL
 NOROCCIDENTE</t>
  </si>
  <si>
    <t>DIRECCIÓN REGIONAL 
NORORIENTE</t>
  </si>
  <si>
    <t>DIRECCIÓN REGIONAL 
SUROCCIDENTE</t>
  </si>
  <si>
    <t>GRUPO NACIONAL GENETICA
 CONVENIO CONTRATO ICBF
 (BOGOTA)</t>
  </si>
  <si>
    <t>LOTE 4</t>
  </si>
  <si>
    <t>Tubos de ultrafiltración de 100.000 daltons, con volumen de filtrado (inicial) de 15 ml y volumen final de recuperación mínimo de 200 microlitros, Recuperación mayor del 90%. Resistente a fuerza centrífuga de 3000g o superior en rotor libre, y de 5000g o superior en rotor de ángulo fijo. Membrana vertical de celulosa regenerada. Tubo traslúcido con superficie de escritura. Referencia UFC910096 o su equivalente.</t>
  </si>
  <si>
    <t xml:space="preserve">Caja x 96 unidades </t>
  </si>
  <si>
    <t>Tubos de ultrafiltración de 30.000 daltons, con volumen de filtrado (inicial) de 15 ml y volumen final de recuperación mínimo de 200 microlitros, Recuperación mayor del 90%. Resistente a fuerza centrífuga de 3000g o superior en rotor libre y de 5000g o superior en rotor de ángulo fijo. Membrana vertical de celulosa regenerada. Tubo traslúcido. con superficie de escritura. Referencia UFC903096 o su equivalente.</t>
  </si>
  <si>
    <t>Caja x 96 unidades</t>
  </si>
  <si>
    <t>GRUPO NACIONAL DE APOYO
 AL 
SISTEMA DE VERDAD JUSTICIA 
REPARACIÓN Y NO REPETICIÓN -SSF (BOGOTA)</t>
  </si>
  <si>
    <t>GRUPO NACIONAL GENETICA 
CONVENIO
 CONTRATO ICBF (BOGOTA)</t>
  </si>
  <si>
    <t xml:space="preserve">LOTE 5 </t>
  </si>
  <si>
    <t xml:space="preserve">
VALOR UNITARIO CON IVA      
 </t>
  </si>
  <si>
    <t>Tubos de 1.5 ml tipo ClickFit Microtube, compatible con canastilla tipo Spin Baskets (ref V1221). Que el tubo tenga un cierre óptimo de la tapa con la canastilla adentro. Ref. V4741</t>
  </si>
  <si>
    <t>Bolsa por 1000</t>
  </si>
  <si>
    <t>Tubos de 1.5 ml tipo ClickFit Microtube, que incluya canastilla tipo Spin Baskets (ref V1221). Que el tubo tenga un cierre óptimo de la tapa con la canastilla adentro. Ref. V4741</t>
  </si>
  <si>
    <t>DIRECCIÓN REGIONAL
 NORTE</t>
  </si>
  <si>
    <t>DIRECCIÓN REGIONAL 
SUR</t>
  </si>
  <si>
    <t xml:space="preserve">LOTE 6 </t>
  </si>
  <si>
    <t>Papel filtro cualitativo, diámetro 12.5 cm, de flujo lento, grosor nominal entre 140 y 200 um, rango de retención entre 2 y 4 um, peso base entre 80-100 g/m2.</t>
  </si>
  <si>
    <t>Paquete de 100 filtros</t>
  </si>
  <si>
    <t>Papel filtro cualitativo, diámetro 15 cm, de flujo lento, grosor nominal entre 140 y 200 um, rango de retención entre 2 y 4 um, peso base entre 80-100 g/m2.</t>
  </si>
  <si>
    <t xml:space="preserve">Papel indicador de pH rango de  0/1-14.
</t>
  </si>
  <si>
    <t>rollo x 5mt</t>
  </si>
  <si>
    <t xml:space="preserve">Varillas (strips) indicadoras de pH 0-14 con escala colorimétrica, de 4 pads o almohadillas (No papel indicador). </t>
  </si>
  <si>
    <t>Paquete de 100 varillas</t>
  </si>
  <si>
    <t>LOTE 7</t>
  </si>
  <si>
    <t xml:space="preserve">
Gradilla en polipropileno o PTFE para tubos tipo falcon (cónicos) de 15ml  (diámetro de 16-18mm) capacidad  de 40-60 tubos.
</t>
  </si>
  <si>
    <t>Gradilla en polipropileno o PTFE para tubos de 1,5ml de fondo cónico capacidad  de 80-100 tubos.</t>
  </si>
  <si>
    <t>Gradilla en PTFE para 50 tubos / viales, tamaño del pozo de 25 mm en disposición 5x10.</t>
  </si>
  <si>
    <t>Gradillas para tubos de ensayo en polipropileno o PTFE. Capacidad para 40 tubos. Tamaño del orificio: entre 17 x 17 mm y 21 x 21 mm</t>
  </si>
  <si>
    <t>Gradillas para tubos de ensayo en polipropileno o PTFE. Capacidad para 55-60 tubos. Tamaño del orificio: diamentro entre 16x 16 mm y 18 x18mm</t>
  </si>
  <si>
    <t>DIRECCIÓN REGIONAL
 OCCIDENTE</t>
  </si>
  <si>
    <t>DIRECCIÓN REGIONAL
 SUROCCIDENTE</t>
  </si>
  <si>
    <t>LOTE 8</t>
  </si>
  <si>
    <t>DIRECCIÓN REGIONA
L NOROCCIDENTE</t>
  </si>
  <si>
    <t>Dispensador de volumenes variables para botella. Para dispensación directa desde frascos de reactivos (sales, basese y solventes) Rango de volumen de 1 - 10 mL incrementos de 0,2 mL o mejor.</t>
  </si>
  <si>
    <t xml:space="preserve">LOTE 9 </t>
  </si>
  <si>
    <t>Frasco en polipropileno de alta densidad capacidad 1 litro-1,5 litros, dimensiones 9cm - 10 cm de diámetro x 13 cm-21cm de alto. Tapa rosca de diámetro 4cm-6cm</t>
  </si>
  <si>
    <t xml:space="preserve">ESTUDIO DE MERCADO </t>
  </si>
  <si>
    <t>LOTE  10</t>
  </si>
  <si>
    <t>Película Sellante óptica termoresistente para platos de 96 pozos de PCR</t>
  </si>
  <si>
    <t>Caja por 100 unidades</t>
  </si>
  <si>
    <t>LOTE 11</t>
  </si>
  <si>
    <t>WACOL</t>
  </si>
  <si>
    <t>REGIONAL BOGOTA</t>
  </si>
  <si>
    <t>REGIONAL ORIENTE</t>
  </si>
  <si>
    <t>REGIONAL NOROCCIDENTE</t>
  </si>
  <si>
    <t>REGIONAL NORORIENTE</t>
  </si>
  <si>
    <t>REGIONAL NORTE</t>
  </si>
  <si>
    <t>REGIONAL SUR</t>
  </si>
  <si>
    <t>REGIONAL SUROCCIDENTE</t>
  </si>
  <si>
    <t>NIPRO MEDICAL CORPORATION</t>
  </si>
  <si>
    <t>MEBIOX SAS</t>
  </si>
  <si>
    <t>WILFERTEC S.A.S </t>
  </si>
  <si>
    <t xml:space="preserve">VALOR TOTAL </t>
  </si>
  <si>
    <t xml:space="preserve">TOTAL ESTIMADO LOTE 1 </t>
  </si>
  <si>
    <t xml:space="preserve">GRAFICO DE DISPERSIÓN </t>
  </si>
  <si>
    <t xml:space="preserve">TOTAL ESTIMADO LOTE 2 </t>
  </si>
  <si>
    <t xml:space="preserve">TOTAL ESTIMADO LOTE 3 </t>
  </si>
  <si>
    <t xml:space="preserve">GRAFICA DE DISPERSIÓN </t>
  </si>
  <si>
    <t xml:space="preserve">TOTAL ESTIMADO LOTE 4 </t>
  </si>
  <si>
    <t>TOTAL ESTIMADO LOTE 5</t>
  </si>
  <si>
    <t xml:space="preserve">SANITAS </t>
  </si>
  <si>
    <t xml:space="preserve">TOTAL ESTIMADO LOTE 7 </t>
  </si>
  <si>
    <t>TOTAL ESTIMADO LOTE 8</t>
  </si>
  <si>
    <t xml:space="preserve">TOTAL ESTIMADO LOTE 9 </t>
  </si>
  <si>
    <t>TOTAL ESTIMADO LOTE 10</t>
  </si>
  <si>
    <t>TOTAL ESTIMADO LOTE 12</t>
  </si>
  <si>
    <t>CANTIDAD TOTAL ESTIMADA</t>
  </si>
  <si>
    <t>Cianoacrilato de metilo/etilo en solución, tipo CNA103  o su equivalente.</t>
  </si>
  <si>
    <t>Frasco * 16 onzas</t>
  </si>
  <si>
    <t>Limpiador de cianoacrilato en spray</t>
  </si>
  <si>
    <t>Frasco * 8 onzas en spray</t>
  </si>
  <si>
    <t xml:space="preserve">
Bandejas desechables de ahumado</t>
  </si>
  <si>
    <t>Paquete * 25</t>
  </si>
  <si>
    <t>Aplicador para  polvo magnético estandar</t>
  </si>
  <si>
    <t xml:space="preserve">Unidad </t>
  </si>
  <si>
    <t xml:space="preserve">
Aplicador para  polvo magnético  MEGAWAND</t>
  </si>
  <si>
    <t xml:space="preserve">
Aplicador para polvo magnético  GIGAMAG</t>
  </si>
  <si>
    <t xml:space="preserve">Brocha de fibra de carbono de 5,0 cm.
</t>
  </si>
  <si>
    <t xml:space="preserve">
Cepillo de fibra de vidrio de tamaño estándar con mango de plástico. Cerda de mímimo  5cm de largo</t>
  </si>
  <si>
    <t xml:space="preserve">
Minicepillo de fibra de vidrio con  luz LED de alta intensidad (azul)</t>
  </si>
  <si>
    <t xml:space="preserve">
Minicepillo de fibra de vidrio con  luz LED de alta intensidad (azul) para mejorar visisbilidad de  huellas dactilares latentes utilizando polvos fluorescentes.</t>
  </si>
  <si>
    <t>Planchas rectangulares de acero inoxidable para reseña dactilar, 25 cm x 10 (largo x ancho).</t>
  </si>
  <si>
    <t xml:space="preserve">
Rodillo de tinta para  huellas dactilares,  de fácil agarre, tamaño 3"</t>
  </si>
  <si>
    <t xml:space="preserve">
Tinta para huellas dactilares.</t>
  </si>
  <si>
    <t>Tubo * 2 onzas</t>
  </si>
  <si>
    <t xml:space="preserve">
Almohadillas de tinta referencia  PRINTMATIC™ con  estuche de polipropileno,  tapa con cierre a presión positivo de 16 cm largo x 8cm ancho</t>
  </si>
  <si>
    <t xml:space="preserve">
Limpiador no inflamable para eliminar   la tinta de huellas dactilares de las placas de tinta, los rodillos y las manos. </t>
  </si>
  <si>
    <t>Tarro * 128 onzas</t>
  </si>
  <si>
    <t>Trasplantadores dobles, base blanca 2" X4"</t>
  </si>
  <si>
    <t>Trasplantadores dobles, base negra 2"  X4"</t>
  </si>
  <si>
    <t xml:space="preserve">
Removedor de cintas adhesivas, etiquetas y sellos</t>
  </si>
  <si>
    <t>Frasco * 4 onzas</t>
  </si>
  <si>
    <t>Amarillo básico (basic yelow) en spray.</t>
  </si>
  <si>
    <t xml:space="preserve">
Rojo Húngaro en spray para teñir las impresiones que se encuentran en la sangre</t>
  </si>
  <si>
    <t>Frasco * 500 ml</t>
  </si>
  <si>
    <t xml:space="preserve">
Tinte fluorescente Ardrox en spray</t>
  </si>
  <si>
    <t>Amido black.</t>
  </si>
  <si>
    <t>Frasco * 25 g</t>
  </si>
  <si>
    <t xml:space="preserve">
Revelador físico</t>
  </si>
  <si>
    <t>Frasco * 1 L</t>
  </si>
  <si>
    <t>Diazafluoreno en spary</t>
  </si>
  <si>
    <t xml:space="preserve">Frasco * 100 ml </t>
  </si>
  <si>
    <t xml:space="preserve">
Pistola de vapor desechable con yodo</t>
  </si>
  <si>
    <t>Paquete * 6 unidades</t>
  </si>
  <si>
    <t xml:space="preserve">Ninhidrina fórmula especial en spray.
Rociador de ninhidrina fórmula especial en spray </t>
  </si>
  <si>
    <t xml:space="preserve">Frasco * 8 onzas </t>
  </si>
  <si>
    <t>Nitrato de plata en spray.</t>
  </si>
  <si>
    <t>Solución ezflo</t>
  </si>
  <si>
    <t>Frasco * 6 onzas</t>
  </si>
  <si>
    <t>Sudan black.</t>
  </si>
  <si>
    <t>Frasco * 30 g</t>
  </si>
  <si>
    <t>Ninhidrina HT en spray</t>
  </si>
  <si>
    <t xml:space="preserve">Aerosol de Nihidrina con acetona </t>
  </si>
  <si>
    <t xml:space="preserve">Frasco * 11 onzas </t>
  </si>
  <si>
    <t xml:space="preserve">
Solución de nitrato de plata en spray.</t>
  </si>
  <si>
    <t xml:space="preserve">Frasco * 8 onzas   </t>
  </si>
  <si>
    <t>Combinación cepillo/polvo FACII, negro seda</t>
  </si>
  <si>
    <t xml:space="preserve">  
Polvo magnético plateado/negro para huellas dactilares</t>
  </si>
  <si>
    <t>Frasco * 1 onza</t>
  </si>
  <si>
    <t xml:space="preserve">
Polvo fluorescente para impresiones dactilares amarillo.</t>
  </si>
  <si>
    <t>Frasco * 2 onzas</t>
  </si>
  <si>
    <t xml:space="preserve">
Polvo magnético  fluorescente  amarillo</t>
  </si>
  <si>
    <t xml:space="preserve">
Polvo magnético  fluorescente  naranja</t>
  </si>
  <si>
    <t xml:space="preserve">
Polvo magnético  fluorescente  rojo</t>
  </si>
  <si>
    <t xml:space="preserve">
Polvo magnético  fluorescente  verde</t>
  </si>
  <si>
    <t>Reactivo fluorescente naranja.</t>
  </si>
  <si>
    <t>Reactivo fluorescente rojo.</t>
  </si>
  <si>
    <t>Reactivo fluorescente verde.</t>
  </si>
  <si>
    <t>.
 Polvo magnético gris</t>
  </si>
  <si>
    <t xml:space="preserve">
Polvo magnético negro</t>
  </si>
  <si>
    <t>Reactivo magnucle</t>
  </si>
  <si>
    <t xml:space="preserve">
Polvo para revelado de cintas adhesivas-blanco</t>
  </si>
  <si>
    <t>Frasco * 50 g</t>
  </si>
  <si>
    <t xml:space="preserve">
Polvo para revelado de cintas adhesivas negro</t>
  </si>
  <si>
    <t>Resaltador de crestas EZ SCAN.</t>
  </si>
  <si>
    <t>Frasco de 45 mL (1.5 oz)</t>
  </si>
  <si>
    <t>Reactivo pulverulento gris.</t>
  </si>
  <si>
    <t>Reactivo pulverulento metálico gris.</t>
  </si>
  <si>
    <t xml:space="preserve">Reactivo pulverulento metálico dorado  </t>
  </si>
  <si>
    <t>Frasco * 2 onzas </t>
  </si>
  <si>
    <t>Reactivo pulverulento negro de humo.</t>
  </si>
  <si>
    <t>Reactivo pulverulento rojo brillante.</t>
  </si>
  <si>
    <t>Cinta de polietileno para trasplante huellas latentes  de 2 pulgadas de ancho.</t>
  </si>
  <si>
    <t xml:space="preserve">Tarjetas control para camara cianocrilato 5X10cm      </t>
  </si>
  <si>
    <t>Libro de 50 Unidades</t>
  </si>
  <si>
    <t xml:space="preserve">METYL violeta                                                                                </t>
  </si>
  <si>
    <t>Frasco x 25 gramos</t>
  </si>
  <si>
    <t>Reactivo pequeña particula negro referencia SPR1001</t>
  </si>
  <si>
    <t>Frasco x 500 ml</t>
  </si>
  <si>
    <t>Reactivo pequeña particula blanco referencia SPR2001</t>
  </si>
  <si>
    <t>Reactivo pequeña particula fluorescente SPR400UV</t>
  </si>
  <si>
    <t>Kit</t>
  </si>
  <si>
    <t>Escala de evidencia fotográfica en vinilo de 15 centímetros fluorescente, para toma de fotografías con testigo métrico en Lofoscopia.</t>
  </si>
  <si>
    <t>Paquete 10 unidades </t>
  </si>
  <si>
    <t>Escala de evidencia fotográfica en vinilo de 5 centímetros en “L “blanca y negra, para toma de fotografías con testigo métrico en Lofoscopia.</t>
  </si>
  <si>
    <t>Frasco * 8 onzas</t>
  </si>
  <si>
    <r>
      <t>Kit de molde de silicona</t>
    </r>
    <r>
      <rPr>
        <strike/>
        <sz val="8"/>
        <rFont val="Arial"/>
        <family val="2"/>
      </rPr>
      <t xml:space="preserve">
</t>
    </r>
    <r>
      <rPr>
        <sz val="8"/>
        <rFont val="Arial"/>
        <family val="2"/>
      </rPr>
      <t>incluye : 
1 -  Goma de silicona líquida, 1 lb
1 - Vial de catalizador 
1 -  Agente desmoldante de caucho de silicona, rociador de bomba de 4 oz
1 - Cuchara de acero 
1 -  Recipiente plástico para mezclar, 1 cuarto de galón
1 - Espátula con  hoja de acero de 7"</t>
    </r>
  </si>
  <si>
    <t xml:space="preserve">VALOR UNITARIO ESTIMADO </t>
  </si>
  <si>
    <t xml:space="preserve">VALOR TOTAL ESTIMADO </t>
  </si>
  <si>
    <t>VALOR UNITARIO CON IVA 
SF INTERNATIONAL</t>
  </si>
  <si>
    <r>
      <t>Frasco * 500 ml</t>
    </r>
    <r>
      <rPr>
        <strike/>
        <sz val="8"/>
        <rFont val="Arial"/>
        <family val="2"/>
      </rPr>
      <t xml:space="preserve"> </t>
    </r>
  </si>
  <si>
    <t>Filtros de carbón activado para cabina de cianocrilato tipo MVC/FILT1  o su equivalente</t>
  </si>
  <si>
    <t>VALOR UNITARIO CON IVA 
SANITAS</t>
  </si>
  <si>
    <t>Bolsa multibarrera metalizada con cierre de seguridad autoadhesivo para almacenamiento y transporte de tarjetas FTA de dos círculos (bolsa small), medidas externas: 9.5 cm (+1 cm) de ancho x 7.6 cm (+1 cm) de largo, que incluya bolsa desecante</t>
  </si>
  <si>
    <t>Paquete X 100</t>
  </si>
  <si>
    <t>Tarjetas tipo FTA para recolección de muestras de sangre, dos (2) círculos prediseñados, capacidad mínima 250 micro litros de muestra por tarjeta.</t>
  </si>
  <si>
    <t>Caja X 100</t>
  </si>
  <si>
    <t>Tarjetas tipo FTA para recolección de muestras de sangre, un (1) círculo prediseñados, capacidad mínima 125 micro litros de muestra por tarjeta.</t>
  </si>
  <si>
    <t xml:space="preserve">DIRECCIÓN REGIONAL NORORIENTE </t>
  </si>
  <si>
    <t xml:space="preserve">G &amp; G SUCESORES </t>
  </si>
  <si>
    <t>THERMO FISHER SCIENTIFIC</t>
  </si>
  <si>
    <t>GRAFICA DE DISPERSIÓN</t>
  </si>
  <si>
    <t xml:space="preserve"> Caja X100 Unidades</t>
  </si>
  <si>
    <t>TOTAL ESTIMADO LOTE 6</t>
  </si>
  <si>
    <t>TOTAL ESTIMADO LOTE 11</t>
  </si>
  <si>
    <t xml:space="preserve"> LOTE 12</t>
  </si>
  <si>
    <t>TOTAL ESTIMADO LOTE 13</t>
  </si>
  <si>
    <t>LOTE 13</t>
  </si>
  <si>
    <t>LOTE 14</t>
  </si>
  <si>
    <t>TOTAL ESTIMADO LOTE 14</t>
  </si>
  <si>
    <t>LOTE 15</t>
  </si>
  <si>
    <t>TOTAL ESTIMADO LOTE 15</t>
  </si>
  <si>
    <t>LOTE 1</t>
  </si>
  <si>
    <t>LOTE 5</t>
  </si>
  <si>
    <t>LOTE 6</t>
  </si>
  <si>
    <t>LOTE 9</t>
  </si>
  <si>
    <t>LOTE 10</t>
  </si>
  <si>
    <t>LOTE 12</t>
  </si>
  <si>
    <t xml:space="preserve">VALOR TOTAL POR LOTES </t>
  </si>
  <si>
    <t xml:space="preserve">LOTES </t>
  </si>
  <si>
    <t>TOTAL PROCESO</t>
  </si>
  <si>
    <t>ESPECIFICACIÓN TÉCNICA</t>
  </si>
  <si>
    <t xml:space="preserve">UNIDAD DE MEDIDA
(PRESENTACION) </t>
  </si>
  <si>
    <t xml:space="preserve">CANTIDAD TOTAL ESTIMADA </t>
  </si>
  <si>
    <t xml:space="preserve">CLASIFICACIÓN DEL BIEN O SERVICIO DE
ACUERDO CON EL CLASIFICADOR DE
BIENES Y SERVICIOS
</t>
  </si>
  <si>
    <t>CALIDAD MINIMA</t>
  </si>
  <si>
    <t xml:space="preserve">PATRONES DE DESEMPEÑO MINIMOS </t>
  </si>
  <si>
    <t xml:space="preserve">No aplica </t>
  </si>
  <si>
    <t>ESPECIFICACION  TÉCNICA</t>
  </si>
  <si>
    <t xml:space="preserve">UNIDAD DE MEDIDA (PRESENTACION) </t>
  </si>
  <si>
    <t>41116100
46151700</t>
  </si>
  <si>
    <t>Procesamiento Muestras de Lofoscopia</t>
  </si>
  <si>
    <t xml:space="preserve">41121800
41104100
</t>
  </si>
  <si>
    <t>Almacenamiento y recolección de muestras</t>
  </si>
  <si>
    <t>REGIONALIZACIÓN LOTE 1</t>
  </si>
  <si>
    <t>REGIONALIZACIÓN LOTE 2</t>
  </si>
  <si>
    <t>REGIONALIZACIÓN LOTE 3</t>
  </si>
  <si>
    <t>REGIONALIZACIÓN LOTE 4</t>
  </si>
  <si>
    <t>REGIONALIZACIÓN LOTE 5</t>
  </si>
  <si>
    <t>REGIONALIZACIÓN LOTE 6</t>
  </si>
  <si>
    <t xml:space="preserve">REGIONALIZACIÓN LOTE 7 </t>
  </si>
  <si>
    <t>REGIONALIZACIÓN LOTE 10</t>
  </si>
  <si>
    <t>REGIONALIZACIÓN LOTE 9</t>
  </si>
  <si>
    <t>REGIONALIZACIÓN LOTE 8</t>
  </si>
  <si>
    <t>REGIONALIZACIÓN LOTE 11</t>
  </si>
  <si>
    <t>REGIONALIZACIÓN LOTE 14</t>
  </si>
  <si>
    <t>REGIONALIZACIÓN LOTE 13</t>
  </si>
  <si>
    <t>REGIONALIZACIÓN LOTE 12</t>
  </si>
  <si>
    <t xml:space="preserve">REGIONALIZACIÓN LOTE 15 </t>
  </si>
  <si>
    <t>LABORATORIOS</t>
  </si>
  <si>
    <t>VICTIMAS</t>
  </si>
  <si>
    <t>ADN REC 11</t>
  </si>
  <si>
    <t xml:space="preserve">BOGOTA </t>
  </si>
  <si>
    <t>NOROCCIDENTE</t>
  </si>
  <si>
    <t>NORORIENTE</t>
  </si>
  <si>
    <t>OCCIDENTE</t>
  </si>
  <si>
    <t>SUROCCIDENTE</t>
  </si>
  <si>
    <t>NORTE</t>
  </si>
  <si>
    <t>SUR</t>
  </si>
  <si>
    <t>ORIENTE</t>
  </si>
  <si>
    <t>DIRECCION GENERAL</t>
  </si>
  <si>
    <t>CANTIDAD ESTIMADA</t>
  </si>
  <si>
    <t>MEJORAMIENTO DE LA CAPACIDAD DE ANÁLISIS EN PRUEBAS DE ADN A NIVEL NACIONAL
LOTES 6,8,10,13,14 Y 15</t>
  </si>
  <si>
    <t>MEJORAMIENTO DE LA CAPACIDAD EN EL DESARROLLO DE LA BÚSQUEDA E IDENTIFICACIÓN DE PERSONAS DESAPARECIDAS, ENFOQUE DIFERENCIAL Y ATENCIÓN PSICOSOCIAL A VÍCTIMAS EN EL NIVEL NACIONAL
Lote 12</t>
  </si>
  <si>
    <t>FORTALECIMIENTO DE LA CAPACIDAD Y CALIDAD CIENTÍFICA DE LOS ENSAYOS REALIZADOS EN LOS LABORATORIOS FORENSES NACIONAL
Lotes 1,2,3,4,5,7,9 y 11</t>
  </si>
  <si>
    <t>41121700
41121800</t>
  </si>
  <si>
    <t>Lancetas estériles desechables (para obtención de muestras de sangre) con mecanismo de disparo automático al contacto; cuerpo y tapa en plástico, que cubra/resguarde la aguja (tipo lanceta para glucómetro)</t>
  </si>
  <si>
    <t>42281800
24112600
40161500
41104900
41121800
41122400
41122800
41111600
41104800
41121700</t>
  </si>
  <si>
    <r>
      <rPr>
        <b/>
        <sz val="8"/>
        <rFont val="Arial"/>
        <family val="2"/>
      </rPr>
      <t>Embudo analítico plástico de medida 50-65 mm diámetro del embudo x 150-200 mm Largo total  x 7-10 mm diámetro del vástago</t>
    </r>
    <r>
      <rPr>
        <sz val="8"/>
        <rFont val="Arial"/>
        <family val="2"/>
      </rPr>
      <t xml:space="preserve">
</t>
    </r>
  </si>
  <si>
    <r>
      <t xml:space="preserve">Tubo de ensayo en vidrio borosilicato, sin tapa, fondo redondo, de </t>
    </r>
    <r>
      <rPr>
        <b/>
        <sz val="8"/>
        <rFont val="Arial"/>
        <family val="2"/>
      </rPr>
      <t>13±1 x 100mm</t>
    </r>
  </si>
  <si>
    <t>PRUEBAS DE LABORATORIO A REALIZAR A LAS MUESTRAS RECIBIDAS PARA EVALUACIÓN</t>
  </si>
  <si>
    <t>ITEM 60</t>
  </si>
  <si>
    <t>ITEM 61</t>
  </si>
  <si>
    <t>ITEM 63</t>
  </si>
  <si>
    <t>ITEM 64</t>
  </si>
  <si>
    <t>ITEM 66</t>
  </si>
  <si>
    <t>1. Sellado de la tapa: Que el cierre el tubo sea de fácil ajuste e impida derrames.
2. Se someterá a las condiciones de uso del Laboratorio:
a) 24 horas a 56°C en movimiento por rotación o inversión, conteniendo los reactivos empleados para la digestión de muestras Oseas. Se evaluará: Derrame (sellado de la tapa), resistencia del tubo a las condiciones (ruptura).
b) Resistencia a fenol y cloroformo en las cantidades y concentraciones usadas en el Laboratorio para la extracción de ADN.</t>
  </si>
  <si>
    <t>• Sellado de la tapa: Que la tapa ajuste en el tubo encajando firmemente.
• Estabilidad del material del tubo al someterse a ebullición.</t>
  </si>
  <si>
    <t>• Sellado de la tapa: Que la tapa ajuste en el tubo encajando firmemente.
• Estabilidad del material al someterse a un proceso de termociclaje.
• Medición de la pérdida de volumen después de un proceso de termociclaje, se acepta pérdida máxima del 10% en relación con el volumen inicial.</t>
  </si>
  <si>
    <t>CONDICIONES DE ENTREGA DE LAS MUESTRAS</t>
  </si>
  <si>
    <t xml:space="preserve">1.     El proponente que presente oferta para el lote 4 items 60, 61, 63, 64 y 66, deberá enviar cinco (5) unidades de los elementos correspondientes a los lotes mencionados, para realizar la respectiva evaluación técnica.
 2.     Estas muestras no serán devueltas y no generarán costo alguno para el Instituto, ni forman parte de las cantidades requeridas.
3.     Las muestras deben enviarse en empaque individual, rotulado, con la siguiente información: Número del proceso, marca, referencia, y empresa oferente.
4.     Las muestras deberán ser entregadas con la propuesta en la sede central del Instituto Nacional de Medicina Legal y Ciencias Forenses, ubicada en la Calle 7A No. 12A - 51, oficina de correspondencia. Esta información se reflejará en el cronograma y en el documento complementario pliego definitivo, publicados en la plataforma SECOP II.
5.     Los sobres deberán entregarse rotulados de la siguiente manera. </t>
  </si>
  <si>
    <r>
      <t xml:space="preserve">Tubos de centrífuga en polipropileno, fondo cónico, tapa rosca, plana y lisa, graduados, volumen de 50 ml (tipo falcon) Resistencia (de menor a moderada) a Fenol, Cloroformo, a fuerza centrífuga de 4000g o mayor, y a temperatura de 56ºC en agitación prolongada con soluciones acuosas </t>
    </r>
    <r>
      <rPr>
        <sz val="8"/>
        <color rgb="FFFF0000"/>
        <rFont val="Arial"/>
        <family val="2"/>
      </rPr>
      <t xml:space="preserve">(Presentar muestras por 5 unidades) </t>
    </r>
  </si>
  <si>
    <r>
      <t xml:space="preserve">Tubos de microcentrífuga en polipropileno de 0.5/0.6 ml, con tapa plana, graduados, con superficie de escritura, color natural, resistentes a autoclavado, libres de DNA´s y RNA´s.  </t>
    </r>
    <r>
      <rPr>
        <sz val="8"/>
        <color rgb="FFFF0000"/>
        <rFont val="Arial"/>
        <family val="2"/>
      </rPr>
      <t>(Presentar muestras por 5 unidades)</t>
    </r>
  </si>
  <si>
    <r>
      <t xml:space="preserve">Tubos de microcentrífuga en polipropileno, fondo cónico de 1,5 ml, con tapa plana, graduados, con superficie de escritura, color natural, resistentes a autoclavado, libres de DNA´s y RNA´s. </t>
    </r>
    <r>
      <rPr>
        <sz val="8"/>
        <color rgb="FFFF0000"/>
        <rFont val="Arial"/>
        <family val="2"/>
      </rPr>
      <t>(presentar muestras por 5 unidades)</t>
    </r>
  </si>
  <si>
    <r>
      <t xml:space="preserve">Tubos de microcentrífuga en polipropileno, fondo cónico de 2.0 ml, con tapa plana (no tapa rosca), graduados, con superficie de escritura, color natural, resistentes a autoclavado, libres de DNA´s y RNA´s.  </t>
    </r>
    <r>
      <rPr>
        <sz val="8"/>
        <color rgb="FFFF0000"/>
        <rFont val="Arial"/>
        <family val="2"/>
      </rPr>
      <t>(Presentar muestras por 5 unidades)</t>
    </r>
  </si>
  <si>
    <r>
      <t xml:space="preserve">Tubos de PCR 0,2mL en polipropileno de pared delgada libres de DNAsa, RNAsa y DNA, resistentes a autoclavado, tapa plana, color natural </t>
    </r>
    <r>
      <rPr>
        <sz val="8"/>
        <color rgb="FFFF0000"/>
        <rFont val="Arial"/>
        <family val="2"/>
      </rPr>
      <t>(Presentar muestras por 5 unidades)</t>
    </r>
  </si>
  <si>
    <t>Tubo al vacío tapa roja de 6 ml. Dimensiones 13 X 100 mm (con aditivo en paredes internas y sin gel de separación), en material PET</t>
  </si>
  <si>
    <r>
      <t xml:space="preserve">
Plumero  Marabu, blanco.Longitud de la pluma de 12 cm                                        </t>
    </r>
    <r>
      <rPr>
        <i/>
        <sz val="8"/>
        <rFont val="Arial"/>
        <family val="2"/>
      </rPr>
      <t xml:space="preserve">(Brocha de fibra de avestruz de 12 cm,
color blanco)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</si>
</sst>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11"/>
      <color theme="1"/>
      <name val="Arial"/>
      <family val="2"/>
    </font>
    <font>
      <sz val="8"/>
      <color theme="1"/>
      <name val="Arial"/>
      <family val="2"/>
    </font>
    <font>
      <sz val="8"/>
      <name val="Arial"/>
      <family val="2"/>
    </font>
    <font>
      <b/>
      <sz val="8"/>
      <name val="Arial"/>
      <family val="2"/>
    </font>
    <font>
      <b/>
      <sz val="8"/>
      <color theme="1"/>
      <name val="Arial"/>
      <family val="2"/>
    </font>
    <font>
      <b/>
      <sz val="9"/>
      <color theme="1"/>
      <name val="Arial"/>
      <family val="2"/>
    </font>
    <font>
      <sz val="9"/>
      <color theme="1"/>
      <name val="Arial"/>
      <family val="2"/>
    </font>
    <font>
      <b/>
      <sz val="8"/>
      <color theme="1"/>
      <name val="Calibri"/>
      <family val="2"/>
      <scheme val="minor"/>
    </font>
    <font>
      <strike/>
      <sz val="8"/>
      <name val="Arial"/>
      <family val="2"/>
    </font>
    <font>
      <sz val="8"/>
      <color rgb="FF000000"/>
      <name val="Arial"/>
      <family val="2"/>
    </font>
    <font>
      <sz val="8"/>
      <color rgb="FF1F1F1F"/>
      <name val="Arial"/>
      <family val="2"/>
    </font>
    <font>
      <sz val="8"/>
      <color rgb="FF222222"/>
      <name val="Arial"/>
      <family val="2"/>
    </font>
    <font>
      <sz val="8"/>
      <color theme="1"/>
      <name val="Calibri"/>
      <family val="2"/>
      <scheme val="minor"/>
    </font>
    <font>
      <b/>
      <sz val="9"/>
      <color rgb="FF1F1F1F"/>
      <name val="Arial"/>
      <family val="2"/>
    </font>
    <font>
      <sz val="8"/>
      <color rgb="FFFF0000"/>
      <name val="Arial"/>
      <family val="2"/>
    </font>
    <font>
      <i/>
      <sz val="8"/>
      <name val="Arial"/>
      <family val="2"/>
    </font>
  </fonts>
  <fills count="8">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92D050"/>
        <bgColor indexed="64"/>
      </patternFill>
    </fill>
    <fill>
      <patternFill patternType="solid">
        <fgColor rgb="FFFFFFFF"/>
        <bgColor indexed="64"/>
      </patternFill>
    </fill>
    <fill>
      <patternFill patternType="solid">
        <fgColor theme="7"/>
        <bgColor indexed="64"/>
      </patternFill>
    </fill>
    <fill>
      <patternFill patternType="solid">
        <fgColor theme="4"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3" fillId="0" borderId="0"/>
    <xf numFmtId="0" fontId="4"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222">
    <xf numFmtId="0" fontId="0" fillId="0" borderId="0" xfId="0"/>
    <xf numFmtId="0" fontId="0" fillId="0" borderId="0" xfId="0" applyAlignment="1">
      <alignment horizontal="center"/>
    </xf>
    <xf numFmtId="0" fontId="0" fillId="0" borderId="0" xfId="0" applyAlignment="1">
      <alignment horizontal="center" vertical="center"/>
    </xf>
    <xf numFmtId="0" fontId="7" fillId="0" borderId="1" xfId="2" applyFont="1" applyFill="1" applyBorder="1" applyAlignment="1">
      <alignment horizontal="center" vertical="center"/>
    </xf>
    <xf numFmtId="0" fontId="7" fillId="0" borderId="1" xfId="2" applyFont="1" applyFill="1" applyBorder="1" applyAlignment="1">
      <alignment horizontal="center" vertical="center" wrapText="1"/>
    </xf>
    <xf numFmtId="3" fontId="6" fillId="0" borderId="1" xfId="2" applyNumberFormat="1" applyFont="1" applyFill="1" applyBorder="1" applyAlignment="1">
      <alignment horizontal="center" vertical="center"/>
    </xf>
    <xf numFmtId="3" fontId="7" fillId="0" borderId="1" xfId="2" applyNumberFormat="1" applyFont="1" applyFill="1" applyBorder="1" applyAlignment="1">
      <alignment horizontal="center" vertical="center"/>
    </xf>
    <xf numFmtId="0" fontId="6"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5" fillId="0" borderId="0" xfId="0" applyFont="1"/>
    <xf numFmtId="0" fontId="8" fillId="0" borderId="1" xfId="0" applyFont="1" applyBorder="1" applyAlignment="1"/>
    <xf numFmtId="3" fontId="0" fillId="0" borderId="0" xfId="0" applyNumberFormat="1"/>
    <xf numFmtId="3" fontId="6" fillId="0" borderId="1" xfId="2" applyNumberFormat="1" applyFont="1" applyFill="1" applyBorder="1" applyAlignment="1">
      <alignment horizontal="center" vertical="center"/>
    </xf>
    <xf numFmtId="3" fontId="7" fillId="0" borderId="1" xfId="2" applyNumberFormat="1" applyFont="1" applyFill="1" applyBorder="1" applyAlignment="1">
      <alignment horizontal="center" vertical="center"/>
    </xf>
    <xf numFmtId="0" fontId="6" fillId="0" borderId="1" xfId="2" applyFont="1" applyFill="1" applyBorder="1" applyAlignment="1">
      <alignment horizontal="center" vertical="center" wrapText="1"/>
    </xf>
    <xf numFmtId="3" fontId="6" fillId="0" borderId="1" xfId="1" applyNumberFormat="1" applyFont="1" applyFill="1" applyBorder="1" applyAlignment="1">
      <alignment horizontal="center" vertical="center"/>
    </xf>
    <xf numFmtId="3" fontId="7" fillId="0" borderId="1" xfId="1"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3" fontId="7" fillId="0" borderId="1" xfId="0" applyNumberFormat="1" applyFont="1" applyFill="1" applyBorder="1" applyAlignment="1">
      <alignment horizontal="center" vertical="center"/>
    </xf>
    <xf numFmtId="0" fontId="0" fillId="0" borderId="1" xfId="0" applyBorder="1"/>
    <xf numFmtId="0" fontId="7" fillId="0" borderId="1" xfId="2" applyFont="1" applyFill="1" applyBorder="1" applyAlignment="1">
      <alignment horizontal="center" vertical="center" wrapText="1"/>
    </xf>
    <xf numFmtId="0" fontId="7" fillId="0" borderId="1" xfId="0" applyFont="1" applyFill="1" applyBorder="1" applyAlignment="1">
      <alignment horizontal="center" vertical="center" wrapText="1"/>
    </xf>
    <xf numFmtId="3" fontId="2" fillId="0" borderId="1" xfId="0" applyNumberFormat="1" applyFont="1" applyBorder="1"/>
    <xf numFmtId="3" fontId="8" fillId="0" borderId="1" xfId="0" applyNumberFormat="1" applyFont="1" applyBorder="1"/>
    <xf numFmtId="0" fontId="7" fillId="0" borderId="1" xfId="2" applyFont="1" applyFill="1" applyBorder="1" applyAlignment="1">
      <alignment horizontal="center" vertical="center" wrapText="1"/>
    </xf>
    <xf numFmtId="0" fontId="7" fillId="0" borderId="1" xfId="2" applyFont="1" applyFill="1" applyBorder="1" applyAlignment="1">
      <alignment horizontal="center" wrapText="1"/>
    </xf>
    <xf numFmtId="0" fontId="5" fillId="0" borderId="1" xfId="0" applyFont="1" applyBorder="1"/>
    <xf numFmtId="3" fontId="9" fillId="0" borderId="1" xfId="0" applyNumberFormat="1" applyFont="1" applyBorder="1"/>
    <xf numFmtId="3" fontId="6" fillId="3" borderId="1" xfId="1" applyNumberFormat="1" applyFont="1" applyFill="1" applyBorder="1" applyAlignment="1">
      <alignment horizontal="center" vertical="center"/>
    </xf>
    <xf numFmtId="3" fontId="8" fillId="0" borderId="1" xfId="0" applyNumberFormat="1" applyFont="1" applyBorder="1" applyAlignment="1">
      <alignment horizontal="center" vertical="center"/>
    </xf>
    <xf numFmtId="0" fontId="4" fillId="0" borderId="0" xfId="0" applyFont="1"/>
    <xf numFmtId="0" fontId="4" fillId="0" borderId="1" xfId="0" applyFont="1" applyBorder="1"/>
    <xf numFmtId="0" fontId="5" fillId="0" borderId="1" xfId="0" applyFont="1" applyBorder="1" applyAlignment="1">
      <alignment horizontal="center" vertical="center"/>
    </xf>
    <xf numFmtId="0" fontId="7" fillId="0" borderId="3" xfId="0" applyFont="1" applyFill="1" applyBorder="1" applyAlignment="1">
      <alignment horizontal="center" wrapText="1"/>
    </xf>
    <xf numFmtId="0" fontId="7" fillId="0" borderId="8"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164" fontId="5" fillId="0" borderId="1" xfId="6" applyNumberFormat="1" applyFont="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7" fillId="3" borderId="1" xfId="3" applyFont="1" applyFill="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0" borderId="0" xfId="0" applyNumberFormat="1" applyFont="1"/>
    <xf numFmtId="0" fontId="8" fillId="0" borderId="1" xfId="0" applyFont="1" applyBorder="1" applyAlignment="1">
      <alignment horizontal="center" vertical="center"/>
    </xf>
    <xf numFmtId="0" fontId="5" fillId="0" borderId="1" xfId="0" applyFont="1" applyBorder="1" applyAlignment="1">
      <alignment horizontal="center" vertical="center"/>
    </xf>
    <xf numFmtId="3" fontId="6" fillId="3" borderId="3" xfId="2" applyNumberFormat="1" applyFont="1" applyFill="1" applyBorder="1" applyAlignment="1">
      <alignment horizontal="center" vertical="center"/>
    </xf>
    <xf numFmtId="3" fontId="6" fillId="3" borderId="1" xfId="2" applyNumberFormat="1" applyFont="1" applyFill="1" applyBorder="1" applyAlignment="1">
      <alignment horizontal="center" vertical="center"/>
    </xf>
    <xf numFmtId="0" fontId="5" fillId="0" borderId="0" xfId="0" applyFont="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vertical="center" wrapText="1"/>
    </xf>
    <xf numFmtId="0" fontId="8" fillId="0" borderId="3" xfId="0" applyFont="1" applyBorder="1" applyAlignment="1">
      <alignment horizontal="center" wrapText="1"/>
    </xf>
    <xf numFmtId="3" fontId="5" fillId="3" borderId="9" xfId="7" applyNumberFormat="1" applyFont="1" applyFill="1" applyBorder="1"/>
    <xf numFmtId="0" fontId="6" fillId="0" borderId="2" xfId="0" applyFont="1" applyFill="1" applyBorder="1" applyAlignment="1">
      <alignment horizontal="center" vertical="center" wrapText="1"/>
    </xf>
    <xf numFmtId="0" fontId="7" fillId="3" borderId="1" xfId="2" applyFont="1" applyFill="1" applyBorder="1" applyAlignment="1">
      <alignment horizontal="center" vertical="center" wrapText="1"/>
    </xf>
    <xf numFmtId="0" fontId="8" fillId="0" borderId="0" xfId="2" applyFont="1" applyBorder="1" applyAlignment="1">
      <alignment horizontal="center" vertical="center" wrapText="1"/>
    </xf>
    <xf numFmtId="3" fontId="5" fillId="3" borderId="0" xfId="7" applyNumberFormat="1" applyFont="1" applyFill="1" applyBorder="1"/>
    <xf numFmtId="3" fontId="5" fillId="3" borderId="1" xfId="7" applyNumberFormat="1" applyFont="1" applyFill="1" applyBorder="1"/>
    <xf numFmtId="0" fontId="5" fillId="0" borderId="2" xfId="0" applyFont="1" applyBorder="1" applyAlignment="1">
      <alignment horizontal="center" vertical="center"/>
    </xf>
    <xf numFmtId="0" fontId="6" fillId="0" borderId="2" xfId="0" applyFont="1" applyFill="1" applyBorder="1" applyAlignment="1">
      <alignment vertical="center" wrapText="1"/>
    </xf>
    <xf numFmtId="0" fontId="5" fillId="0" borderId="0" xfId="0" applyFont="1" applyAlignment="1">
      <alignment vertical="center"/>
    </xf>
    <xf numFmtId="3" fontId="5" fillId="3" borderId="1" xfId="7" applyNumberFormat="1" applyFont="1" applyFill="1" applyBorder="1" applyAlignment="1">
      <alignment horizontal="center" vertical="center"/>
    </xf>
    <xf numFmtId="3" fontId="8" fillId="3" borderId="1" xfId="7" applyNumberFormat="1" applyFont="1" applyFill="1" applyBorder="1" applyAlignment="1">
      <alignment horizontal="center" vertical="center"/>
    </xf>
    <xf numFmtId="3" fontId="5" fillId="0" borderId="1" xfId="0" applyNumberFormat="1" applyFont="1" applyBorder="1" applyAlignment="1">
      <alignment horizontal="center" vertical="center"/>
    </xf>
    <xf numFmtId="0" fontId="5" fillId="5" borderId="1" xfId="3" applyFont="1" applyFill="1" applyBorder="1" applyAlignment="1">
      <alignment horizontal="justify" vertical="center" wrapText="1"/>
    </xf>
    <xf numFmtId="0" fontId="5" fillId="3" borderId="1" xfId="3" applyFont="1" applyFill="1" applyBorder="1" applyAlignment="1">
      <alignment horizontal="center" vertical="center" wrapText="1"/>
    </xf>
    <xf numFmtId="0" fontId="13" fillId="5" borderId="1" xfId="3" applyFont="1" applyFill="1" applyBorder="1" applyAlignment="1">
      <alignment horizontal="justify" vertical="center" wrapText="1"/>
    </xf>
    <xf numFmtId="0" fontId="13" fillId="3" borderId="1" xfId="3" applyFont="1" applyFill="1" applyBorder="1" applyAlignment="1">
      <alignment horizontal="center" vertical="center" wrapText="1"/>
    </xf>
    <xf numFmtId="0" fontId="6" fillId="3" borderId="1" xfId="3" applyFont="1" applyFill="1" applyBorder="1" applyAlignment="1">
      <alignment horizontal="center" vertical="center"/>
    </xf>
    <xf numFmtId="3" fontId="5" fillId="0" borderId="1" xfId="3" applyNumberFormat="1" applyFont="1" applyBorder="1" applyAlignment="1">
      <alignment horizontal="center" vertical="center"/>
    </xf>
    <xf numFmtId="4" fontId="5" fillId="0" borderId="1" xfId="3" applyNumberFormat="1" applyFont="1" applyBorder="1" applyAlignment="1">
      <alignment horizontal="center" vertical="center"/>
    </xf>
    <xf numFmtId="3" fontId="5" fillId="3" borderId="1" xfId="3" applyNumberFormat="1" applyFont="1" applyFill="1" applyBorder="1" applyAlignment="1">
      <alignment horizontal="center" vertical="center"/>
    </xf>
    <xf numFmtId="0" fontId="5" fillId="0" borderId="5" xfId="0" applyFont="1" applyBorder="1" applyAlignment="1">
      <alignment horizontal="center" vertical="center"/>
    </xf>
    <xf numFmtId="3" fontId="8" fillId="0" borderId="1" xfId="3" applyNumberFormat="1" applyFont="1" applyBorder="1" applyAlignment="1">
      <alignment horizontal="center" vertical="center"/>
    </xf>
    <xf numFmtId="0" fontId="7" fillId="0" borderId="3" xfId="0" applyFont="1" applyFill="1" applyBorder="1" applyAlignment="1">
      <alignment horizontal="center" vertical="center"/>
    </xf>
    <xf numFmtId="0" fontId="0" fillId="3" borderId="0" xfId="0" applyFill="1"/>
    <xf numFmtId="3" fontId="7" fillId="3" borderId="1" xfId="2" applyNumberFormat="1" applyFont="1" applyFill="1" applyBorder="1" applyAlignment="1">
      <alignment horizontal="center" vertical="center"/>
    </xf>
    <xf numFmtId="0" fontId="5" fillId="0" borderId="0" xfId="0" applyFont="1" applyBorder="1"/>
    <xf numFmtId="164" fontId="8" fillId="0" borderId="1" xfId="0" applyNumberFormat="1" applyFont="1" applyBorder="1"/>
    <xf numFmtId="0" fontId="8" fillId="0" borderId="1" xfId="0" applyFont="1" applyBorder="1" applyAlignment="1">
      <alignment horizontal="center" wrapText="1"/>
    </xf>
    <xf numFmtId="0" fontId="7" fillId="0" borderId="1" xfId="1" applyFont="1" applyFill="1" applyBorder="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xf>
    <xf numFmtId="3" fontId="10" fillId="0" borderId="1" xfId="0" applyNumberFormat="1" applyFont="1" applyBorder="1"/>
    <xf numFmtId="0" fontId="10" fillId="0" borderId="0" xfId="0" applyFont="1"/>
    <xf numFmtId="0" fontId="8" fillId="0" borderId="4" xfId="0" applyFont="1" applyBorder="1" applyAlignment="1"/>
    <xf numFmtId="0" fontId="6" fillId="3" borderId="1" xfId="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3" borderId="1" xfId="2" applyFont="1" applyFill="1" applyBorder="1" applyAlignment="1">
      <alignment horizontal="center" vertical="center"/>
    </xf>
    <xf numFmtId="0" fontId="5" fillId="3" borderId="0" xfId="0" applyFont="1" applyFill="1"/>
    <xf numFmtId="0" fontId="10" fillId="6" borderId="1" xfId="0" applyFont="1" applyFill="1" applyBorder="1" applyAlignment="1">
      <alignment horizontal="center"/>
    </xf>
    <xf numFmtId="3" fontId="14" fillId="0" borderId="0" xfId="0" applyNumberFormat="1" applyFont="1" applyAlignment="1">
      <alignment horizontal="center" vertical="center"/>
    </xf>
    <xf numFmtId="3" fontId="15" fillId="0" borderId="0" xfId="0" applyNumberFormat="1" applyFont="1" applyAlignment="1">
      <alignment horizontal="center" vertical="center"/>
    </xf>
    <xf numFmtId="3" fontId="14" fillId="6" borderId="0" xfId="0" applyNumberFormat="1" applyFont="1" applyFill="1" applyAlignment="1">
      <alignment horizontal="center" vertical="center"/>
    </xf>
    <xf numFmtId="3" fontId="5" fillId="0" borderId="0" xfId="0" applyNumberFormat="1" applyFont="1" applyAlignment="1">
      <alignment horizontal="center" vertical="center"/>
    </xf>
    <xf numFmtId="3" fontId="10" fillId="7" borderId="1" xfId="0" applyNumberFormat="1" applyFont="1" applyFill="1" applyBorder="1"/>
    <xf numFmtId="3" fontId="5" fillId="7" borderId="0" xfId="0" applyNumberFormat="1" applyFont="1" applyFill="1" applyAlignment="1">
      <alignment horizontal="center" vertical="center"/>
    </xf>
    <xf numFmtId="3" fontId="5" fillId="4" borderId="0" xfId="0" applyNumberFormat="1" applyFont="1" applyFill="1" applyAlignment="1">
      <alignment horizontal="center" vertical="center"/>
    </xf>
    <xf numFmtId="3" fontId="10" fillId="6" borderId="1" xfId="0" applyNumberFormat="1" applyFont="1" applyFill="1" applyBorder="1"/>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top"/>
    </xf>
    <xf numFmtId="0" fontId="8" fillId="3" borderId="1" xfId="0" applyFont="1" applyFill="1" applyBorder="1" applyAlignment="1">
      <alignment horizont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3" fillId="0" borderId="0" xfId="0" applyFont="1"/>
    <xf numFmtId="0" fontId="5" fillId="0" borderId="0" xfId="0" applyFont="1" applyBorder="1" applyAlignment="1">
      <alignment vertical="center" wrapText="1"/>
    </xf>
    <xf numFmtId="0" fontId="5" fillId="0" borderId="0" xfId="0" applyFont="1" applyBorder="1" applyAlignment="1"/>
    <xf numFmtId="164" fontId="5" fillId="0" borderId="0" xfId="0" applyNumberFormat="1" applyFont="1" applyBorder="1"/>
    <xf numFmtId="0" fontId="16" fillId="0" borderId="0" xfId="0" applyFont="1"/>
    <xf numFmtId="0" fontId="6" fillId="2" borderId="1" xfId="0" applyFont="1" applyFill="1" applyBorder="1" applyAlignment="1">
      <alignment horizontal="center" vertical="center"/>
    </xf>
    <xf numFmtId="0" fontId="7" fillId="3" borderId="1" xfId="2" applyFont="1" applyFill="1" applyBorder="1" applyAlignment="1">
      <alignment horizontal="center" vertical="center" wrapText="1"/>
    </xf>
    <xf numFmtId="0" fontId="8" fillId="3" borderId="4" xfId="0" applyFont="1" applyFill="1" applyBorder="1" applyAlignment="1"/>
    <xf numFmtId="0" fontId="7" fillId="3" borderId="1" xfId="2" applyFont="1" applyFill="1" applyBorder="1" applyAlignment="1">
      <alignment horizontal="center" vertical="center"/>
    </xf>
    <xf numFmtId="3" fontId="0" fillId="3" borderId="0" xfId="0" applyNumberFormat="1" applyFill="1"/>
    <xf numFmtId="0" fontId="4" fillId="3" borderId="0" xfId="0" applyFont="1" applyFill="1"/>
    <xf numFmtId="0" fontId="7" fillId="3" borderId="1" xfId="1" applyFont="1" applyFill="1" applyBorder="1" applyAlignment="1">
      <alignment horizontal="center" vertical="center"/>
    </xf>
    <xf numFmtId="0" fontId="7" fillId="3" borderId="1" xfId="1" applyFont="1" applyFill="1" applyBorder="1" applyAlignment="1">
      <alignment horizontal="center" vertical="center" wrapText="1"/>
    </xf>
    <xf numFmtId="0" fontId="8" fillId="3" borderId="1" xfId="0" applyFont="1" applyFill="1" applyBorder="1" applyAlignment="1"/>
    <xf numFmtId="0" fontId="6" fillId="3" borderId="2"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1" xfId="0" applyFont="1" applyFill="1" applyBorder="1" applyAlignment="1">
      <alignment horizontal="center" vertical="center"/>
    </xf>
    <xf numFmtId="0" fontId="5" fillId="3" borderId="0" xfId="0" applyFont="1" applyFill="1" applyAlignment="1">
      <alignment horizontal="center" vertical="center"/>
    </xf>
    <xf numFmtId="0" fontId="5" fillId="0" borderId="1" xfId="0" applyFont="1" applyBorder="1" applyAlignment="1">
      <alignment horizontal="center" vertical="center"/>
    </xf>
    <xf numFmtId="0" fontId="7" fillId="3" borderId="1"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2" xfId="2" applyFont="1" applyFill="1" applyBorder="1" applyAlignment="1">
      <alignment horizontal="center" vertical="center"/>
    </xf>
    <xf numFmtId="3" fontId="8" fillId="3" borderId="1" xfId="0" applyNumberFormat="1" applyFont="1" applyFill="1" applyBorder="1"/>
    <xf numFmtId="0" fontId="8" fillId="3" borderId="4" xfId="0" applyFont="1" applyFill="1" applyBorder="1" applyAlignment="1">
      <alignment horizontal="center" vertical="center" wrapText="1"/>
    </xf>
    <xf numFmtId="164" fontId="5" fillId="3" borderId="1" xfId="6" applyNumberFormat="1" applyFont="1" applyFill="1" applyBorder="1" applyAlignment="1">
      <alignment horizontal="center" vertical="center" wrapText="1"/>
    </xf>
    <xf numFmtId="164" fontId="8" fillId="3" borderId="1" xfId="6" applyNumberFormat="1" applyFont="1" applyFill="1" applyBorder="1" applyAlignment="1">
      <alignment horizontal="center" vertical="center" wrapText="1"/>
    </xf>
    <xf numFmtId="164" fontId="5" fillId="3" borderId="0" xfId="6" applyNumberFormat="1" applyFont="1" applyFill="1" applyBorder="1" applyAlignment="1">
      <alignment horizontal="center" vertical="center" wrapText="1"/>
    </xf>
    <xf numFmtId="0" fontId="5" fillId="3" borderId="0" xfId="0" applyFont="1" applyFill="1" applyBorder="1"/>
    <xf numFmtId="0" fontId="5" fillId="0" borderId="15" xfId="0" applyFont="1" applyBorder="1" applyAlignment="1">
      <alignment horizontal="center"/>
    </xf>
    <xf numFmtId="0" fontId="5" fillId="0" borderId="18" xfId="0" applyFont="1" applyBorder="1" applyAlignment="1">
      <alignment horizontal="center"/>
    </xf>
    <xf numFmtId="0" fontId="5" fillId="0" borderId="20" xfId="0" applyFont="1" applyBorder="1" applyAlignment="1">
      <alignment horizontal="center"/>
    </xf>
    <xf numFmtId="0" fontId="7" fillId="3" borderId="3" xfId="2" applyFont="1" applyFill="1" applyBorder="1" applyAlignment="1">
      <alignment horizontal="center" wrapText="1"/>
    </xf>
    <xf numFmtId="0" fontId="7" fillId="3" borderId="6" xfId="2" applyFont="1" applyFill="1" applyBorder="1" applyAlignment="1">
      <alignment horizontal="center" wrapText="1"/>
    </xf>
    <xf numFmtId="0" fontId="7" fillId="3" borderId="5" xfId="2" applyFont="1" applyFill="1" applyBorder="1" applyAlignment="1">
      <alignment horizontal="center" wrapText="1"/>
    </xf>
    <xf numFmtId="0" fontId="8" fillId="0" borderId="3" xfId="0" applyFont="1" applyBorder="1" applyAlignment="1">
      <alignment horizontal="center"/>
    </xf>
    <xf numFmtId="0" fontId="8" fillId="0" borderId="6" xfId="0" applyFont="1" applyBorder="1" applyAlignment="1">
      <alignment horizontal="center"/>
    </xf>
    <xf numFmtId="0" fontId="8" fillId="0" borderId="5" xfId="0" applyFont="1" applyBorder="1" applyAlignment="1">
      <alignment horizontal="center"/>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3" borderId="3" xfId="0" applyFont="1" applyFill="1" applyBorder="1" applyAlignment="1">
      <alignment horizontal="center"/>
    </xf>
    <xf numFmtId="0" fontId="8" fillId="3" borderId="6" xfId="0" applyFont="1" applyFill="1" applyBorder="1" applyAlignment="1">
      <alignment horizontal="center"/>
    </xf>
    <xf numFmtId="0" fontId="8" fillId="3" borderId="5" xfId="0" applyFont="1" applyFill="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3" fontId="8" fillId="0" borderId="1" xfId="0" applyNumberFormat="1" applyFont="1" applyBorder="1" applyAlignment="1">
      <alignment horizontal="center"/>
    </xf>
    <xf numFmtId="0" fontId="8" fillId="0" borderId="1" xfId="0" applyFont="1" applyBorder="1" applyAlignment="1">
      <alignment horizontal="center"/>
    </xf>
    <xf numFmtId="0" fontId="7" fillId="0" borderId="1" xfId="2" applyFont="1" applyFill="1" applyBorder="1" applyAlignment="1">
      <alignment horizontal="center" vertical="center" wrapText="1"/>
    </xf>
    <xf numFmtId="0" fontId="5" fillId="0" borderId="1" xfId="0" applyFont="1" applyBorder="1" applyAlignment="1">
      <alignment horizont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7" fillId="3" borderId="1" xfId="2"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3" xfId="0" applyFont="1" applyBorder="1" applyAlignment="1">
      <alignment horizontal="center"/>
    </xf>
    <xf numFmtId="0" fontId="2" fillId="0" borderId="6" xfId="0" applyFont="1" applyBorder="1" applyAlignment="1">
      <alignment horizontal="center"/>
    </xf>
    <xf numFmtId="0" fontId="2" fillId="0" borderId="5" xfId="0" applyFont="1" applyBorder="1" applyAlignment="1">
      <alignment horizontal="center"/>
    </xf>
    <xf numFmtId="0" fontId="7" fillId="0" borderId="4" xfId="2" applyFont="1" applyFill="1" applyBorder="1" applyAlignment="1">
      <alignment horizontal="center" vertical="center" wrapText="1"/>
    </xf>
    <xf numFmtId="0" fontId="7" fillId="0" borderId="2" xfId="2" applyFont="1" applyFill="1" applyBorder="1" applyAlignment="1">
      <alignment horizontal="center" vertical="center" wrapText="1"/>
    </xf>
    <xf numFmtId="0" fontId="8" fillId="0" borderId="1" xfId="0" applyFont="1" applyBorder="1" applyAlignment="1">
      <alignment horizontal="center" vertical="center"/>
    </xf>
    <xf numFmtId="0" fontId="7" fillId="3" borderId="1" xfId="2" applyFont="1" applyFill="1" applyBorder="1" applyAlignment="1">
      <alignment horizontal="center" wrapText="1"/>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7" fillId="0" borderId="7"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5" fillId="0" borderId="21" xfId="0" applyFont="1" applyBorder="1" applyAlignment="1">
      <alignment horizontal="center" wrapText="1"/>
    </xf>
    <xf numFmtId="0" fontId="5" fillId="0" borderId="21" xfId="0" applyFont="1" applyBorder="1" applyAlignment="1">
      <alignment horizontal="center"/>
    </xf>
    <xf numFmtId="0" fontId="5" fillId="0" borderId="22" xfId="0" applyFont="1" applyBorder="1" applyAlignment="1">
      <alignment horizontal="center"/>
    </xf>
    <xf numFmtId="0" fontId="8" fillId="0" borderId="12"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5" fillId="0" borderId="12" xfId="0" applyFont="1" applyBorder="1" applyAlignment="1">
      <alignment horizontal="center" wrapText="1"/>
    </xf>
    <xf numFmtId="0" fontId="5" fillId="0" borderId="13" xfId="0" applyFont="1" applyBorder="1" applyAlignment="1">
      <alignment horizontal="center"/>
    </xf>
    <xf numFmtId="0" fontId="5" fillId="0" borderId="14" xfId="0" applyFont="1" applyBorder="1" applyAlignment="1">
      <alignment horizontal="center"/>
    </xf>
    <xf numFmtId="0" fontId="5" fillId="0" borderId="12" xfId="0" applyFont="1" applyBorder="1" applyAlignment="1">
      <alignment horizontal="center"/>
    </xf>
    <xf numFmtId="0" fontId="5" fillId="0" borderId="16" xfId="0" applyFont="1" applyBorder="1" applyAlignment="1">
      <alignment horizontal="center" wrapText="1"/>
    </xf>
    <xf numFmtId="0" fontId="5" fillId="0" borderId="16" xfId="0" applyFont="1" applyBorder="1" applyAlignment="1">
      <alignment horizontal="center"/>
    </xf>
    <xf numFmtId="0" fontId="5" fillId="0" borderId="17" xfId="0" applyFont="1" applyBorder="1" applyAlignment="1">
      <alignment horizontal="center"/>
    </xf>
    <xf numFmtId="0" fontId="5" fillId="0" borderId="1" xfId="0" applyFont="1" applyBorder="1" applyAlignment="1">
      <alignment horizontal="center" wrapText="1"/>
    </xf>
    <xf numFmtId="0" fontId="5" fillId="0" borderId="19" xfId="0" applyFont="1" applyBorder="1" applyAlignment="1">
      <alignment horizontal="center"/>
    </xf>
    <xf numFmtId="0" fontId="11" fillId="0" borderId="1" xfId="0" applyFont="1" applyBorder="1" applyAlignment="1">
      <alignment horizontal="center" vertical="center"/>
    </xf>
    <xf numFmtId="3" fontId="11" fillId="0" borderId="1" xfId="0" applyNumberFormat="1" applyFont="1" applyBorder="1" applyAlignment="1">
      <alignment horizontal="center"/>
    </xf>
    <xf numFmtId="0" fontId="11" fillId="0" borderId="1" xfId="0" applyFont="1" applyBorder="1" applyAlignment="1">
      <alignment horizontal="center"/>
    </xf>
    <xf numFmtId="0" fontId="7" fillId="3" borderId="3" xfId="1" applyFont="1" applyFill="1" applyBorder="1" applyAlignment="1">
      <alignment horizontal="center" wrapText="1"/>
    </xf>
    <xf numFmtId="0" fontId="7" fillId="3" borderId="6" xfId="1" applyFont="1" applyFill="1" applyBorder="1" applyAlignment="1">
      <alignment horizontal="center" wrapText="1"/>
    </xf>
    <xf numFmtId="0" fontId="7" fillId="3" borderId="5" xfId="1" applyFont="1" applyFill="1" applyBorder="1" applyAlignment="1">
      <alignment horizontal="center" wrapText="1"/>
    </xf>
    <xf numFmtId="0" fontId="7" fillId="0" borderId="1" xfId="1" applyFont="1" applyFill="1" applyBorder="1" applyAlignment="1">
      <alignment horizontal="center" vertical="center" wrapText="1"/>
    </xf>
    <xf numFmtId="3" fontId="6" fillId="0" borderId="3" xfId="1" applyNumberFormat="1" applyFont="1" applyFill="1" applyBorder="1" applyAlignment="1">
      <alignment horizontal="center" vertical="center"/>
    </xf>
    <xf numFmtId="3" fontId="6" fillId="0" borderId="6" xfId="1" applyNumberFormat="1" applyFont="1" applyFill="1" applyBorder="1" applyAlignment="1">
      <alignment horizontal="center" vertical="center"/>
    </xf>
    <xf numFmtId="3" fontId="6" fillId="0" borderId="5" xfId="1" applyNumberFormat="1" applyFont="1" applyFill="1" applyBorder="1" applyAlignment="1">
      <alignment horizontal="center" vertical="center"/>
    </xf>
    <xf numFmtId="0" fontId="7" fillId="0" borderId="4" xfId="2" applyFont="1" applyFill="1" applyBorder="1" applyAlignment="1">
      <alignment horizontal="center" vertical="center" textRotation="90" wrapText="1"/>
    </xf>
    <xf numFmtId="0" fontId="7" fillId="0" borderId="2" xfId="2" applyFont="1" applyFill="1" applyBorder="1" applyAlignment="1">
      <alignment horizontal="center" vertical="center" textRotation="90" wrapText="1"/>
    </xf>
    <xf numFmtId="0" fontId="7" fillId="0" borderId="7" xfId="0" applyFont="1" applyFill="1" applyBorder="1" applyAlignment="1">
      <alignment horizontal="center" vertical="center" wrapText="1"/>
    </xf>
    <xf numFmtId="164" fontId="8" fillId="0" borderId="3" xfId="0" applyNumberFormat="1" applyFont="1" applyBorder="1" applyAlignment="1">
      <alignment horizontal="center"/>
    </xf>
    <xf numFmtId="164" fontId="8" fillId="0" borderId="6" xfId="0" applyNumberFormat="1" applyFont="1" applyBorder="1" applyAlignment="1">
      <alignment horizontal="center"/>
    </xf>
    <xf numFmtId="164" fontId="8" fillId="0" borderId="5" xfId="0" applyNumberFormat="1" applyFont="1" applyBorder="1" applyAlignment="1">
      <alignment horizontal="center"/>
    </xf>
    <xf numFmtId="0" fontId="8" fillId="0" borderId="1" xfId="0" applyFont="1" applyBorder="1" applyAlignment="1">
      <alignment horizontal="center" vertical="center" wrapText="1"/>
    </xf>
    <xf numFmtId="0" fontId="8" fillId="3" borderId="1" xfId="0" applyFont="1" applyFill="1" applyBorder="1" applyAlignment="1">
      <alignment horizontal="center"/>
    </xf>
    <xf numFmtId="0" fontId="7" fillId="3" borderId="1" xfId="0" applyFont="1" applyFill="1" applyBorder="1" applyAlignment="1">
      <alignment horizontal="center" vertical="center" wrapText="1"/>
    </xf>
    <xf numFmtId="0" fontId="8" fillId="0" borderId="1" xfId="2" applyFont="1" applyBorder="1" applyAlignment="1">
      <alignment horizontal="center" vertical="center" wrapText="1"/>
    </xf>
    <xf numFmtId="0" fontId="8" fillId="3" borderId="1" xfId="2"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3" xfId="2" applyFont="1" applyBorder="1" applyAlignment="1">
      <alignment horizontal="center" vertical="center" wrapText="1"/>
    </xf>
    <xf numFmtId="0" fontId="8" fillId="0" borderId="6" xfId="2" applyFont="1" applyBorder="1" applyAlignment="1">
      <alignment horizontal="center" vertical="center" wrapText="1"/>
    </xf>
    <xf numFmtId="0" fontId="8" fillId="0" borderId="5" xfId="2" applyFont="1" applyBorder="1" applyAlignment="1">
      <alignment horizontal="center" vertical="center" wrapText="1"/>
    </xf>
    <xf numFmtId="0" fontId="17" fillId="0" borderId="1" xfId="0" applyFont="1" applyBorder="1" applyAlignment="1">
      <alignment horizontal="center" vertical="center" wrapText="1"/>
    </xf>
    <xf numFmtId="0" fontId="9" fillId="0" borderId="1" xfId="0" applyFont="1" applyBorder="1" applyAlignment="1">
      <alignment horizontal="center" wrapText="1"/>
    </xf>
    <xf numFmtId="3" fontId="10" fillId="4" borderId="1" xfId="0" applyNumberFormat="1" applyFont="1" applyFill="1" applyBorder="1"/>
  </cellXfs>
  <cellStyles count="8">
    <cellStyle name="Moneda" xfId="6" builtinId="4"/>
    <cellStyle name="Moneda 2" xfId="4"/>
    <cellStyle name="Moneda 4" xfId="5"/>
    <cellStyle name="Normal" xfId="0" builtinId="0"/>
    <cellStyle name="Normal 2" xfId="2"/>
    <cellStyle name="Normal 2 2" xfId="7"/>
    <cellStyle name="Normal 3" xfId="1"/>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56.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57.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58.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59.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60.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61.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62.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_rels/chart63.xml.rels><?xml version="1.0" encoding="UTF-8" standalone="yes"?>
<Relationships xmlns="http://schemas.openxmlformats.org/package/2006/relationships"><Relationship Id="rId2" Type="http://schemas.microsoft.com/office/2011/relationships/chartColorStyle" Target="colors63.xml"/><Relationship Id="rId1" Type="http://schemas.microsoft.com/office/2011/relationships/chartStyle" Target="style63.xml"/></Relationships>
</file>

<file path=xl/charts/_rels/chart64.xml.rels><?xml version="1.0" encoding="UTF-8" standalone="yes"?>
<Relationships xmlns="http://schemas.openxmlformats.org/package/2006/relationships"><Relationship Id="rId2" Type="http://schemas.microsoft.com/office/2011/relationships/chartColorStyle" Target="colors64.xml"/><Relationship Id="rId1" Type="http://schemas.microsoft.com/office/2011/relationships/chartStyle" Target="style64.xml"/></Relationships>
</file>

<file path=xl/charts/_rels/chart65.xml.rels><?xml version="1.0" encoding="UTF-8" standalone="yes"?>
<Relationships xmlns="http://schemas.openxmlformats.org/package/2006/relationships"><Relationship Id="rId2" Type="http://schemas.microsoft.com/office/2011/relationships/chartColorStyle" Target="colors65.xml"/><Relationship Id="rId1" Type="http://schemas.microsoft.com/office/2011/relationships/chartStyle" Target="style65.xml"/></Relationships>
</file>

<file path=xl/charts/_rels/chart66.xml.rels><?xml version="1.0" encoding="UTF-8" standalone="yes"?>
<Relationships xmlns="http://schemas.openxmlformats.org/package/2006/relationships"><Relationship Id="rId2" Type="http://schemas.microsoft.com/office/2011/relationships/chartColorStyle" Target="colors66.xml"/><Relationship Id="rId1" Type="http://schemas.microsoft.com/office/2011/relationships/chartStyle" Target="style66.xml"/></Relationships>
</file>

<file path=xl/charts/_rels/chart67.xml.rels><?xml version="1.0" encoding="UTF-8" standalone="yes"?>
<Relationships xmlns="http://schemas.openxmlformats.org/package/2006/relationships"><Relationship Id="rId2" Type="http://schemas.microsoft.com/office/2011/relationships/chartColorStyle" Target="colors67.xml"/><Relationship Id="rId1" Type="http://schemas.microsoft.com/office/2011/relationships/chartStyle" Target="style67.xml"/></Relationships>
</file>

<file path=xl/charts/_rels/chart68.xml.rels><?xml version="1.0" encoding="UTF-8" standalone="yes"?>
<Relationships xmlns="http://schemas.openxmlformats.org/package/2006/relationships"><Relationship Id="rId2" Type="http://schemas.microsoft.com/office/2011/relationships/chartColorStyle" Target="colors68.xml"/><Relationship Id="rId1" Type="http://schemas.microsoft.com/office/2011/relationships/chartStyle" Target="style68.xml"/></Relationships>
</file>

<file path=xl/charts/_rels/chart69.xml.rels><?xml version="1.0" encoding="UTF-8" standalone="yes"?>
<Relationships xmlns="http://schemas.openxmlformats.org/package/2006/relationships"><Relationship Id="rId2" Type="http://schemas.microsoft.com/office/2011/relationships/chartColorStyle" Target="colors69.xml"/><Relationship Id="rId1" Type="http://schemas.microsoft.com/office/2011/relationships/chartStyle" Target="style69.xml"/></Relationships>
</file>

<file path=xl/charts/_rels/chart70.xml.rels><?xml version="1.0" encoding="UTF-8" standalone="yes"?>
<Relationships xmlns="http://schemas.openxmlformats.org/package/2006/relationships"><Relationship Id="rId2" Type="http://schemas.microsoft.com/office/2011/relationships/chartColorStyle" Target="colors70.xml"/><Relationship Id="rId1" Type="http://schemas.microsoft.com/office/2011/relationships/chartStyle" Target="style70.xml"/></Relationships>
</file>

<file path=xl/charts/_rels/chart71.xml.rels><?xml version="1.0" encoding="UTF-8" standalone="yes"?>
<Relationships xmlns="http://schemas.openxmlformats.org/package/2006/relationships"><Relationship Id="rId2" Type="http://schemas.microsoft.com/office/2011/relationships/chartColorStyle" Target="colors71.xml"/><Relationship Id="rId1" Type="http://schemas.microsoft.com/office/2011/relationships/chartStyle" Target="style71.xml"/></Relationships>
</file>

<file path=xl/charts/_rels/chart72.xml.rels><?xml version="1.0" encoding="UTF-8" standalone="yes"?>
<Relationships xmlns="http://schemas.openxmlformats.org/package/2006/relationships"><Relationship Id="rId2" Type="http://schemas.microsoft.com/office/2011/relationships/chartColorStyle" Target="colors72.xml"/><Relationship Id="rId1" Type="http://schemas.microsoft.com/office/2011/relationships/chartStyle" Target="style72.xml"/></Relationships>
</file>

<file path=xl/charts/_rels/chart73.xml.rels><?xml version="1.0" encoding="UTF-8" standalone="yes"?>
<Relationships xmlns="http://schemas.openxmlformats.org/package/2006/relationships"><Relationship Id="rId2" Type="http://schemas.microsoft.com/office/2011/relationships/chartColorStyle" Target="colors73.xml"/><Relationship Id="rId1" Type="http://schemas.microsoft.com/office/2011/relationships/chartStyle" Target="style73.xml"/></Relationships>
</file>

<file path=xl/charts/_rels/chart74.xml.rels><?xml version="1.0" encoding="UTF-8" standalone="yes"?>
<Relationships xmlns="http://schemas.openxmlformats.org/package/2006/relationships"><Relationship Id="rId2" Type="http://schemas.microsoft.com/office/2011/relationships/chartColorStyle" Target="colors74.xml"/><Relationship Id="rId1" Type="http://schemas.microsoft.com/office/2011/relationships/chartStyle" Target="style74.xml"/></Relationships>
</file>

<file path=xl/charts/_rels/chart75.xml.rels><?xml version="1.0" encoding="UTF-8" standalone="yes"?>
<Relationships xmlns="http://schemas.openxmlformats.org/package/2006/relationships"><Relationship Id="rId2" Type="http://schemas.microsoft.com/office/2011/relationships/chartColorStyle" Target="colors75.xml"/><Relationship Id="rId1" Type="http://schemas.microsoft.com/office/2011/relationships/chartStyle" Target="style75.xml"/></Relationships>
</file>

<file path=xl/charts/_rels/chart76.xml.rels><?xml version="1.0" encoding="UTF-8" standalone="yes"?>
<Relationships xmlns="http://schemas.openxmlformats.org/package/2006/relationships"><Relationship Id="rId2" Type="http://schemas.microsoft.com/office/2011/relationships/chartColorStyle" Target="colors76.xml"/><Relationship Id="rId1" Type="http://schemas.microsoft.com/office/2011/relationships/chartStyle" Target="style76.xml"/></Relationships>
</file>

<file path=xl/charts/_rels/chart77.xml.rels><?xml version="1.0" encoding="UTF-8" standalone="yes"?>
<Relationships xmlns="http://schemas.openxmlformats.org/package/2006/relationships"><Relationship Id="rId2" Type="http://schemas.microsoft.com/office/2011/relationships/chartColorStyle" Target="colors77.xml"/><Relationship Id="rId1" Type="http://schemas.microsoft.com/office/2011/relationships/chartStyle" Target="style77.xml"/></Relationships>
</file>

<file path=xl/charts/_rels/chart78.xml.rels><?xml version="1.0" encoding="UTF-8" standalone="yes"?>
<Relationships xmlns="http://schemas.openxmlformats.org/package/2006/relationships"><Relationship Id="rId2" Type="http://schemas.microsoft.com/office/2011/relationships/chartColorStyle" Target="colors78.xml"/><Relationship Id="rId1" Type="http://schemas.microsoft.com/office/2011/relationships/chartStyle" Target="style78.xml"/></Relationships>
</file>

<file path=xl/charts/_rels/chart79.xml.rels><?xml version="1.0" encoding="UTF-8" standalone="yes"?>
<Relationships xmlns="http://schemas.openxmlformats.org/package/2006/relationships"><Relationship Id="rId2" Type="http://schemas.microsoft.com/office/2011/relationships/chartColorStyle" Target="colors79.xml"/><Relationship Id="rId1" Type="http://schemas.microsoft.com/office/2011/relationships/chartStyle" Target="style79.xml"/></Relationships>
</file>

<file path=xl/charts/_rels/chart80.xml.rels><?xml version="1.0" encoding="UTF-8" standalone="yes"?>
<Relationships xmlns="http://schemas.openxmlformats.org/package/2006/relationships"><Relationship Id="rId2" Type="http://schemas.microsoft.com/office/2011/relationships/chartColorStyle" Target="colors80.xml"/><Relationship Id="rId1" Type="http://schemas.microsoft.com/office/2011/relationships/chartStyle" Target="style80.xml"/></Relationships>
</file>

<file path=xl/charts/_rels/chart81.xml.rels><?xml version="1.0" encoding="UTF-8" standalone="yes"?>
<Relationships xmlns="http://schemas.openxmlformats.org/package/2006/relationships"><Relationship Id="rId2" Type="http://schemas.microsoft.com/office/2011/relationships/chartColorStyle" Target="colors81.xml"/><Relationship Id="rId1" Type="http://schemas.microsoft.com/office/2011/relationships/chartStyle" Target="style81.xml"/></Relationships>
</file>

<file path=xl/charts/_rels/chart82.xml.rels><?xml version="1.0" encoding="UTF-8" standalone="yes"?>
<Relationships xmlns="http://schemas.openxmlformats.org/package/2006/relationships"><Relationship Id="rId2" Type="http://schemas.microsoft.com/office/2011/relationships/chartColorStyle" Target="colors82.xml"/><Relationship Id="rId1" Type="http://schemas.microsoft.com/office/2011/relationships/chartStyle" Target="style82.xml"/></Relationships>
</file>

<file path=xl/charts/_rels/chart83.xml.rels><?xml version="1.0" encoding="UTF-8" standalone="yes"?>
<Relationships xmlns="http://schemas.openxmlformats.org/package/2006/relationships"><Relationship Id="rId2" Type="http://schemas.microsoft.com/office/2011/relationships/chartColorStyle" Target="colors83.xml"/><Relationship Id="rId1" Type="http://schemas.microsoft.com/office/2011/relationships/chartStyle" Target="style83.xml"/></Relationships>
</file>

<file path=xl/charts/_rels/chart84.xml.rels><?xml version="1.0" encoding="UTF-8" standalone="yes"?>
<Relationships xmlns="http://schemas.openxmlformats.org/package/2006/relationships"><Relationship Id="rId2" Type="http://schemas.microsoft.com/office/2011/relationships/chartColorStyle" Target="colors84.xml"/><Relationship Id="rId1" Type="http://schemas.microsoft.com/office/2011/relationships/chartStyle" Target="style84.xml"/></Relationships>
</file>

<file path=xl/charts/_rels/chart85.xml.rels><?xml version="1.0" encoding="UTF-8" standalone="yes"?>
<Relationships xmlns="http://schemas.openxmlformats.org/package/2006/relationships"><Relationship Id="rId2" Type="http://schemas.microsoft.com/office/2011/relationships/chartColorStyle" Target="colors85.xml"/><Relationship Id="rId1" Type="http://schemas.microsoft.com/office/2011/relationships/chartStyle" Target="style85.xml"/></Relationships>
</file>

<file path=xl/charts/_rels/chart86.xml.rels><?xml version="1.0" encoding="UTF-8" standalone="yes"?>
<Relationships xmlns="http://schemas.openxmlformats.org/package/2006/relationships"><Relationship Id="rId2" Type="http://schemas.microsoft.com/office/2011/relationships/chartColorStyle" Target="colors86.xml"/><Relationship Id="rId1" Type="http://schemas.microsoft.com/office/2011/relationships/chartStyle" Target="style86.xml"/></Relationships>
</file>

<file path=xl/charts/_rels/chart87.xml.rels><?xml version="1.0" encoding="UTF-8" standalone="yes"?>
<Relationships xmlns="http://schemas.openxmlformats.org/package/2006/relationships"><Relationship Id="rId2" Type="http://schemas.microsoft.com/office/2011/relationships/chartColorStyle" Target="colors87.xml"/><Relationship Id="rId1" Type="http://schemas.microsoft.com/office/2011/relationships/chartStyle" Target="style87.xml"/></Relationships>
</file>

<file path=xl/charts/_rels/chart88.xml.rels><?xml version="1.0" encoding="UTF-8" standalone="yes"?>
<Relationships xmlns="http://schemas.openxmlformats.org/package/2006/relationships"><Relationship Id="rId2" Type="http://schemas.microsoft.com/office/2011/relationships/chartColorStyle" Target="colors88.xml"/><Relationship Id="rId1" Type="http://schemas.microsoft.com/office/2011/relationships/chartStyle" Target="style88.xml"/></Relationships>
</file>

<file path=xl/charts/_rels/chart89.xml.rels><?xml version="1.0" encoding="UTF-8" standalone="yes"?>
<Relationships xmlns="http://schemas.openxmlformats.org/package/2006/relationships"><Relationship Id="rId2" Type="http://schemas.microsoft.com/office/2011/relationships/chartColorStyle" Target="colors89.xml"/><Relationship Id="rId1" Type="http://schemas.microsoft.com/office/2011/relationships/chartStyle" Target="style89.xml"/></Relationships>
</file>

<file path=xl/charts/_rels/chart90.xml.rels><?xml version="1.0" encoding="UTF-8" standalone="yes"?>
<Relationships xmlns="http://schemas.openxmlformats.org/package/2006/relationships"><Relationship Id="rId2" Type="http://schemas.microsoft.com/office/2011/relationships/chartColorStyle" Target="colors90.xml"/><Relationship Id="rId1" Type="http://schemas.microsoft.com/office/2011/relationships/chartStyle" Target="style90.xml"/></Relationships>
</file>

<file path=xl/charts/_rels/chart91.xml.rels><?xml version="1.0" encoding="UTF-8" standalone="yes"?>
<Relationships xmlns="http://schemas.openxmlformats.org/package/2006/relationships"><Relationship Id="rId2" Type="http://schemas.microsoft.com/office/2011/relationships/chartColorStyle" Target="colors91.xml"/><Relationship Id="rId1" Type="http://schemas.microsoft.com/office/2011/relationships/chartStyle" Target="style91.xml"/></Relationships>
</file>

<file path=xl/charts/_rels/chart92.xml.rels><?xml version="1.0" encoding="UTF-8" standalone="yes"?>
<Relationships xmlns="http://schemas.openxmlformats.org/package/2006/relationships"><Relationship Id="rId2" Type="http://schemas.microsoft.com/office/2011/relationships/chartColorStyle" Target="colors92.xml"/><Relationship Id="rId1" Type="http://schemas.microsoft.com/office/2011/relationships/chartStyle" Target="style92.xml"/></Relationships>
</file>

<file path=xl/charts/_rels/chart93.xml.rels><?xml version="1.0" encoding="UTF-8" standalone="yes"?>
<Relationships xmlns="http://schemas.openxmlformats.org/package/2006/relationships"><Relationship Id="rId2" Type="http://schemas.microsoft.com/office/2011/relationships/chartColorStyle" Target="colors93.xml"/><Relationship Id="rId1" Type="http://schemas.microsoft.com/office/2011/relationships/chartStyle" Target="style93.xml"/></Relationships>
</file>

<file path=xl/charts/_rels/chart94.xml.rels><?xml version="1.0" encoding="UTF-8" standalone="yes"?>
<Relationships xmlns="http://schemas.openxmlformats.org/package/2006/relationships"><Relationship Id="rId2" Type="http://schemas.microsoft.com/office/2011/relationships/chartColorStyle" Target="colors94.xml"/><Relationship Id="rId1" Type="http://schemas.microsoft.com/office/2011/relationships/chartStyle" Target="style94.xml"/></Relationships>
</file>

<file path=xl/charts/_rels/chart95.xml.rels><?xml version="1.0" encoding="UTF-8" standalone="yes"?>
<Relationships xmlns="http://schemas.openxmlformats.org/package/2006/relationships"><Relationship Id="rId2" Type="http://schemas.microsoft.com/office/2011/relationships/chartColorStyle" Target="colors95.xml"/><Relationship Id="rId1" Type="http://schemas.microsoft.com/office/2011/relationships/chartStyle" Target="style95.xml"/></Relationships>
</file>

<file path=xl/charts/_rels/chart96.xml.rels><?xml version="1.0" encoding="UTF-8" standalone="yes"?>
<Relationships xmlns="http://schemas.openxmlformats.org/package/2006/relationships"><Relationship Id="rId2" Type="http://schemas.microsoft.com/office/2011/relationships/chartColorStyle" Target="colors96.xml"/><Relationship Id="rId1" Type="http://schemas.microsoft.com/office/2011/relationships/chartStyle" Target="style96.xml"/></Relationships>
</file>

<file path=xl/charts/_rels/chart97.xml.rels><?xml version="1.0" encoding="UTF-8" standalone="yes"?>
<Relationships xmlns="http://schemas.openxmlformats.org/package/2006/relationships"><Relationship Id="rId2" Type="http://schemas.microsoft.com/office/2011/relationships/chartColorStyle" Target="colors97.xml"/><Relationship Id="rId1" Type="http://schemas.microsoft.com/office/2011/relationships/chartStyle" Target="style97.xml"/></Relationships>
</file>

<file path=xl/charts/_rels/chart98.xml.rels><?xml version="1.0" encoding="UTF-8" standalone="yes"?>
<Relationships xmlns="http://schemas.openxmlformats.org/package/2006/relationships"><Relationship Id="rId2" Type="http://schemas.microsoft.com/office/2011/relationships/chartColorStyle" Target="colors98.xml"/><Relationship Id="rId1" Type="http://schemas.microsoft.com/office/2011/relationships/chartStyle" Target="style98.xml"/></Relationships>
</file>

<file path=xl/charts/_rels/chart99.xml.rels><?xml version="1.0" encoding="UTF-8" standalone="yes"?>
<Relationships xmlns="http://schemas.openxmlformats.org/package/2006/relationships"><Relationship Id="rId2" Type="http://schemas.microsoft.com/office/2011/relationships/chartColorStyle" Target="colors99.xml"/><Relationship Id="rId1" Type="http://schemas.microsoft.com/office/2011/relationships/chartStyle" Target="style99.xml"/></Relationships>
</file>

<file path=xl/charts/_rels/chart100.xml.rels><?xml version="1.0" encoding="UTF-8" standalone="yes"?>
<Relationships xmlns="http://schemas.openxmlformats.org/package/2006/relationships"><Relationship Id="rId2" Type="http://schemas.microsoft.com/office/2011/relationships/chartColorStyle" Target="colors100.xml"/><Relationship Id="rId1" Type="http://schemas.microsoft.com/office/2011/relationships/chartStyle" Target="style100.xml"/></Relationships>
</file>

<file path=xl/charts/_rels/chart101.xml.rels><?xml version="1.0" encoding="UTF-8" standalone="yes"?>
<Relationships xmlns="http://schemas.openxmlformats.org/package/2006/relationships"><Relationship Id="rId2" Type="http://schemas.microsoft.com/office/2011/relationships/chartColorStyle" Target="colors101.xml"/><Relationship Id="rId1" Type="http://schemas.microsoft.com/office/2011/relationships/chartStyle" Target="style101.xml"/></Relationships>
</file>

<file path=xl/charts/_rels/chart102.xml.rels><?xml version="1.0" encoding="UTF-8" standalone="yes"?>
<Relationships xmlns="http://schemas.openxmlformats.org/package/2006/relationships"><Relationship Id="rId2" Type="http://schemas.microsoft.com/office/2011/relationships/chartColorStyle" Target="colors102.xml"/><Relationship Id="rId1" Type="http://schemas.microsoft.com/office/2011/relationships/chartStyle" Target="style102.xml"/></Relationships>
</file>

<file path=xl/charts/_rels/chart103.xml.rels><?xml version="1.0" encoding="UTF-8" standalone="yes"?>
<Relationships xmlns="http://schemas.openxmlformats.org/package/2006/relationships"><Relationship Id="rId2" Type="http://schemas.microsoft.com/office/2011/relationships/chartColorStyle" Target="colors103.xml"/><Relationship Id="rId1" Type="http://schemas.microsoft.com/office/2011/relationships/chartStyle" Target="style103.xml"/></Relationships>
</file>

<file path=xl/charts/_rels/chart104.xml.rels><?xml version="1.0" encoding="UTF-8" standalone="yes"?>
<Relationships xmlns="http://schemas.openxmlformats.org/package/2006/relationships"><Relationship Id="rId2" Type="http://schemas.microsoft.com/office/2011/relationships/chartColorStyle" Target="colors104.xml"/><Relationship Id="rId1" Type="http://schemas.microsoft.com/office/2011/relationships/chartStyle" Target="style104.xml"/></Relationships>
</file>

<file path=xl/charts/_rels/chart105.xml.rels><?xml version="1.0" encoding="UTF-8" standalone="yes"?>
<Relationships xmlns="http://schemas.openxmlformats.org/package/2006/relationships"><Relationship Id="rId2" Type="http://schemas.microsoft.com/office/2011/relationships/chartColorStyle" Target="colors105.xml"/><Relationship Id="rId1" Type="http://schemas.microsoft.com/office/2011/relationships/chartStyle" Target="style105.xml"/></Relationships>
</file>

<file path=xl/charts/_rels/chart106.xml.rels><?xml version="1.0" encoding="UTF-8" standalone="yes"?>
<Relationships xmlns="http://schemas.openxmlformats.org/package/2006/relationships"><Relationship Id="rId2" Type="http://schemas.microsoft.com/office/2011/relationships/chartColorStyle" Target="colors106.xml"/><Relationship Id="rId1" Type="http://schemas.microsoft.com/office/2011/relationships/chartStyle" Target="style106.xml"/></Relationships>
</file>

<file path=xl/charts/_rels/chart107.xml.rels><?xml version="1.0" encoding="UTF-8" standalone="yes"?>
<Relationships xmlns="http://schemas.openxmlformats.org/package/2006/relationships"><Relationship Id="rId2" Type="http://schemas.microsoft.com/office/2011/relationships/chartColorStyle" Target="colors107.xml"/><Relationship Id="rId1" Type="http://schemas.microsoft.com/office/2011/relationships/chartStyle" Target="style107.xml"/></Relationships>
</file>

<file path=xl/charts/_rels/chart108.xml.rels><?xml version="1.0" encoding="UTF-8" standalone="yes"?>
<Relationships xmlns="http://schemas.openxmlformats.org/package/2006/relationships"><Relationship Id="rId2" Type="http://schemas.microsoft.com/office/2011/relationships/chartColorStyle" Target="colors108.xml"/><Relationship Id="rId1" Type="http://schemas.microsoft.com/office/2011/relationships/chartStyle" Target="style108.xml"/></Relationships>
</file>

<file path=xl/charts/_rels/chart109.xml.rels><?xml version="1.0" encoding="UTF-8" standalone="yes"?>
<Relationships xmlns="http://schemas.openxmlformats.org/package/2006/relationships"><Relationship Id="rId2" Type="http://schemas.microsoft.com/office/2011/relationships/chartColorStyle" Target="colors109.xml"/><Relationship Id="rId1" Type="http://schemas.microsoft.com/office/2011/relationships/chartStyle" Target="style109.xml"/></Relationships>
</file>

<file path=xl/charts/_rels/chart110.xml.rels><?xml version="1.0" encoding="UTF-8" standalone="yes"?>
<Relationships xmlns="http://schemas.openxmlformats.org/package/2006/relationships"><Relationship Id="rId2" Type="http://schemas.microsoft.com/office/2011/relationships/chartColorStyle" Target="colors110.xml"/><Relationship Id="rId1" Type="http://schemas.microsoft.com/office/2011/relationships/chartStyle" Target="style110.xml"/></Relationships>
</file>

<file path=xl/charts/_rels/chart111.xml.rels><?xml version="1.0" encoding="UTF-8" standalone="yes"?>
<Relationships xmlns="http://schemas.openxmlformats.org/package/2006/relationships"><Relationship Id="rId2" Type="http://schemas.microsoft.com/office/2011/relationships/chartColorStyle" Target="colors111.xml"/><Relationship Id="rId1" Type="http://schemas.microsoft.com/office/2011/relationships/chartStyle" Target="style111.xml"/></Relationships>
</file>

<file path=xl/charts/_rels/chart112.xml.rels><?xml version="1.0" encoding="UTF-8" standalone="yes"?>
<Relationships xmlns="http://schemas.openxmlformats.org/package/2006/relationships"><Relationship Id="rId2" Type="http://schemas.microsoft.com/office/2011/relationships/chartColorStyle" Target="colors112.xml"/><Relationship Id="rId1" Type="http://schemas.microsoft.com/office/2011/relationships/chartStyle" Target="style112.xml"/></Relationships>
</file>

<file path=xl/charts/_rels/chart113.xml.rels><?xml version="1.0" encoding="UTF-8" standalone="yes"?>
<Relationships xmlns="http://schemas.openxmlformats.org/package/2006/relationships"><Relationship Id="rId2" Type="http://schemas.microsoft.com/office/2011/relationships/chartColorStyle" Target="colors113.xml"/><Relationship Id="rId1" Type="http://schemas.microsoft.com/office/2011/relationships/chartStyle" Target="style113.xml"/></Relationships>
</file>

<file path=xl/charts/_rels/chart114.xml.rels><?xml version="1.0" encoding="UTF-8" standalone="yes"?>
<Relationships xmlns="http://schemas.openxmlformats.org/package/2006/relationships"><Relationship Id="rId2" Type="http://schemas.microsoft.com/office/2011/relationships/chartColorStyle" Target="colors114.xml"/><Relationship Id="rId1" Type="http://schemas.microsoft.com/office/2011/relationships/chartStyle" Target="style114.xml"/></Relationships>
</file>

<file path=xl/charts/_rels/chart115.xml.rels><?xml version="1.0" encoding="UTF-8" standalone="yes"?>
<Relationships xmlns="http://schemas.openxmlformats.org/package/2006/relationships"><Relationship Id="rId2" Type="http://schemas.microsoft.com/office/2011/relationships/chartColorStyle" Target="colors115.xml"/><Relationship Id="rId1" Type="http://schemas.microsoft.com/office/2011/relationships/chartStyle" Target="style115.xml"/></Relationships>
</file>

<file path=xl/charts/_rels/chart116.xml.rels><?xml version="1.0" encoding="UTF-8" standalone="yes"?>
<Relationships xmlns="http://schemas.openxmlformats.org/package/2006/relationships"><Relationship Id="rId2" Type="http://schemas.microsoft.com/office/2011/relationships/chartColorStyle" Target="colors116.xml"/><Relationship Id="rId1" Type="http://schemas.microsoft.com/office/2011/relationships/chartStyle" Target="style116.xml"/></Relationships>
</file>

<file path=xl/charts/_rels/chart117.xml.rels><?xml version="1.0" encoding="UTF-8" standalone="yes"?>
<Relationships xmlns="http://schemas.openxmlformats.org/package/2006/relationships"><Relationship Id="rId2" Type="http://schemas.microsoft.com/office/2011/relationships/chartColorStyle" Target="colors117.xml"/><Relationship Id="rId1" Type="http://schemas.microsoft.com/office/2011/relationships/chartStyle" Target="style117.xml"/></Relationships>
</file>

<file path=xl/charts/_rels/chart118.xml.rels><?xml version="1.0" encoding="UTF-8" standalone="yes"?>
<Relationships xmlns="http://schemas.openxmlformats.org/package/2006/relationships"><Relationship Id="rId2" Type="http://schemas.microsoft.com/office/2011/relationships/chartColorStyle" Target="colors118.xml"/><Relationship Id="rId1" Type="http://schemas.microsoft.com/office/2011/relationships/chartStyle" Target="style118.xml"/></Relationships>
</file>

<file path=xl/charts/_rels/chart119.xml.rels><?xml version="1.0" encoding="UTF-8" standalone="yes"?>
<Relationships xmlns="http://schemas.openxmlformats.org/package/2006/relationships"><Relationship Id="rId2" Type="http://schemas.microsoft.com/office/2011/relationships/chartColorStyle" Target="colors119.xml"/><Relationship Id="rId1" Type="http://schemas.microsoft.com/office/2011/relationships/chartStyle" Target="style119.xml"/></Relationships>
</file>

<file path=xl/charts/_rels/chart120.xml.rels><?xml version="1.0" encoding="UTF-8" standalone="yes"?>
<Relationships xmlns="http://schemas.openxmlformats.org/package/2006/relationships"><Relationship Id="rId2" Type="http://schemas.microsoft.com/office/2011/relationships/chartColorStyle" Target="colors120.xml"/><Relationship Id="rId1" Type="http://schemas.microsoft.com/office/2011/relationships/chartStyle" Target="style120.xml"/></Relationships>
</file>

<file path=xl/charts/_rels/chart121.xml.rels><?xml version="1.0" encoding="UTF-8" standalone="yes"?>
<Relationships xmlns="http://schemas.openxmlformats.org/package/2006/relationships"><Relationship Id="rId2" Type="http://schemas.microsoft.com/office/2011/relationships/chartColorStyle" Target="colors121.xml"/><Relationship Id="rId1" Type="http://schemas.microsoft.com/office/2011/relationships/chartStyle" Target="style121.xml"/></Relationships>
</file>

<file path=xl/charts/_rels/chart122.xml.rels><?xml version="1.0" encoding="UTF-8" standalone="yes"?>
<Relationships xmlns="http://schemas.openxmlformats.org/package/2006/relationships"><Relationship Id="rId2" Type="http://schemas.microsoft.com/office/2011/relationships/chartColorStyle" Target="colors122.xml"/><Relationship Id="rId1" Type="http://schemas.microsoft.com/office/2011/relationships/chartStyle" Target="style122.xml"/></Relationships>
</file>

<file path=xl/charts/_rels/chart123.xml.rels><?xml version="1.0" encoding="UTF-8" standalone="yes"?>
<Relationships xmlns="http://schemas.openxmlformats.org/package/2006/relationships"><Relationship Id="rId2" Type="http://schemas.microsoft.com/office/2011/relationships/chartColorStyle" Target="colors123.xml"/><Relationship Id="rId1" Type="http://schemas.microsoft.com/office/2011/relationships/chartStyle" Target="style123.xml"/></Relationships>
</file>

<file path=xl/charts/_rels/chart124.xml.rels><?xml version="1.0" encoding="UTF-8" standalone="yes"?>
<Relationships xmlns="http://schemas.openxmlformats.org/package/2006/relationships"><Relationship Id="rId2" Type="http://schemas.microsoft.com/office/2011/relationships/chartColorStyle" Target="colors124.xml"/><Relationship Id="rId1" Type="http://schemas.microsoft.com/office/2011/relationships/chartStyle" Target="style124.xml"/></Relationships>
</file>

<file path=xl/charts/_rels/chart125.xml.rels><?xml version="1.0" encoding="UTF-8" standalone="yes"?>
<Relationships xmlns="http://schemas.openxmlformats.org/package/2006/relationships"><Relationship Id="rId2" Type="http://schemas.microsoft.com/office/2011/relationships/chartColorStyle" Target="colors125.xml"/><Relationship Id="rId1" Type="http://schemas.microsoft.com/office/2011/relationships/chartStyle" Target="style125.xml"/></Relationships>
</file>

<file path=xl/charts/_rels/chart126.xml.rels><?xml version="1.0" encoding="UTF-8" standalone="yes"?>
<Relationships xmlns="http://schemas.openxmlformats.org/package/2006/relationships"><Relationship Id="rId2" Type="http://schemas.microsoft.com/office/2011/relationships/chartColorStyle" Target="colors126.xml"/><Relationship Id="rId1" Type="http://schemas.microsoft.com/office/2011/relationships/chartStyle" Target="style126.xml"/></Relationships>
</file>

<file path=xl/charts/_rels/chart127.xml.rels><?xml version="1.0" encoding="UTF-8" standalone="yes"?>
<Relationships xmlns="http://schemas.openxmlformats.org/package/2006/relationships"><Relationship Id="rId2" Type="http://schemas.microsoft.com/office/2011/relationships/chartColorStyle" Target="colors127.xml"/><Relationship Id="rId1" Type="http://schemas.microsoft.com/office/2011/relationships/chartStyle" Target="style127.xml"/></Relationships>
</file>

<file path=xl/charts/_rels/chart128.xml.rels><?xml version="1.0" encoding="UTF-8" standalone="yes"?>
<Relationships xmlns="http://schemas.openxmlformats.org/package/2006/relationships"><Relationship Id="rId2" Type="http://schemas.microsoft.com/office/2011/relationships/chartColorStyle" Target="colors128.xml"/><Relationship Id="rId1" Type="http://schemas.microsoft.com/office/2011/relationships/chartStyle" Target="style128.xml"/></Relationships>
</file>

<file path=xl/charts/_rels/chart129.xml.rels><?xml version="1.0" encoding="UTF-8" standalone="yes"?>
<Relationships xmlns="http://schemas.openxmlformats.org/package/2006/relationships"><Relationship Id="rId2" Type="http://schemas.microsoft.com/office/2011/relationships/chartColorStyle" Target="colors129.xml"/><Relationship Id="rId1" Type="http://schemas.microsoft.com/office/2011/relationships/chartStyle" Target="style129.xml"/></Relationships>
</file>

<file path=xl/charts/_rels/chart130.xml.rels><?xml version="1.0" encoding="UTF-8" standalone="yes"?>
<Relationships xmlns="http://schemas.openxmlformats.org/package/2006/relationships"><Relationship Id="rId2" Type="http://schemas.microsoft.com/office/2011/relationships/chartColorStyle" Target="colors130.xml"/><Relationship Id="rId1" Type="http://schemas.microsoft.com/office/2011/relationships/chartStyle" Target="style130.xml"/></Relationships>
</file>

<file path=xl/charts/_rels/chart131.xml.rels><?xml version="1.0" encoding="UTF-8" standalone="yes"?>
<Relationships xmlns="http://schemas.openxmlformats.org/package/2006/relationships"><Relationship Id="rId2" Type="http://schemas.microsoft.com/office/2011/relationships/chartColorStyle" Target="colors131.xml"/><Relationship Id="rId1" Type="http://schemas.microsoft.com/office/2011/relationships/chartStyle" Target="style131.xml"/></Relationships>
</file>

<file path=xl/charts/_rels/chart132.xml.rels><?xml version="1.0" encoding="UTF-8" standalone="yes"?>
<Relationships xmlns="http://schemas.openxmlformats.org/package/2006/relationships"><Relationship Id="rId2" Type="http://schemas.microsoft.com/office/2011/relationships/chartColorStyle" Target="colors132.xml"/><Relationship Id="rId1" Type="http://schemas.microsoft.com/office/2011/relationships/chartStyle" Target="style132.xml"/></Relationships>
</file>

<file path=xl/charts/_rels/chart133.xml.rels><?xml version="1.0" encoding="UTF-8" standalone="yes"?>
<Relationships xmlns="http://schemas.openxmlformats.org/package/2006/relationships"><Relationship Id="rId2" Type="http://schemas.microsoft.com/office/2011/relationships/chartColorStyle" Target="colors133.xml"/><Relationship Id="rId1" Type="http://schemas.microsoft.com/office/2011/relationships/chartStyle" Target="style133.xml"/></Relationships>
</file>

<file path=xl/charts/_rels/chart134.xml.rels><?xml version="1.0" encoding="UTF-8" standalone="yes"?>
<Relationships xmlns="http://schemas.openxmlformats.org/package/2006/relationships"><Relationship Id="rId2" Type="http://schemas.microsoft.com/office/2011/relationships/chartColorStyle" Target="colors134.xml"/><Relationship Id="rId1" Type="http://schemas.microsoft.com/office/2011/relationships/chartStyle" Target="style134.xml"/></Relationships>
</file>

<file path=xl/charts/_rels/chart135.xml.rels><?xml version="1.0" encoding="UTF-8" standalone="yes"?>
<Relationships xmlns="http://schemas.openxmlformats.org/package/2006/relationships"><Relationship Id="rId2" Type="http://schemas.microsoft.com/office/2011/relationships/chartColorStyle" Target="colors135.xml"/><Relationship Id="rId1" Type="http://schemas.microsoft.com/office/2011/relationships/chartStyle" Target="style135.xml"/></Relationships>
</file>

<file path=xl/charts/_rels/chart136.xml.rels><?xml version="1.0" encoding="UTF-8" standalone="yes"?>
<Relationships xmlns="http://schemas.openxmlformats.org/package/2006/relationships"><Relationship Id="rId2" Type="http://schemas.microsoft.com/office/2011/relationships/chartColorStyle" Target="colors136.xml"/><Relationship Id="rId1" Type="http://schemas.microsoft.com/office/2011/relationships/chartStyle" Target="style136.xml"/></Relationships>
</file>

<file path=xl/charts/_rels/chart137.xml.rels><?xml version="1.0" encoding="UTF-8" standalone="yes"?>
<Relationships xmlns="http://schemas.openxmlformats.org/package/2006/relationships"><Relationship Id="rId2" Type="http://schemas.microsoft.com/office/2011/relationships/chartColorStyle" Target="colors137.xml"/><Relationship Id="rId1" Type="http://schemas.microsoft.com/office/2011/relationships/chartStyle" Target="style137.xml"/></Relationships>
</file>

<file path=xl/charts/_rels/chart138.xml.rels><?xml version="1.0" encoding="UTF-8" standalone="yes"?>
<Relationships xmlns="http://schemas.openxmlformats.org/package/2006/relationships"><Relationship Id="rId2" Type="http://schemas.microsoft.com/office/2011/relationships/chartColorStyle" Target="colors138.xml"/><Relationship Id="rId1" Type="http://schemas.microsoft.com/office/2011/relationships/chartStyle" Target="style138.xml"/></Relationships>
</file>

<file path=xl/charts/_rels/chart139.xml.rels><?xml version="1.0" encoding="UTF-8" standalone="yes"?>
<Relationships xmlns="http://schemas.openxmlformats.org/package/2006/relationships"><Relationship Id="rId2" Type="http://schemas.microsoft.com/office/2011/relationships/chartColorStyle" Target="colors139.xml"/><Relationship Id="rId1" Type="http://schemas.microsoft.com/office/2011/relationships/chartStyle" Target="style139.xml"/></Relationships>
</file>

<file path=xl/charts/_rels/chart140.xml.rels><?xml version="1.0" encoding="UTF-8" standalone="yes"?>
<Relationships xmlns="http://schemas.openxmlformats.org/package/2006/relationships"><Relationship Id="rId2" Type="http://schemas.microsoft.com/office/2011/relationships/chartColorStyle" Target="colors140.xml"/><Relationship Id="rId1" Type="http://schemas.microsoft.com/office/2011/relationships/chartStyle" Target="style140.xml"/></Relationships>
</file>

<file path=xl/charts/_rels/chart141.xml.rels><?xml version="1.0" encoding="UTF-8" standalone="yes"?>
<Relationships xmlns="http://schemas.openxmlformats.org/package/2006/relationships"><Relationship Id="rId2" Type="http://schemas.microsoft.com/office/2011/relationships/chartColorStyle" Target="colors141.xml"/><Relationship Id="rId1" Type="http://schemas.microsoft.com/office/2011/relationships/chartStyle" Target="style141.xml"/></Relationships>
</file>

<file path=xl/charts/_rels/chart142.xml.rels><?xml version="1.0" encoding="UTF-8" standalone="yes"?>
<Relationships xmlns="http://schemas.openxmlformats.org/package/2006/relationships"><Relationship Id="rId2" Type="http://schemas.microsoft.com/office/2011/relationships/chartColorStyle" Target="colors142.xml"/><Relationship Id="rId1" Type="http://schemas.microsoft.com/office/2011/relationships/chartStyle" Target="style142.xml"/></Relationships>
</file>

<file path=xl/charts/_rels/chart143.xml.rels><?xml version="1.0" encoding="UTF-8" standalone="yes"?>
<Relationships xmlns="http://schemas.openxmlformats.org/package/2006/relationships"><Relationship Id="rId2" Type="http://schemas.microsoft.com/office/2011/relationships/chartColorStyle" Target="colors143.xml"/><Relationship Id="rId1" Type="http://schemas.microsoft.com/office/2011/relationships/chartStyle" Target="style143.xml"/></Relationships>
</file>

<file path=xl/charts/_rels/chart144.xml.rels><?xml version="1.0" encoding="UTF-8" standalone="yes"?>
<Relationships xmlns="http://schemas.openxmlformats.org/package/2006/relationships"><Relationship Id="rId2" Type="http://schemas.microsoft.com/office/2011/relationships/chartColorStyle" Target="colors144.xml"/><Relationship Id="rId1" Type="http://schemas.microsoft.com/office/2011/relationships/chartStyle" Target="style144.xml"/></Relationships>
</file>

<file path=xl/charts/_rels/chart145.xml.rels><?xml version="1.0" encoding="UTF-8" standalone="yes"?>
<Relationships xmlns="http://schemas.openxmlformats.org/package/2006/relationships"><Relationship Id="rId2" Type="http://schemas.microsoft.com/office/2011/relationships/chartColorStyle" Target="colors145.xml"/><Relationship Id="rId1" Type="http://schemas.microsoft.com/office/2011/relationships/chartStyle" Target="style145.xml"/></Relationships>
</file>

<file path=xl/charts/_rels/chart146.xml.rels><?xml version="1.0" encoding="UTF-8" standalone="yes"?>
<Relationships xmlns="http://schemas.openxmlformats.org/package/2006/relationships"><Relationship Id="rId2" Type="http://schemas.microsoft.com/office/2011/relationships/chartColorStyle" Target="colors146.xml"/><Relationship Id="rId1" Type="http://schemas.microsoft.com/office/2011/relationships/chartStyle" Target="style146.xml"/></Relationships>
</file>

<file path=xl/charts/_rels/chart147.xml.rels><?xml version="1.0" encoding="UTF-8" standalone="yes"?>
<Relationships xmlns="http://schemas.openxmlformats.org/package/2006/relationships"><Relationship Id="rId2" Type="http://schemas.microsoft.com/office/2011/relationships/chartColorStyle" Target="colors147.xml"/><Relationship Id="rId1" Type="http://schemas.microsoft.com/office/2011/relationships/chartStyle" Target="style147.xml"/></Relationships>
</file>

<file path=xl/charts/_rels/chart148.xml.rels><?xml version="1.0" encoding="UTF-8" standalone="yes"?>
<Relationships xmlns="http://schemas.openxmlformats.org/package/2006/relationships"><Relationship Id="rId2" Type="http://schemas.microsoft.com/office/2011/relationships/chartColorStyle" Target="colors148.xml"/><Relationship Id="rId1" Type="http://schemas.microsoft.com/office/2011/relationships/chartStyle" Target="style148.xml"/></Relationships>
</file>

<file path=xl/charts/_rels/chart149.xml.rels><?xml version="1.0" encoding="UTF-8" standalone="yes"?>
<Relationships xmlns="http://schemas.openxmlformats.org/package/2006/relationships"><Relationship Id="rId2" Type="http://schemas.microsoft.com/office/2011/relationships/chartColorStyle" Target="colors149.xml"/><Relationship Id="rId1" Type="http://schemas.microsoft.com/office/2011/relationships/chartStyle" Target="style149.xml"/></Relationships>
</file>

<file path=xl/charts/_rels/chart150.xml.rels><?xml version="1.0" encoding="UTF-8" standalone="yes"?>
<Relationships xmlns="http://schemas.openxmlformats.org/package/2006/relationships"><Relationship Id="rId2" Type="http://schemas.microsoft.com/office/2011/relationships/chartColorStyle" Target="colors150.xml"/><Relationship Id="rId1" Type="http://schemas.microsoft.com/office/2011/relationships/chartStyle" Target="style150.xml"/></Relationships>
</file>

<file path=xl/charts/_rels/chart151.xml.rels><?xml version="1.0" encoding="UTF-8" standalone="yes"?>
<Relationships xmlns="http://schemas.openxmlformats.org/package/2006/relationships"><Relationship Id="rId2" Type="http://schemas.microsoft.com/office/2011/relationships/chartColorStyle" Target="colors151.xml"/><Relationship Id="rId1" Type="http://schemas.microsoft.com/office/2011/relationships/chartStyle" Target="style151.xml"/></Relationships>
</file>

<file path=xl/charts/_rels/chart152.xml.rels><?xml version="1.0" encoding="UTF-8" standalone="yes"?>
<Relationships xmlns="http://schemas.openxmlformats.org/package/2006/relationships"><Relationship Id="rId2" Type="http://schemas.microsoft.com/office/2011/relationships/chartColorStyle" Target="colors152.xml"/><Relationship Id="rId1" Type="http://schemas.microsoft.com/office/2011/relationships/chartStyle" Target="style15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'LOTE 1 '!$P$6:$R$6</c:f>
              <c:strCache>
                <c:ptCount val="3"/>
              </c:strCache>
            </c:strRef>
          </c:tx>
          <c:spPr>
            <a:ln w="25400" cap="rnd">
              <a:no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1 '!$S$6:$V$6</c:f>
              <c:numCache>
                <c:formatCode>#,##0</c:formatCode>
                <c:ptCount val="4"/>
                <c:pt idx="0">
                  <c:v>10472</c:v>
                </c:pt>
                <c:pt idx="1">
                  <c:v>16755.2</c:v>
                </c:pt>
              </c:numCache>
            </c:numRef>
          </c:yVal>
          <c:smooth val="0"/>
          <c:extLst>
            <c:ext xmlns:c16="http://schemas.microsoft.com/office/drawing/2014/chart" uri="{C3380CC4-5D6E-409C-BE32-E72D297353CC}">
              <c16:uniqueId val="{00000000-7243-41C5-9FF3-24209C235DAA}"/>
            </c:ext>
          </c:extLst>
        </c:ser>
        <c:dLbls>
          <c:dLblPos val="t"/>
          <c:showLegendKey val="0"/>
          <c:showVal val="1"/>
          <c:showCatName val="0"/>
          <c:showSerName val="0"/>
          <c:showPercent val="0"/>
          <c:showBubbleSize val="0"/>
        </c:dLbls>
        <c:axId val="2093567119"/>
        <c:axId val="2093567535"/>
      </c:scatterChart>
      <c:valAx>
        <c:axId val="20935671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7535"/>
        <c:crosses val="autoZero"/>
        <c:crossBetween val="midCat"/>
      </c:valAx>
      <c:valAx>
        <c:axId val="20935675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71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'!$P$7:$V$7</c:f>
              <c:numCache>
                <c:formatCode>#,##0</c:formatCode>
                <c:ptCount val="7"/>
                <c:pt idx="0">
                  <c:v>27489</c:v>
                </c:pt>
                <c:pt idx="1">
                  <c:v>27251</c:v>
                </c:pt>
                <c:pt idx="2">
                  <c:v>11644.15</c:v>
                </c:pt>
                <c:pt idx="4">
                  <c:v>4950.3999999999996</c:v>
                </c:pt>
              </c:numCache>
            </c:numRef>
          </c:yVal>
          <c:smooth val="1"/>
          <c:extLst>
            <c:ext xmlns:c16="http://schemas.microsoft.com/office/drawing/2014/chart" uri="{C3380CC4-5D6E-409C-BE32-E72D297353CC}">
              <c16:uniqueId val="{00000000-F38E-42E3-ADEA-27B6118E2BC3}"/>
            </c:ext>
          </c:extLst>
        </c:ser>
        <c:dLbls>
          <c:showLegendKey val="0"/>
          <c:showVal val="0"/>
          <c:showCatName val="0"/>
          <c:showSerName val="0"/>
          <c:showPercent val="0"/>
          <c:showBubbleSize val="0"/>
        </c:dLbls>
        <c:axId val="199197055"/>
        <c:axId val="199199135"/>
      </c:scatterChart>
      <c:valAx>
        <c:axId val="1991970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199135"/>
        <c:crosses val="autoZero"/>
        <c:crossBetween val="midCat"/>
      </c:valAx>
      <c:valAx>
        <c:axId val="1991991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1970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'!$P$9:$R$9</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'!$S$9:$V$9</c:f>
              <c:numCache>
                <c:formatCode>#,##0</c:formatCode>
                <c:ptCount val="4"/>
                <c:pt idx="0">
                  <c:v>55930</c:v>
                </c:pt>
                <c:pt idx="1">
                  <c:v>89488</c:v>
                </c:pt>
              </c:numCache>
            </c:numRef>
          </c:yVal>
          <c:smooth val="1"/>
          <c:extLst>
            <c:ext xmlns:c16="http://schemas.microsoft.com/office/drawing/2014/chart" uri="{C3380CC4-5D6E-409C-BE32-E72D297353CC}">
              <c16:uniqueId val="{00000000-89EC-4482-848C-4B124E753E7E}"/>
            </c:ext>
          </c:extLst>
        </c:ser>
        <c:dLbls>
          <c:showLegendKey val="0"/>
          <c:showVal val="0"/>
          <c:showCatName val="0"/>
          <c:showSerName val="0"/>
          <c:showPercent val="0"/>
          <c:showBubbleSize val="0"/>
        </c:dLbls>
        <c:axId val="2090354447"/>
        <c:axId val="2090351535"/>
      </c:scatterChart>
      <c:valAx>
        <c:axId val="20903544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1535"/>
        <c:crosses val="autoZero"/>
        <c:crossBetween val="midCat"/>
      </c:valAx>
      <c:valAx>
        <c:axId val="20903515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44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'!$P$8:$R$8</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'!$S$8:$V$8</c:f>
              <c:numCache>
                <c:formatCode>#,##0</c:formatCode>
                <c:ptCount val="4"/>
                <c:pt idx="0">
                  <c:v>714000</c:v>
                </c:pt>
                <c:pt idx="1">
                  <c:v>1166200</c:v>
                </c:pt>
              </c:numCache>
            </c:numRef>
          </c:yVal>
          <c:smooth val="1"/>
          <c:extLst>
            <c:ext xmlns:c16="http://schemas.microsoft.com/office/drawing/2014/chart" uri="{C3380CC4-5D6E-409C-BE32-E72D297353CC}">
              <c16:uniqueId val="{00000000-0B79-4F1A-8C97-A0C4FDA1F321}"/>
            </c:ext>
          </c:extLst>
        </c:ser>
        <c:dLbls>
          <c:showLegendKey val="0"/>
          <c:showVal val="0"/>
          <c:showCatName val="0"/>
          <c:showSerName val="0"/>
          <c:showPercent val="0"/>
          <c:showBubbleSize val="0"/>
        </c:dLbls>
        <c:axId val="2093565039"/>
        <c:axId val="2093565871"/>
      </c:scatterChart>
      <c:valAx>
        <c:axId val="2093565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5871"/>
        <c:crosses val="autoZero"/>
        <c:crossBetween val="midCat"/>
      </c:valAx>
      <c:valAx>
        <c:axId val="20935658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5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'!$P$10:$R$10</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'!$S$10:$V$10</c:f>
              <c:numCache>
                <c:formatCode>#,##0</c:formatCode>
                <c:ptCount val="4"/>
                <c:pt idx="0">
                  <c:v>64260</c:v>
                </c:pt>
              </c:numCache>
            </c:numRef>
          </c:yVal>
          <c:smooth val="1"/>
          <c:extLst>
            <c:ext xmlns:c16="http://schemas.microsoft.com/office/drawing/2014/chart" uri="{C3380CC4-5D6E-409C-BE32-E72D297353CC}">
              <c16:uniqueId val="{00000000-A351-49B7-B2FA-21BA6C0A6932}"/>
            </c:ext>
          </c:extLst>
        </c:ser>
        <c:dLbls>
          <c:showLegendKey val="0"/>
          <c:showVal val="0"/>
          <c:showCatName val="0"/>
          <c:showSerName val="0"/>
          <c:showPercent val="0"/>
          <c:showBubbleSize val="0"/>
        </c:dLbls>
        <c:axId val="199343967"/>
        <c:axId val="199345215"/>
      </c:scatterChart>
      <c:valAx>
        <c:axId val="1993439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5215"/>
        <c:crosses val="autoZero"/>
        <c:crossBetween val="midCat"/>
      </c:valAx>
      <c:valAx>
        <c:axId val="19934521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39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'!$P$11:$R$11</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'!$S$11:$V$11</c:f>
              <c:numCache>
                <c:formatCode>#,##0</c:formatCode>
                <c:ptCount val="4"/>
                <c:pt idx="0">
                  <c:v>52360</c:v>
                </c:pt>
              </c:numCache>
            </c:numRef>
          </c:yVal>
          <c:smooth val="0"/>
          <c:extLst>
            <c:ext xmlns:c16="http://schemas.microsoft.com/office/drawing/2014/chart" uri="{C3380CC4-5D6E-409C-BE32-E72D297353CC}">
              <c16:uniqueId val="{00000000-31B1-4395-9D58-E70497E8FBA0}"/>
            </c:ext>
          </c:extLst>
        </c:ser>
        <c:dLbls>
          <c:showLegendKey val="0"/>
          <c:showVal val="0"/>
          <c:showCatName val="0"/>
          <c:showSerName val="0"/>
          <c:showPercent val="0"/>
          <c:showBubbleSize val="0"/>
        </c:dLbls>
        <c:axId val="2090349455"/>
        <c:axId val="2090349871"/>
      </c:scatterChart>
      <c:valAx>
        <c:axId val="20903494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49871"/>
        <c:crosses val="autoZero"/>
        <c:crossBetween val="midCat"/>
      </c:valAx>
      <c:valAx>
        <c:axId val="20903498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494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'!$P$12:$S$12</c:f>
              <c:strCache>
                <c:ptCount val="4"/>
              </c:strCache>
            </c:strRef>
          </c:tx>
          <c:spPr>
            <a:ln w="19050" cap="rnd">
              <a:noFill/>
              <a:round/>
            </a:ln>
            <a:effectLst/>
          </c:spPr>
          <c:marker>
            <c:symbol val="circle"/>
            <c:size val="5"/>
            <c:spPr>
              <a:solidFill>
                <a:schemeClr val="accent1"/>
              </a:solidFill>
              <a:ln w="9525">
                <a:solidFill>
                  <a:schemeClr val="accent1"/>
                </a:solidFill>
              </a:ln>
              <a:effectLst/>
            </c:spPr>
          </c:marker>
          <c:yVal>
            <c:numRef>
              <c:f>'LOTE 1 '!$T$12:$V$12</c:f>
              <c:numCache>
                <c:formatCode>General</c:formatCode>
                <c:ptCount val="3"/>
                <c:pt idx="0" formatCode="#,##0">
                  <c:v>13328</c:v>
                </c:pt>
              </c:numCache>
            </c:numRef>
          </c:yVal>
          <c:smooth val="0"/>
          <c:extLst>
            <c:ext xmlns:c16="http://schemas.microsoft.com/office/drawing/2014/chart" uri="{C3380CC4-5D6E-409C-BE32-E72D297353CC}">
              <c16:uniqueId val="{00000000-B284-4A19-9D75-E3FD8ACC3183}"/>
            </c:ext>
          </c:extLst>
        </c:ser>
        <c:dLbls>
          <c:showLegendKey val="0"/>
          <c:showVal val="0"/>
          <c:showCatName val="0"/>
          <c:showSerName val="0"/>
          <c:showPercent val="0"/>
          <c:showBubbleSize val="0"/>
        </c:dLbls>
        <c:axId val="199346047"/>
        <c:axId val="199346463"/>
      </c:scatterChart>
      <c:valAx>
        <c:axId val="199346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6463"/>
        <c:crosses val="autoZero"/>
        <c:crossBetween val="midCat"/>
      </c:valAx>
      <c:valAx>
        <c:axId val="1993464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6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'!$P$13:$S$13</c:f>
              <c:strCache>
                <c:ptCount val="4"/>
              </c:strCache>
            </c:strRef>
          </c:tx>
          <c:spPr>
            <a:ln w="19050" cap="rnd">
              <a:noFill/>
              <a:round/>
            </a:ln>
            <a:effectLst/>
          </c:spPr>
          <c:marker>
            <c:symbol val="circle"/>
            <c:size val="5"/>
            <c:spPr>
              <a:solidFill>
                <a:schemeClr val="accent1"/>
              </a:solidFill>
              <a:ln w="9525">
                <a:solidFill>
                  <a:schemeClr val="accent1"/>
                </a:solidFill>
              </a:ln>
              <a:effectLst/>
            </c:spPr>
          </c:marker>
          <c:yVal>
            <c:numRef>
              <c:f>'LOTE 1 '!$T$13:$V$13</c:f>
              <c:numCache>
                <c:formatCode>General</c:formatCode>
                <c:ptCount val="3"/>
                <c:pt idx="0" formatCode="#,##0">
                  <c:v>11424</c:v>
                </c:pt>
              </c:numCache>
            </c:numRef>
          </c:yVal>
          <c:smooth val="0"/>
          <c:extLst>
            <c:ext xmlns:c16="http://schemas.microsoft.com/office/drawing/2014/chart" uri="{C3380CC4-5D6E-409C-BE32-E72D297353CC}">
              <c16:uniqueId val="{00000000-6C3F-44EF-9DC6-4ED33F29491E}"/>
            </c:ext>
          </c:extLst>
        </c:ser>
        <c:dLbls>
          <c:showLegendKey val="0"/>
          <c:showVal val="0"/>
          <c:showCatName val="0"/>
          <c:showSerName val="0"/>
          <c:showPercent val="0"/>
          <c:showBubbleSize val="0"/>
        </c:dLbls>
        <c:axId val="2093565039"/>
        <c:axId val="2093564207"/>
      </c:scatterChart>
      <c:valAx>
        <c:axId val="2093565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4207"/>
        <c:crosses val="autoZero"/>
        <c:crossBetween val="midCat"/>
      </c:valAx>
      <c:valAx>
        <c:axId val="2093564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3565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'!$P$14</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'!$Q$14:$V$14</c:f>
              <c:numCache>
                <c:formatCode>#,##0</c:formatCode>
                <c:ptCount val="6"/>
                <c:pt idx="0">
                  <c:v>297500</c:v>
                </c:pt>
              </c:numCache>
            </c:numRef>
          </c:yVal>
          <c:smooth val="0"/>
          <c:extLst>
            <c:ext xmlns:c16="http://schemas.microsoft.com/office/drawing/2014/chart" uri="{C3380CC4-5D6E-409C-BE32-E72D297353CC}">
              <c16:uniqueId val="{00000000-9CB1-49E0-821F-75E29F40EA5E}"/>
            </c:ext>
          </c:extLst>
        </c:ser>
        <c:dLbls>
          <c:showLegendKey val="0"/>
          <c:showVal val="0"/>
          <c:showCatName val="0"/>
          <c:showSerName val="0"/>
          <c:showPercent val="0"/>
          <c:showBubbleSize val="0"/>
        </c:dLbls>
        <c:axId val="2095520047"/>
        <c:axId val="2095517551"/>
      </c:scatterChart>
      <c:valAx>
        <c:axId val="2095520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5517551"/>
        <c:crosses val="autoZero"/>
        <c:crossBetween val="midCat"/>
      </c:valAx>
      <c:valAx>
        <c:axId val="2095517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5520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'!$P$15:$R$15</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'!$S$15:$V$15</c:f>
              <c:numCache>
                <c:formatCode>#,##0</c:formatCode>
                <c:ptCount val="4"/>
                <c:pt idx="0">
                  <c:v>48790</c:v>
                </c:pt>
                <c:pt idx="1">
                  <c:v>66640</c:v>
                </c:pt>
              </c:numCache>
            </c:numRef>
          </c:yVal>
          <c:smooth val="1"/>
          <c:extLst>
            <c:ext xmlns:c16="http://schemas.microsoft.com/office/drawing/2014/chart" uri="{C3380CC4-5D6E-409C-BE32-E72D297353CC}">
              <c16:uniqueId val="{00000000-B76F-45C9-A3D4-817B10FD06E7}"/>
            </c:ext>
          </c:extLst>
        </c:ser>
        <c:dLbls>
          <c:showLegendKey val="0"/>
          <c:showVal val="0"/>
          <c:showCatName val="0"/>
          <c:showSerName val="0"/>
          <c:showPercent val="0"/>
          <c:showBubbleSize val="0"/>
        </c:dLbls>
        <c:axId val="2090356111"/>
        <c:axId val="2090349039"/>
      </c:scatterChart>
      <c:valAx>
        <c:axId val="20903561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49039"/>
        <c:crosses val="autoZero"/>
        <c:crossBetween val="midCat"/>
      </c:valAx>
      <c:valAx>
        <c:axId val="20903490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61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'!$P$16:$R$16</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'!$S$16:$V$16</c:f>
              <c:numCache>
                <c:formatCode>#,##0</c:formatCode>
                <c:ptCount val="4"/>
                <c:pt idx="0">
                  <c:v>46410</c:v>
                </c:pt>
              </c:numCache>
            </c:numRef>
          </c:yVal>
          <c:smooth val="0"/>
          <c:extLst>
            <c:ext xmlns:c16="http://schemas.microsoft.com/office/drawing/2014/chart" uri="{C3380CC4-5D6E-409C-BE32-E72D297353CC}">
              <c16:uniqueId val="{00000000-87DC-4D51-A933-DEBFCB402E87}"/>
            </c:ext>
          </c:extLst>
        </c:ser>
        <c:dLbls>
          <c:showLegendKey val="0"/>
          <c:showVal val="0"/>
          <c:showCatName val="0"/>
          <c:showSerName val="0"/>
          <c:showPercent val="0"/>
          <c:showBubbleSize val="0"/>
        </c:dLbls>
        <c:axId val="2091669903"/>
        <c:axId val="2091670735"/>
      </c:scatterChart>
      <c:valAx>
        <c:axId val="20916699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1670735"/>
        <c:crosses val="autoZero"/>
        <c:crossBetween val="midCat"/>
      </c:valAx>
      <c:valAx>
        <c:axId val="20916707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166990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'!$P$17:$R$17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'!$S$17:$V$17</c:f>
              <c:numCache>
                <c:formatCode>#,##0</c:formatCode>
                <c:ptCount val="4"/>
                <c:pt idx="0">
                  <c:v>52360</c:v>
                </c:pt>
                <c:pt idx="1">
                  <c:v>73780</c:v>
                </c:pt>
              </c:numCache>
            </c:numRef>
          </c:yVal>
          <c:smooth val="1"/>
          <c:extLst>
            <c:ext xmlns:c16="http://schemas.microsoft.com/office/drawing/2014/chart" uri="{C3380CC4-5D6E-409C-BE32-E72D297353CC}">
              <c16:uniqueId val="{00000000-5C01-4431-A33B-65B9BBFA8D3B}"/>
            </c:ext>
          </c:extLst>
        </c:ser>
        <c:dLbls>
          <c:showLegendKey val="0"/>
          <c:showVal val="0"/>
          <c:showCatName val="0"/>
          <c:showSerName val="0"/>
          <c:showPercent val="0"/>
          <c:showBubbleSize val="0"/>
        </c:dLbls>
        <c:axId val="2091672815"/>
        <c:axId val="2091672399"/>
      </c:scatterChart>
      <c:valAx>
        <c:axId val="20916728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1672399"/>
        <c:crosses val="autoZero"/>
        <c:crossBetween val="midCat"/>
      </c:valAx>
      <c:valAx>
        <c:axId val="20916723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16728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'!$P$18</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'!$Q$18:$V$18</c:f>
              <c:numCache>
                <c:formatCode>#,##0</c:formatCode>
                <c:ptCount val="6"/>
                <c:pt idx="0">
                  <c:v>15827</c:v>
                </c:pt>
              </c:numCache>
            </c:numRef>
          </c:yVal>
          <c:smooth val="0"/>
          <c:extLst>
            <c:ext xmlns:c16="http://schemas.microsoft.com/office/drawing/2014/chart" uri="{C3380CC4-5D6E-409C-BE32-E72D297353CC}">
              <c16:uniqueId val="{00000000-B8FA-46E5-B854-E69E8E038E44}"/>
            </c:ext>
          </c:extLst>
        </c:ser>
        <c:dLbls>
          <c:showLegendKey val="0"/>
          <c:showVal val="0"/>
          <c:showCatName val="0"/>
          <c:showSerName val="0"/>
          <c:showPercent val="0"/>
          <c:showBubbleSize val="0"/>
        </c:dLbls>
        <c:axId val="218490847"/>
        <c:axId val="218492095"/>
      </c:scatterChart>
      <c:valAx>
        <c:axId val="218490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8492095"/>
        <c:crosses val="autoZero"/>
        <c:crossBetween val="midCat"/>
      </c:valAx>
      <c:valAx>
        <c:axId val="218492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8490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'!$P$19:$Q$19</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'!$R$19:$V$19</c:f>
              <c:numCache>
                <c:formatCode>#,##0</c:formatCode>
                <c:ptCount val="5"/>
                <c:pt idx="0">
                  <c:v>53165.63</c:v>
                </c:pt>
                <c:pt idx="2">
                  <c:v>9520</c:v>
                </c:pt>
              </c:numCache>
            </c:numRef>
          </c:yVal>
          <c:smooth val="1"/>
          <c:extLst>
            <c:ext xmlns:c16="http://schemas.microsoft.com/office/drawing/2014/chart" uri="{C3380CC4-5D6E-409C-BE32-E72D297353CC}">
              <c16:uniqueId val="{00000000-3ED3-4834-8216-2B42A9D2F559}"/>
            </c:ext>
          </c:extLst>
        </c:ser>
        <c:dLbls>
          <c:showLegendKey val="0"/>
          <c:showVal val="0"/>
          <c:showCatName val="0"/>
          <c:showSerName val="0"/>
          <c:showPercent val="0"/>
          <c:showBubbleSize val="0"/>
        </c:dLbls>
        <c:axId val="213509663"/>
        <c:axId val="213510495"/>
      </c:scatterChart>
      <c:valAx>
        <c:axId val="213509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3510495"/>
        <c:crosses val="autoZero"/>
        <c:crossBetween val="midCat"/>
      </c:valAx>
      <c:valAx>
        <c:axId val="213510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3509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'!$P$20:$T$20</c:f>
              <c:strCache>
                <c:ptCount val="5"/>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'!$U$20:$V$20</c:f>
              <c:numCache>
                <c:formatCode>#,##0</c:formatCode>
                <c:ptCount val="2"/>
                <c:pt idx="0">
                  <c:v>41650</c:v>
                </c:pt>
              </c:numCache>
            </c:numRef>
          </c:yVal>
          <c:smooth val="1"/>
          <c:extLst>
            <c:ext xmlns:c16="http://schemas.microsoft.com/office/drawing/2014/chart" uri="{C3380CC4-5D6E-409C-BE32-E72D297353CC}">
              <c16:uniqueId val="{00000000-09F3-4EC8-B008-54E2C34FE633}"/>
            </c:ext>
          </c:extLst>
        </c:ser>
        <c:dLbls>
          <c:showLegendKey val="0"/>
          <c:showVal val="0"/>
          <c:showCatName val="0"/>
          <c:showSerName val="0"/>
          <c:showPercent val="0"/>
          <c:showBubbleSize val="0"/>
        </c:dLbls>
        <c:axId val="218058879"/>
        <c:axId val="218059295"/>
      </c:scatterChart>
      <c:valAx>
        <c:axId val="2180588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8059295"/>
        <c:crosses val="autoZero"/>
        <c:crossBetween val="midCat"/>
      </c:valAx>
      <c:valAx>
        <c:axId val="2180592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8058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'!$P$21:$Q$21</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'!$R$21:$V$21</c:f>
              <c:numCache>
                <c:formatCode>#,##0</c:formatCode>
                <c:ptCount val="5"/>
                <c:pt idx="0">
                  <c:v>18215.329999999998</c:v>
                </c:pt>
                <c:pt idx="2">
                  <c:v>24942.399999999998</c:v>
                </c:pt>
              </c:numCache>
            </c:numRef>
          </c:yVal>
          <c:smooth val="1"/>
          <c:extLst>
            <c:ext xmlns:c16="http://schemas.microsoft.com/office/drawing/2014/chart" uri="{C3380CC4-5D6E-409C-BE32-E72D297353CC}">
              <c16:uniqueId val="{00000000-44D6-445C-A45F-8B9C83824968}"/>
            </c:ext>
          </c:extLst>
        </c:ser>
        <c:dLbls>
          <c:showLegendKey val="0"/>
          <c:showVal val="0"/>
          <c:showCatName val="0"/>
          <c:showSerName val="0"/>
          <c:showPercent val="0"/>
          <c:showBubbleSize val="0"/>
        </c:dLbls>
        <c:axId val="216236511"/>
        <c:axId val="216236095"/>
      </c:scatterChart>
      <c:valAx>
        <c:axId val="2162365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6095"/>
        <c:crosses val="autoZero"/>
        <c:crossBetween val="midCat"/>
      </c:valAx>
      <c:valAx>
        <c:axId val="216236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65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'!$P$22</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'!$Q$22:$V$22</c:f>
              <c:numCache>
                <c:formatCode>#,##0</c:formatCode>
                <c:ptCount val="6"/>
                <c:pt idx="0">
                  <c:v>220031</c:v>
                </c:pt>
                <c:pt idx="3">
                  <c:v>304640</c:v>
                </c:pt>
              </c:numCache>
            </c:numRef>
          </c:yVal>
          <c:smooth val="1"/>
          <c:extLst>
            <c:ext xmlns:c16="http://schemas.microsoft.com/office/drawing/2014/chart" uri="{C3380CC4-5D6E-409C-BE32-E72D297353CC}">
              <c16:uniqueId val="{00000000-A36A-4174-BFC4-4B7B6D909FCB}"/>
            </c:ext>
          </c:extLst>
        </c:ser>
        <c:dLbls>
          <c:showLegendKey val="0"/>
          <c:showVal val="0"/>
          <c:showCatName val="0"/>
          <c:showSerName val="0"/>
          <c:showPercent val="0"/>
          <c:showBubbleSize val="0"/>
        </c:dLbls>
        <c:axId val="213509663"/>
        <c:axId val="218060543"/>
      </c:scatterChart>
      <c:valAx>
        <c:axId val="213509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8060543"/>
        <c:crosses val="autoZero"/>
        <c:crossBetween val="midCat"/>
      </c:valAx>
      <c:valAx>
        <c:axId val="2180605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3509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'!$P$23:$R$23</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'!$S$23:$V$23</c:f>
              <c:numCache>
                <c:formatCode>#,##0</c:formatCode>
                <c:ptCount val="4"/>
                <c:pt idx="0">
                  <c:v>221340</c:v>
                </c:pt>
                <c:pt idx="1">
                  <c:v>283696</c:v>
                </c:pt>
              </c:numCache>
            </c:numRef>
          </c:yVal>
          <c:smooth val="1"/>
          <c:extLst>
            <c:ext xmlns:c16="http://schemas.microsoft.com/office/drawing/2014/chart" uri="{C3380CC4-5D6E-409C-BE32-E72D297353CC}">
              <c16:uniqueId val="{00000000-BAF8-420E-BB4E-E365507CD4CC}"/>
            </c:ext>
          </c:extLst>
        </c:ser>
        <c:dLbls>
          <c:showLegendKey val="0"/>
          <c:showVal val="0"/>
          <c:showCatName val="0"/>
          <c:showSerName val="0"/>
          <c:showPercent val="0"/>
          <c:showBubbleSize val="0"/>
        </c:dLbls>
        <c:axId val="213451391"/>
        <c:axId val="213451807"/>
      </c:scatterChart>
      <c:valAx>
        <c:axId val="2134513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3451807"/>
        <c:crosses val="autoZero"/>
        <c:crossBetween val="midCat"/>
      </c:valAx>
      <c:valAx>
        <c:axId val="2134518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34513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'!$P$24:$R$24</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'!$S$24:$V$24</c:f>
              <c:numCache>
                <c:formatCode>#,##0</c:formatCode>
                <c:ptCount val="4"/>
                <c:pt idx="0">
                  <c:v>14994</c:v>
                </c:pt>
              </c:numCache>
            </c:numRef>
          </c:yVal>
          <c:smooth val="0"/>
          <c:extLst>
            <c:ext xmlns:c16="http://schemas.microsoft.com/office/drawing/2014/chart" uri="{C3380CC4-5D6E-409C-BE32-E72D297353CC}">
              <c16:uniqueId val="{00000000-738E-4627-88E7-4A9ADBF2E1D4}"/>
            </c:ext>
          </c:extLst>
        </c:ser>
        <c:dLbls>
          <c:showLegendKey val="0"/>
          <c:showVal val="0"/>
          <c:showCatName val="0"/>
          <c:showSerName val="0"/>
          <c:showPercent val="0"/>
          <c:showBubbleSize val="0"/>
        </c:dLbls>
        <c:axId val="216234015"/>
        <c:axId val="216234847"/>
      </c:scatterChart>
      <c:valAx>
        <c:axId val="216234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4847"/>
        <c:crosses val="autoZero"/>
        <c:crossBetween val="midCat"/>
      </c:valAx>
      <c:valAx>
        <c:axId val="2162348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4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'!$P$25</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'!$Q$25:$V$25</c:f>
              <c:numCache>
                <c:formatCode>#,##0</c:formatCode>
                <c:ptCount val="6"/>
                <c:pt idx="0">
                  <c:v>740180</c:v>
                </c:pt>
                <c:pt idx="2">
                  <c:v>565250</c:v>
                </c:pt>
              </c:numCache>
            </c:numRef>
          </c:yVal>
          <c:smooth val="1"/>
          <c:extLst>
            <c:ext xmlns:c16="http://schemas.microsoft.com/office/drawing/2014/chart" uri="{C3380CC4-5D6E-409C-BE32-E72D297353CC}">
              <c16:uniqueId val="{00000000-CA36-4980-A6AE-DA462393EC17}"/>
            </c:ext>
          </c:extLst>
        </c:ser>
        <c:dLbls>
          <c:showLegendKey val="0"/>
          <c:showVal val="0"/>
          <c:showCatName val="0"/>
          <c:showSerName val="0"/>
          <c:showPercent val="0"/>
          <c:showBubbleSize val="0"/>
        </c:dLbls>
        <c:axId val="217605071"/>
        <c:axId val="217607151"/>
      </c:scatterChart>
      <c:valAx>
        <c:axId val="2176050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7607151"/>
        <c:crosses val="autoZero"/>
        <c:crossBetween val="midCat"/>
      </c:valAx>
      <c:valAx>
        <c:axId val="2176071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76050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'!$P$26:$R$26</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'!$S$26:$V$26</c:f>
              <c:numCache>
                <c:formatCode>#,##0</c:formatCode>
                <c:ptCount val="4"/>
                <c:pt idx="0">
                  <c:v>910350</c:v>
                </c:pt>
              </c:numCache>
            </c:numRef>
          </c:yVal>
          <c:smooth val="1"/>
          <c:extLst>
            <c:ext xmlns:c16="http://schemas.microsoft.com/office/drawing/2014/chart" uri="{C3380CC4-5D6E-409C-BE32-E72D297353CC}">
              <c16:uniqueId val="{00000000-E18C-425D-ADAA-B6EA47475023}"/>
            </c:ext>
          </c:extLst>
        </c:ser>
        <c:dLbls>
          <c:showLegendKey val="0"/>
          <c:showVal val="0"/>
          <c:showCatName val="0"/>
          <c:showSerName val="0"/>
          <c:showPercent val="0"/>
          <c:showBubbleSize val="0"/>
        </c:dLbls>
        <c:axId val="216234015"/>
        <c:axId val="216233599"/>
      </c:scatterChart>
      <c:valAx>
        <c:axId val="216234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3599"/>
        <c:crosses val="autoZero"/>
        <c:crossBetween val="midCat"/>
      </c:valAx>
      <c:valAx>
        <c:axId val="2162335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4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'!$P$27:$R$27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'!$S$27:$V$27</c:f>
              <c:numCache>
                <c:formatCode>#,##0</c:formatCode>
                <c:ptCount val="4"/>
                <c:pt idx="0">
                  <c:v>327250</c:v>
                </c:pt>
              </c:numCache>
            </c:numRef>
          </c:yVal>
          <c:smooth val="1"/>
          <c:extLst>
            <c:ext xmlns:c16="http://schemas.microsoft.com/office/drawing/2014/chart" uri="{C3380CC4-5D6E-409C-BE32-E72D297353CC}">
              <c16:uniqueId val="{00000000-9204-4F2C-A796-39D0873645D5}"/>
            </c:ext>
          </c:extLst>
        </c:ser>
        <c:dLbls>
          <c:showLegendKey val="0"/>
          <c:showVal val="0"/>
          <c:showCatName val="0"/>
          <c:showSerName val="0"/>
          <c:showPercent val="0"/>
          <c:showBubbleSize val="0"/>
        </c:dLbls>
        <c:axId val="199343551"/>
        <c:axId val="199344799"/>
      </c:scatterChart>
      <c:valAx>
        <c:axId val="199343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4799"/>
        <c:crosses val="autoZero"/>
        <c:crossBetween val="midCat"/>
      </c:valAx>
      <c:valAx>
        <c:axId val="199344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343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'!$P$28</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'!$Q$28:$V$28</c:f>
              <c:numCache>
                <c:formatCode>#,##0</c:formatCode>
                <c:ptCount val="6"/>
                <c:pt idx="0">
                  <c:v>49028</c:v>
                </c:pt>
              </c:numCache>
            </c:numRef>
          </c:yVal>
          <c:smooth val="0"/>
          <c:extLst>
            <c:ext xmlns:c16="http://schemas.microsoft.com/office/drawing/2014/chart" uri="{C3380CC4-5D6E-409C-BE32-E72D297353CC}">
              <c16:uniqueId val="{00000000-108B-4D08-8867-B9CC93C413B7}"/>
            </c:ext>
          </c:extLst>
        </c:ser>
        <c:dLbls>
          <c:showLegendKey val="0"/>
          <c:showVal val="0"/>
          <c:showCatName val="0"/>
          <c:showSerName val="0"/>
          <c:showPercent val="0"/>
          <c:showBubbleSize val="0"/>
        </c:dLbls>
        <c:axId val="216236927"/>
        <c:axId val="2085756495"/>
      </c:scatterChart>
      <c:valAx>
        <c:axId val="216236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85756495"/>
        <c:crosses val="autoZero"/>
        <c:crossBetween val="midCat"/>
      </c:valAx>
      <c:valAx>
        <c:axId val="2085756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6236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'!$P$29</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'!$Q$29:$V$29</c:f>
              <c:numCache>
                <c:formatCode>#,##0</c:formatCode>
                <c:ptCount val="6"/>
                <c:pt idx="0">
                  <c:v>11662</c:v>
                </c:pt>
              </c:numCache>
            </c:numRef>
          </c:yVal>
          <c:smooth val="1"/>
          <c:extLst>
            <c:ext xmlns:c16="http://schemas.microsoft.com/office/drawing/2014/chart" uri="{C3380CC4-5D6E-409C-BE32-E72D297353CC}">
              <c16:uniqueId val="{00000000-F0CC-4695-BDA5-FE9345BA1185}"/>
            </c:ext>
          </c:extLst>
        </c:ser>
        <c:dLbls>
          <c:showLegendKey val="0"/>
          <c:showVal val="0"/>
          <c:showCatName val="0"/>
          <c:showSerName val="0"/>
          <c:showPercent val="0"/>
          <c:showBubbleSize val="0"/>
        </c:dLbls>
        <c:axId val="217607567"/>
        <c:axId val="217604239"/>
      </c:scatterChart>
      <c:valAx>
        <c:axId val="2176075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7604239"/>
        <c:crosses val="autoZero"/>
        <c:crossBetween val="midCat"/>
      </c:valAx>
      <c:valAx>
        <c:axId val="2176042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176075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'!$P$30</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'!$Q$30:$V$30</c:f>
              <c:numCache>
                <c:formatCode>#,##0</c:formatCode>
                <c:ptCount val="6"/>
                <c:pt idx="0">
                  <c:v>679728</c:v>
                </c:pt>
              </c:numCache>
            </c:numRef>
          </c:yVal>
          <c:smooth val="1"/>
          <c:extLst>
            <c:ext xmlns:c16="http://schemas.microsoft.com/office/drawing/2014/chart" uri="{C3380CC4-5D6E-409C-BE32-E72D297353CC}">
              <c16:uniqueId val="{00000000-F784-4C7B-B703-0F50D8ED69D9}"/>
            </c:ext>
          </c:extLst>
        </c:ser>
        <c:dLbls>
          <c:showLegendKey val="0"/>
          <c:showVal val="0"/>
          <c:showCatName val="0"/>
          <c:showSerName val="0"/>
          <c:showPercent val="0"/>
          <c:showBubbleSize val="0"/>
        </c:dLbls>
        <c:axId val="2090352783"/>
        <c:axId val="2090354031"/>
      </c:scatterChart>
      <c:valAx>
        <c:axId val="20903527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4031"/>
        <c:crosses val="autoZero"/>
        <c:crossBetween val="midCat"/>
      </c:valAx>
      <c:valAx>
        <c:axId val="20903540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2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'!$P$31</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'!$Q$31:$V$31</c:f>
              <c:numCache>
                <c:formatCode>#,##0</c:formatCode>
                <c:ptCount val="6"/>
                <c:pt idx="0">
                  <c:v>1643509</c:v>
                </c:pt>
              </c:numCache>
            </c:numRef>
          </c:yVal>
          <c:smooth val="0"/>
          <c:extLst>
            <c:ext xmlns:c16="http://schemas.microsoft.com/office/drawing/2014/chart" uri="{C3380CC4-5D6E-409C-BE32-E72D297353CC}">
              <c16:uniqueId val="{00000000-A3CE-4745-9058-65BA4C18D998}"/>
            </c:ext>
          </c:extLst>
        </c:ser>
        <c:dLbls>
          <c:showLegendKey val="0"/>
          <c:showVal val="0"/>
          <c:showCatName val="0"/>
          <c:showSerName val="0"/>
          <c:showPercent val="0"/>
          <c:showBubbleSize val="0"/>
        </c:dLbls>
        <c:axId val="1982525551"/>
        <c:axId val="1982525967"/>
      </c:scatterChart>
      <c:valAx>
        <c:axId val="1982525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82525967"/>
        <c:crosses val="autoZero"/>
        <c:crossBetween val="midCat"/>
      </c:valAx>
      <c:valAx>
        <c:axId val="19825259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82525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1 '!$P$32</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'!$Q$32:$V$32</c:f>
              <c:numCache>
                <c:formatCode>#,##0</c:formatCode>
                <c:ptCount val="6"/>
                <c:pt idx="0">
                  <c:v>119714</c:v>
                </c:pt>
              </c:numCache>
            </c:numRef>
          </c:yVal>
          <c:smooth val="0"/>
          <c:extLst>
            <c:ext xmlns:c16="http://schemas.microsoft.com/office/drawing/2014/chart" uri="{C3380CC4-5D6E-409C-BE32-E72D297353CC}">
              <c16:uniqueId val="{00000000-B9C8-4E8D-8C88-1538CE418F50}"/>
            </c:ext>
          </c:extLst>
        </c:ser>
        <c:dLbls>
          <c:showLegendKey val="0"/>
          <c:showVal val="0"/>
          <c:showCatName val="0"/>
          <c:showSerName val="0"/>
          <c:showPercent val="0"/>
          <c:showBubbleSize val="0"/>
        </c:dLbls>
        <c:axId val="2090352783"/>
        <c:axId val="2090356527"/>
      </c:scatterChart>
      <c:valAx>
        <c:axId val="20903527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6527"/>
        <c:crosses val="autoZero"/>
        <c:crossBetween val="midCat"/>
      </c:valAx>
      <c:valAx>
        <c:axId val="20903565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2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'!$P$33:$R$33</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'!$S$33:$V$33</c:f>
              <c:numCache>
                <c:formatCode>#,##0</c:formatCode>
                <c:ptCount val="4"/>
                <c:pt idx="0">
                  <c:v>103530</c:v>
                </c:pt>
                <c:pt idx="1">
                  <c:v>165648</c:v>
                </c:pt>
              </c:numCache>
            </c:numRef>
          </c:yVal>
          <c:smooth val="1"/>
          <c:extLst>
            <c:ext xmlns:c16="http://schemas.microsoft.com/office/drawing/2014/chart" uri="{C3380CC4-5D6E-409C-BE32-E72D297353CC}">
              <c16:uniqueId val="{00000000-FF87-46B4-BFA3-84199897EC06}"/>
            </c:ext>
          </c:extLst>
        </c:ser>
        <c:dLbls>
          <c:showLegendKey val="0"/>
          <c:showVal val="0"/>
          <c:showCatName val="0"/>
          <c:showSerName val="0"/>
          <c:showPercent val="0"/>
          <c:showBubbleSize val="0"/>
        </c:dLbls>
        <c:axId val="1982526383"/>
        <c:axId val="1982523471"/>
      </c:scatterChart>
      <c:valAx>
        <c:axId val="19825263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82523471"/>
        <c:crosses val="autoZero"/>
        <c:crossBetween val="midCat"/>
      </c:valAx>
      <c:valAx>
        <c:axId val="19825234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825263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'!$P$34:$V$34</c:f>
              <c:numCache>
                <c:formatCode>#,##0</c:formatCode>
                <c:ptCount val="7"/>
                <c:pt idx="0">
                  <c:v>77112</c:v>
                </c:pt>
              </c:numCache>
            </c:numRef>
          </c:yVal>
          <c:smooth val="1"/>
          <c:extLst>
            <c:ext xmlns:c16="http://schemas.microsoft.com/office/drawing/2014/chart" uri="{C3380CC4-5D6E-409C-BE32-E72D297353CC}">
              <c16:uniqueId val="{00000000-CDB7-4017-9204-D82DC1AEBEDE}"/>
            </c:ext>
          </c:extLst>
        </c:ser>
        <c:dLbls>
          <c:showLegendKey val="0"/>
          <c:showVal val="0"/>
          <c:showCatName val="0"/>
          <c:showSerName val="0"/>
          <c:showPercent val="0"/>
          <c:showBubbleSize val="0"/>
        </c:dLbls>
        <c:axId val="1118480495"/>
        <c:axId val="1118482575"/>
      </c:scatterChart>
      <c:valAx>
        <c:axId val="11184804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18482575"/>
        <c:crosses val="autoZero"/>
        <c:crossBetween val="midCat"/>
      </c:valAx>
      <c:valAx>
        <c:axId val="1118482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184804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1 '!$P$27:$R$27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'!$S$27:$V$27</c:f>
              <c:numCache>
                <c:formatCode>#,##0</c:formatCode>
                <c:ptCount val="4"/>
                <c:pt idx="0">
                  <c:v>327250</c:v>
                </c:pt>
              </c:numCache>
            </c:numRef>
          </c:yVal>
          <c:smooth val="1"/>
          <c:extLst>
            <c:ext xmlns:c16="http://schemas.microsoft.com/office/drawing/2014/chart" uri="{C3380CC4-5D6E-409C-BE32-E72D297353CC}">
              <c16:uniqueId val="{00000000-46AB-4B2D-9E11-FD46C0C85013}"/>
            </c:ext>
          </c:extLst>
        </c:ser>
        <c:dLbls>
          <c:showLegendKey val="0"/>
          <c:showVal val="0"/>
          <c:showCatName val="0"/>
          <c:showSerName val="0"/>
          <c:showPercent val="0"/>
          <c:showBubbleSize val="0"/>
        </c:dLbls>
        <c:axId val="1443684671"/>
        <c:axId val="1443686751"/>
      </c:scatterChart>
      <c:valAx>
        <c:axId val="14436846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443686751"/>
        <c:crosses val="autoZero"/>
        <c:crossBetween val="midCat"/>
      </c:valAx>
      <c:valAx>
        <c:axId val="14436867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4436846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0938697606203954"/>
          <c:y val="9.341832149276727E-2"/>
          <c:w val="0.73662930137977678"/>
          <c:h val="0.70956865745099718"/>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2'!$P$5:$U$5</c:f>
              <c:numCache>
                <c:formatCode>#,##0</c:formatCode>
                <c:ptCount val="6"/>
                <c:pt idx="0">
                  <c:v>73304</c:v>
                </c:pt>
                <c:pt idx="2">
                  <c:v>46008.97</c:v>
                </c:pt>
                <c:pt idx="3">
                  <c:v>42840</c:v>
                </c:pt>
                <c:pt idx="4">
                  <c:v>66937.5</c:v>
                </c:pt>
                <c:pt idx="5">
                  <c:v>32917.919999999998</c:v>
                </c:pt>
              </c:numCache>
            </c:numRef>
          </c:yVal>
          <c:smooth val="1"/>
          <c:extLst>
            <c:ext xmlns:c16="http://schemas.microsoft.com/office/drawing/2014/chart" uri="{C3380CC4-5D6E-409C-BE32-E72D297353CC}">
              <c16:uniqueId val="{00000000-1343-48F7-ACC5-4D9D17D311E5}"/>
            </c:ext>
          </c:extLst>
        </c:ser>
        <c:dLbls>
          <c:showLegendKey val="0"/>
          <c:showVal val="0"/>
          <c:showCatName val="0"/>
          <c:showSerName val="0"/>
          <c:showPercent val="0"/>
          <c:showBubbleSize val="0"/>
        </c:dLbls>
        <c:axId val="2091672815"/>
        <c:axId val="2091669903"/>
      </c:scatterChart>
      <c:valAx>
        <c:axId val="20916728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1669903"/>
        <c:crosses val="autoZero"/>
        <c:crossBetween val="midCat"/>
      </c:valAx>
      <c:valAx>
        <c:axId val="209166990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916728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4051290802272007"/>
          <c:y val="9.7777777777777783E-2"/>
          <c:w val="0.70466769053249134"/>
          <c:h val="0.5964150481189850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2'!$P$6:$U$6</c:f>
              <c:numCache>
                <c:formatCode>#,##0</c:formatCode>
                <c:ptCount val="6"/>
                <c:pt idx="0">
                  <c:v>113883</c:v>
                </c:pt>
                <c:pt idx="2">
                  <c:v>59276.28</c:v>
                </c:pt>
                <c:pt idx="3">
                  <c:v>56525</c:v>
                </c:pt>
                <c:pt idx="4">
                  <c:v>108706.5</c:v>
                </c:pt>
                <c:pt idx="5">
                  <c:v>41863.4496</c:v>
                </c:pt>
              </c:numCache>
            </c:numRef>
          </c:yVal>
          <c:smooth val="1"/>
          <c:extLst>
            <c:ext xmlns:c16="http://schemas.microsoft.com/office/drawing/2014/chart" uri="{C3380CC4-5D6E-409C-BE32-E72D297353CC}">
              <c16:uniqueId val="{00000000-4350-4865-8A1A-96C8D79F9748}"/>
            </c:ext>
          </c:extLst>
        </c:ser>
        <c:dLbls>
          <c:showLegendKey val="0"/>
          <c:showVal val="0"/>
          <c:showCatName val="0"/>
          <c:showSerName val="0"/>
          <c:showPercent val="0"/>
          <c:showBubbleSize val="0"/>
        </c:dLbls>
        <c:axId val="2090350287"/>
        <c:axId val="2090353199"/>
      </c:scatterChart>
      <c:valAx>
        <c:axId val="2090350287"/>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E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353199"/>
        <c:crosses val="autoZero"/>
        <c:crossBetween val="midCat"/>
      </c:valAx>
      <c:valAx>
        <c:axId val="2090353199"/>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E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903502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2'!$P$7:$U$7</c:f>
              <c:numCache>
                <c:formatCode>#,##0</c:formatCode>
                <c:ptCount val="6"/>
                <c:pt idx="0">
                  <c:v>138754</c:v>
                </c:pt>
                <c:pt idx="2">
                  <c:v>43570.659999999996</c:v>
                </c:pt>
                <c:pt idx="3">
                  <c:v>42840</c:v>
                </c:pt>
                <c:pt idx="4">
                  <c:v>65688</c:v>
                </c:pt>
                <c:pt idx="5">
                  <c:v>31560.48</c:v>
                </c:pt>
              </c:numCache>
            </c:numRef>
          </c:yVal>
          <c:smooth val="1"/>
          <c:extLst>
            <c:ext xmlns:c16="http://schemas.microsoft.com/office/drawing/2014/chart" uri="{C3380CC4-5D6E-409C-BE32-E72D297353CC}">
              <c16:uniqueId val="{00000000-3A82-45A5-9473-9D3DFD8307A3}"/>
            </c:ext>
          </c:extLst>
        </c:ser>
        <c:dLbls>
          <c:showLegendKey val="0"/>
          <c:showVal val="0"/>
          <c:showCatName val="0"/>
          <c:showSerName val="0"/>
          <c:showPercent val="0"/>
          <c:showBubbleSize val="0"/>
        </c:dLbls>
        <c:axId val="2090186991"/>
        <c:axId val="2090188655"/>
      </c:scatterChart>
      <c:valAx>
        <c:axId val="209018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90188655"/>
        <c:crosses val="autoZero"/>
        <c:crossBetween val="midCat"/>
      </c:valAx>
      <c:valAx>
        <c:axId val="20901886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9018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2'!$P$8:$U$8</c:f>
              <c:numCache>
                <c:formatCode>#,##0</c:formatCode>
                <c:ptCount val="6"/>
                <c:pt idx="0">
                  <c:v>65450</c:v>
                </c:pt>
                <c:pt idx="2">
                  <c:v>297276.18619943998</c:v>
                </c:pt>
                <c:pt idx="3">
                  <c:v>56525</c:v>
                </c:pt>
                <c:pt idx="4">
                  <c:v>90440</c:v>
                </c:pt>
                <c:pt idx="5">
                  <c:v>88233.600000000006</c:v>
                </c:pt>
              </c:numCache>
            </c:numRef>
          </c:yVal>
          <c:smooth val="1"/>
          <c:extLst>
            <c:ext xmlns:c16="http://schemas.microsoft.com/office/drawing/2014/chart" uri="{C3380CC4-5D6E-409C-BE32-E72D297353CC}">
              <c16:uniqueId val="{00000000-01CC-4B97-882D-A5661A20746D}"/>
            </c:ext>
          </c:extLst>
        </c:ser>
        <c:dLbls>
          <c:showLegendKey val="0"/>
          <c:showVal val="0"/>
          <c:showCatName val="0"/>
          <c:showSerName val="0"/>
          <c:showPercent val="0"/>
          <c:showBubbleSize val="0"/>
        </c:dLbls>
        <c:axId val="427553632"/>
        <c:axId val="425479744"/>
      </c:scatterChart>
      <c:valAx>
        <c:axId val="42755363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79744"/>
        <c:crosses val="autoZero"/>
        <c:crossBetween val="midCat"/>
      </c:valAx>
      <c:valAx>
        <c:axId val="4254797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75536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E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2'!$P$9:$U$9</c:f>
              <c:numCache>
                <c:formatCode>#,##0</c:formatCode>
                <c:ptCount val="6"/>
                <c:pt idx="0">
                  <c:v>324632</c:v>
                </c:pt>
                <c:pt idx="2">
                  <c:v>381158.92439897999</c:v>
                </c:pt>
                <c:pt idx="3">
                  <c:v>208250</c:v>
                </c:pt>
                <c:pt idx="4">
                  <c:v>333200</c:v>
                </c:pt>
                <c:pt idx="5">
                  <c:v>248864</c:v>
                </c:pt>
              </c:numCache>
            </c:numRef>
          </c:yVal>
          <c:smooth val="1"/>
          <c:extLst>
            <c:ext xmlns:c16="http://schemas.microsoft.com/office/drawing/2014/chart" uri="{C3380CC4-5D6E-409C-BE32-E72D297353CC}">
              <c16:uniqueId val="{00000000-8C44-4190-B126-153D54BD61C7}"/>
            </c:ext>
          </c:extLst>
        </c:ser>
        <c:dLbls>
          <c:showLegendKey val="0"/>
          <c:showVal val="0"/>
          <c:showCatName val="0"/>
          <c:showSerName val="0"/>
          <c:showPercent val="0"/>
          <c:showBubbleSize val="0"/>
        </c:dLbls>
        <c:axId val="419681824"/>
        <c:axId val="419682240"/>
      </c:scatterChart>
      <c:valAx>
        <c:axId val="4196818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19682240"/>
        <c:crosses val="autoZero"/>
        <c:crossBetween val="midCat"/>
      </c:valAx>
      <c:valAx>
        <c:axId val="419682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96818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2'!$P$10:$U$10</c:f>
              <c:numCache>
                <c:formatCode>#,##0</c:formatCode>
                <c:ptCount val="6"/>
                <c:pt idx="0">
                  <c:v>138754</c:v>
                </c:pt>
                <c:pt idx="2">
                  <c:v>281570.42638158001</c:v>
                </c:pt>
                <c:pt idx="3">
                  <c:v>42840</c:v>
                </c:pt>
                <c:pt idx="4">
                  <c:v>68544</c:v>
                </c:pt>
                <c:pt idx="5">
                  <c:v>56574.705600000001</c:v>
                </c:pt>
              </c:numCache>
            </c:numRef>
          </c:yVal>
          <c:smooth val="1"/>
          <c:extLst>
            <c:ext xmlns:c16="http://schemas.microsoft.com/office/drawing/2014/chart" uri="{C3380CC4-5D6E-409C-BE32-E72D297353CC}">
              <c16:uniqueId val="{00000000-D7A4-4513-AA8B-BA53970A3F22}"/>
            </c:ext>
          </c:extLst>
        </c:ser>
        <c:dLbls>
          <c:showLegendKey val="0"/>
          <c:showVal val="0"/>
          <c:showCatName val="0"/>
          <c:showSerName val="0"/>
          <c:showPercent val="0"/>
          <c:showBubbleSize val="0"/>
        </c:dLbls>
        <c:axId val="427247200"/>
        <c:axId val="427248032"/>
      </c:scatterChart>
      <c:valAx>
        <c:axId val="4272472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7248032"/>
        <c:crosses val="autoZero"/>
        <c:crossBetween val="midCat"/>
      </c:valAx>
      <c:valAx>
        <c:axId val="427248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7247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2'!$P$11:$U$11</c:f>
              <c:numCache>
                <c:formatCode>#,##0</c:formatCode>
                <c:ptCount val="6"/>
                <c:pt idx="0">
                  <c:v>79849</c:v>
                </c:pt>
                <c:pt idx="2">
                  <c:v>306158.44</c:v>
                </c:pt>
                <c:pt idx="3">
                  <c:v>52003</c:v>
                </c:pt>
                <c:pt idx="4">
                  <c:v>83204.800000000003</c:v>
                </c:pt>
                <c:pt idx="5">
                  <c:v>61650.400000000001</c:v>
                </c:pt>
              </c:numCache>
            </c:numRef>
          </c:yVal>
          <c:smooth val="1"/>
          <c:extLst>
            <c:ext xmlns:c16="http://schemas.microsoft.com/office/drawing/2014/chart" uri="{C3380CC4-5D6E-409C-BE32-E72D297353CC}">
              <c16:uniqueId val="{00000000-AA16-4004-9549-DFA73D08F7FB}"/>
            </c:ext>
          </c:extLst>
        </c:ser>
        <c:dLbls>
          <c:showLegendKey val="0"/>
          <c:showVal val="0"/>
          <c:showCatName val="0"/>
          <c:showSerName val="0"/>
          <c:showPercent val="0"/>
          <c:showBubbleSize val="0"/>
        </c:dLbls>
        <c:axId val="317598256"/>
        <c:axId val="317599088"/>
      </c:scatterChart>
      <c:valAx>
        <c:axId val="3175982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317599088"/>
        <c:crosses val="autoZero"/>
        <c:crossBetween val="midCat"/>
      </c:valAx>
      <c:valAx>
        <c:axId val="317599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175982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lineMarker"/>
        <c:varyColors val="0"/>
        <c:ser>
          <c:idx val="0"/>
          <c:order val="0"/>
          <c:tx>
            <c:strRef>
              <c:f>'LOTE 2'!$P$12:$R$12</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2'!$S$12:$U$12</c:f>
              <c:numCache>
                <c:formatCode>#,##0</c:formatCode>
                <c:ptCount val="3"/>
                <c:pt idx="0">
                  <c:v>76160</c:v>
                </c:pt>
              </c:numCache>
            </c:numRef>
          </c:yVal>
          <c:smooth val="0"/>
          <c:extLst>
            <c:ext xmlns:c16="http://schemas.microsoft.com/office/drawing/2014/chart" uri="{C3380CC4-5D6E-409C-BE32-E72D297353CC}">
              <c16:uniqueId val="{00000000-9A94-4982-90A5-9C7A526927D5}"/>
            </c:ext>
          </c:extLst>
        </c:ser>
        <c:dLbls>
          <c:showLegendKey val="0"/>
          <c:showVal val="0"/>
          <c:showCatName val="0"/>
          <c:showSerName val="0"/>
          <c:showPercent val="0"/>
          <c:showBubbleSize val="0"/>
        </c:dLbls>
        <c:axId val="433250064"/>
        <c:axId val="433247568"/>
      </c:scatterChart>
      <c:valAx>
        <c:axId val="43325006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33247568"/>
        <c:crosses val="autoZero"/>
        <c:crossBetween val="midCat"/>
      </c:valAx>
      <c:valAx>
        <c:axId val="43324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325006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2'!$P$13:$U$13</c:f>
              <c:numCache>
                <c:formatCode>#,##0</c:formatCode>
                <c:ptCount val="6"/>
                <c:pt idx="0">
                  <c:v>113883</c:v>
                </c:pt>
                <c:pt idx="3">
                  <c:v>66759</c:v>
                </c:pt>
                <c:pt idx="4">
                  <c:v>111860</c:v>
                </c:pt>
                <c:pt idx="5">
                  <c:v>92529.897599999997</c:v>
                </c:pt>
              </c:numCache>
            </c:numRef>
          </c:yVal>
          <c:smooth val="1"/>
          <c:extLst>
            <c:ext xmlns:c16="http://schemas.microsoft.com/office/drawing/2014/chart" uri="{C3380CC4-5D6E-409C-BE32-E72D297353CC}">
              <c16:uniqueId val="{00000000-0214-4693-9F54-4C7166D67113}"/>
            </c:ext>
          </c:extLst>
        </c:ser>
        <c:dLbls>
          <c:showLegendKey val="0"/>
          <c:showVal val="0"/>
          <c:showCatName val="0"/>
          <c:showSerName val="0"/>
          <c:showPercent val="0"/>
          <c:showBubbleSize val="0"/>
        </c:dLbls>
        <c:axId val="425446512"/>
        <c:axId val="425444432"/>
      </c:scatterChart>
      <c:valAx>
        <c:axId val="4254465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5444432"/>
        <c:crosses val="autoZero"/>
        <c:crossBetween val="midCat"/>
      </c:valAx>
      <c:valAx>
        <c:axId val="425444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465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2'!$P$14:$U$14</c:f>
              <c:numCache>
                <c:formatCode>#,##0</c:formatCode>
                <c:ptCount val="6"/>
                <c:pt idx="0">
                  <c:v>117810</c:v>
                </c:pt>
                <c:pt idx="3">
                  <c:v>66759</c:v>
                </c:pt>
                <c:pt idx="4">
                  <c:v>95081</c:v>
                </c:pt>
                <c:pt idx="5">
                  <c:v>98984.524799999999</c:v>
                </c:pt>
              </c:numCache>
            </c:numRef>
          </c:yVal>
          <c:smooth val="1"/>
          <c:extLst>
            <c:ext xmlns:c16="http://schemas.microsoft.com/office/drawing/2014/chart" uri="{C3380CC4-5D6E-409C-BE32-E72D297353CC}">
              <c16:uniqueId val="{00000000-4C92-48E8-8CA9-B2FEB493AC01}"/>
            </c:ext>
          </c:extLst>
        </c:ser>
        <c:dLbls>
          <c:showLegendKey val="0"/>
          <c:showVal val="0"/>
          <c:showCatName val="0"/>
          <c:showSerName val="0"/>
          <c:showPercent val="0"/>
          <c:showBubbleSize val="0"/>
        </c:dLbls>
        <c:axId val="427247200"/>
        <c:axId val="427247616"/>
      </c:scatterChart>
      <c:valAx>
        <c:axId val="4272472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7247616"/>
        <c:crosses val="autoZero"/>
        <c:crossBetween val="midCat"/>
      </c:valAx>
      <c:valAx>
        <c:axId val="427247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7247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2'!$P$15:$Q$15</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2'!$R$15:$U$15</c:f>
              <c:numCache>
                <c:formatCode>#,##0</c:formatCode>
                <c:ptCount val="4"/>
                <c:pt idx="0">
                  <c:v>62658.259999999995</c:v>
                </c:pt>
                <c:pt idx="1">
                  <c:v>77350</c:v>
                </c:pt>
                <c:pt idx="2">
                  <c:v>123807.59999999999</c:v>
                </c:pt>
                <c:pt idx="3">
                  <c:v>64478.400000000001</c:v>
                </c:pt>
              </c:numCache>
            </c:numRef>
          </c:yVal>
          <c:smooth val="1"/>
          <c:extLst>
            <c:ext xmlns:c16="http://schemas.microsoft.com/office/drawing/2014/chart" uri="{C3380CC4-5D6E-409C-BE32-E72D297353CC}">
              <c16:uniqueId val="{00000000-F946-4A11-B0FA-2BAB394E5034}"/>
            </c:ext>
          </c:extLst>
        </c:ser>
        <c:dLbls>
          <c:showLegendKey val="0"/>
          <c:showVal val="0"/>
          <c:showCatName val="0"/>
          <c:showSerName val="0"/>
          <c:showPercent val="0"/>
          <c:showBubbleSize val="0"/>
        </c:dLbls>
        <c:axId val="541538416"/>
        <c:axId val="541539248"/>
      </c:scatterChart>
      <c:valAx>
        <c:axId val="54153841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41539248"/>
        <c:crosses val="autoZero"/>
        <c:crossBetween val="midCat"/>
      </c:valAx>
      <c:valAx>
        <c:axId val="541539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415384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E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2'!$P$16:$U$16</c:f>
              <c:numCache>
                <c:formatCode>#,##0</c:formatCode>
                <c:ptCount val="6"/>
                <c:pt idx="0">
                  <c:v>189805</c:v>
                </c:pt>
                <c:pt idx="2">
                  <c:v>140339.07999999999</c:v>
                </c:pt>
              </c:numCache>
            </c:numRef>
          </c:yVal>
          <c:smooth val="1"/>
          <c:extLst>
            <c:ext xmlns:c16="http://schemas.microsoft.com/office/drawing/2014/chart" uri="{C3380CC4-5D6E-409C-BE32-E72D297353CC}">
              <c16:uniqueId val="{00000000-3C58-418C-A992-F1ED31C0D5DC}"/>
            </c:ext>
          </c:extLst>
        </c:ser>
        <c:dLbls>
          <c:showLegendKey val="0"/>
          <c:showVal val="0"/>
          <c:showCatName val="0"/>
          <c:showSerName val="0"/>
          <c:showPercent val="0"/>
          <c:showBubbleSize val="0"/>
        </c:dLbls>
        <c:axId val="541536752"/>
        <c:axId val="541537168"/>
      </c:scatterChart>
      <c:valAx>
        <c:axId val="5415367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41537168"/>
        <c:crosses val="autoZero"/>
        <c:crossBetween val="midCat"/>
      </c:valAx>
      <c:valAx>
        <c:axId val="541537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415367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2'!$P$17:$Q$17</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2'!$R$17:$U$17</c:f>
              <c:numCache>
                <c:formatCode>#,##0</c:formatCode>
                <c:ptCount val="4"/>
                <c:pt idx="0">
                  <c:v>4141.2</c:v>
                </c:pt>
                <c:pt idx="1">
                  <c:v>1190</c:v>
                </c:pt>
                <c:pt idx="2">
                  <c:v>1904</c:v>
                </c:pt>
              </c:numCache>
            </c:numRef>
          </c:yVal>
          <c:smooth val="1"/>
          <c:extLst>
            <c:ext xmlns:c16="http://schemas.microsoft.com/office/drawing/2014/chart" uri="{C3380CC4-5D6E-409C-BE32-E72D297353CC}">
              <c16:uniqueId val="{00000000-F6C8-421E-B14A-B1A93DCC05B5}"/>
            </c:ext>
          </c:extLst>
        </c:ser>
        <c:dLbls>
          <c:showLegendKey val="0"/>
          <c:showVal val="0"/>
          <c:showCatName val="0"/>
          <c:showSerName val="0"/>
          <c:showPercent val="0"/>
          <c:showBubbleSize val="0"/>
        </c:dLbls>
        <c:axId val="573681824"/>
        <c:axId val="573683488"/>
      </c:scatterChart>
      <c:valAx>
        <c:axId val="5736818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73683488"/>
        <c:crosses val="autoZero"/>
        <c:crossBetween val="midCat"/>
      </c:valAx>
      <c:valAx>
        <c:axId val="573683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736818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2'!$P$18:$Q$18</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2'!$R$18:$U$18</c:f>
              <c:numCache>
                <c:formatCode>#,##0</c:formatCode>
                <c:ptCount val="4"/>
                <c:pt idx="1">
                  <c:v>476000</c:v>
                </c:pt>
                <c:pt idx="2">
                  <c:v>952000</c:v>
                </c:pt>
              </c:numCache>
            </c:numRef>
          </c:yVal>
          <c:smooth val="1"/>
          <c:extLst>
            <c:ext xmlns:c16="http://schemas.microsoft.com/office/drawing/2014/chart" uri="{C3380CC4-5D6E-409C-BE32-E72D297353CC}">
              <c16:uniqueId val="{00000000-02C5-48F1-8178-F71154B4D063}"/>
            </c:ext>
          </c:extLst>
        </c:ser>
        <c:dLbls>
          <c:showLegendKey val="0"/>
          <c:showVal val="0"/>
          <c:showCatName val="0"/>
          <c:showSerName val="0"/>
          <c:showPercent val="0"/>
          <c:showBubbleSize val="0"/>
        </c:dLbls>
        <c:axId val="425480160"/>
        <c:axId val="425477664"/>
      </c:scatterChart>
      <c:valAx>
        <c:axId val="4254801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5477664"/>
        <c:crosses val="autoZero"/>
        <c:crossBetween val="midCat"/>
      </c:valAx>
      <c:valAx>
        <c:axId val="425477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801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2'!$P$19:$R$19</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2'!$S$19:$U$19</c:f>
              <c:numCache>
                <c:formatCode>#,##0</c:formatCode>
                <c:ptCount val="3"/>
                <c:pt idx="0">
                  <c:v>476000</c:v>
                </c:pt>
                <c:pt idx="1">
                  <c:v>952000</c:v>
                </c:pt>
              </c:numCache>
            </c:numRef>
          </c:yVal>
          <c:smooth val="1"/>
          <c:extLst>
            <c:ext xmlns:c16="http://schemas.microsoft.com/office/drawing/2014/chart" uri="{C3380CC4-5D6E-409C-BE32-E72D297353CC}">
              <c16:uniqueId val="{00000000-313C-4CF1-BE74-6C30C1E059B2}"/>
            </c:ext>
          </c:extLst>
        </c:ser>
        <c:dLbls>
          <c:showLegendKey val="0"/>
          <c:showVal val="0"/>
          <c:showCatName val="0"/>
          <c:showSerName val="0"/>
          <c:showPercent val="0"/>
          <c:showBubbleSize val="0"/>
        </c:dLbls>
        <c:axId val="427702528"/>
        <c:axId val="427699200"/>
      </c:scatterChart>
      <c:valAx>
        <c:axId val="42770252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7699200"/>
        <c:crosses val="autoZero"/>
        <c:crossBetween val="midCat"/>
      </c:valAx>
      <c:valAx>
        <c:axId val="427699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77025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2'!$P$20:$R$20</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2'!$S$20:$U$20</c:f>
              <c:numCache>
                <c:formatCode>#,##0</c:formatCode>
                <c:ptCount val="3"/>
                <c:pt idx="0">
                  <c:v>404600</c:v>
                </c:pt>
                <c:pt idx="1">
                  <c:v>809200</c:v>
                </c:pt>
              </c:numCache>
            </c:numRef>
          </c:yVal>
          <c:smooth val="1"/>
          <c:extLst>
            <c:ext xmlns:c16="http://schemas.microsoft.com/office/drawing/2014/chart" uri="{C3380CC4-5D6E-409C-BE32-E72D297353CC}">
              <c16:uniqueId val="{00000000-B483-4286-9D3E-0B014A24C8F6}"/>
            </c:ext>
          </c:extLst>
        </c:ser>
        <c:dLbls>
          <c:showLegendKey val="0"/>
          <c:showVal val="0"/>
          <c:showCatName val="0"/>
          <c:showSerName val="0"/>
          <c:showPercent val="0"/>
          <c:showBubbleSize val="0"/>
        </c:dLbls>
        <c:axId val="541533008"/>
        <c:axId val="541538000"/>
      </c:scatterChart>
      <c:valAx>
        <c:axId val="54153300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41538000"/>
        <c:crosses val="autoZero"/>
        <c:crossBetween val="midCat"/>
      </c:valAx>
      <c:valAx>
        <c:axId val="541538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415330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2'!$P$21:$R$21</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2'!$S$21:$U$21</c:f>
              <c:numCache>
                <c:formatCode>#,##0</c:formatCode>
                <c:ptCount val="3"/>
                <c:pt idx="0">
                  <c:v>3617.6</c:v>
                </c:pt>
                <c:pt idx="1">
                  <c:v>7235.2</c:v>
                </c:pt>
              </c:numCache>
            </c:numRef>
          </c:yVal>
          <c:smooth val="1"/>
          <c:extLst>
            <c:ext xmlns:c16="http://schemas.microsoft.com/office/drawing/2014/chart" uri="{C3380CC4-5D6E-409C-BE32-E72D297353CC}">
              <c16:uniqueId val="{00000000-1C03-453B-9232-7272CD07AEAD}"/>
            </c:ext>
          </c:extLst>
        </c:ser>
        <c:dLbls>
          <c:showLegendKey val="0"/>
          <c:showVal val="0"/>
          <c:showCatName val="0"/>
          <c:showSerName val="0"/>
          <c:showPercent val="0"/>
          <c:showBubbleSize val="0"/>
        </c:dLbls>
        <c:axId val="319417904"/>
        <c:axId val="319416240"/>
      </c:scatterChart>
      <c:valAx>
        <c:axId val="3194179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19416240"/>
        <c:crosses val="autoZero"/>
        <c:crossBetween val="midCat"/>
      </c:valAx>
      <c:valAx>
        <c:axId val="319416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194179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E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2'!$P$22:$R$22</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2'!$S$22:$U$22</c:f>
              <c:numCache>
                <c:formatCode>#,##0</c:formatCode>
                <c:ptCount val="3"/>
                <c:pt idx="0">
                  <c:v>618800</c:v>
                </c:pt>
                <c:pt idx="1">
                  <c:v>1237600</c:v>
                </c:pt>
              </c:numCache>
            </c:numRef>
          </c:yVal>
          <c:smooth val="1"/>
          <c:extLst>
            <c:ext xmlns:c16="http://schemas.microsoft.com/office/drawing/2014/chart" uri="{C3380CC4-5D6E-409C-BE32-E72D297353CC}">
              <c16:uniqueId val="{00000000-EC85-43EA-AF0C-CBDBF7572C6E}"/>
            </c:ext>
          </c:extLst>
        </c:ser>
        <c:dLbls>
          <c:showLegendKey val="0"/>
          <c:showVal val="0"/>
          <c:showCatName val="0"/>
          <c:showSerName val="0"/>
          <c:showPercent val="0"/>
          <c:showBubbleSize val="0"/>
        </c:dLbls>
        <c:axId val="425446096"/>
        <c:axId val="425447344"/>
      </c:scatterChart>
      <c:valAx>
        <c:axId val="4254460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5447344"/>
        <c:crosses val="autoZero"/>
        <c:crossBetween val="midCat"/>
      </c:valAx>
      <c:valAx>
        <c:axId val="425447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460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manualLayout>
          <c:layoutTarget val="inner"/>
          <c:xMode val="edge"/>
          <c:yMode val="edge"/>
          <c:x val="0.13503307413676094"/>
          <c:y val="0.15323821015238859"/>
          <c:w val="0.83057440249875303"/>
          <c:h val="0.62582574115166179"/>
        </c:manualLayout>
      </c:layout>
      <c:scatterChart>
        <c:scatterStyle val="smoothMarker"/>
        <c:varyColors val="0"/>
        <c:ser>
          <c:idx val="0"/>
          <c:order val="0"/>
          <c:tx>
            <c:strRef>
              <c:f>'LOTE 2'!$P$23:$Q$23</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2'!$R$23:$U$23</c:f>
              <c:numCache>
                <c:formatCode>#,##0</c:formatCode>
                <c:ptCount val="4"/>
                <c:pt idx="0">
                  <c:v>19757.330022220001</c:v>
                </c:pt>
                <c:pt idx="1">
                  <c:v>11900</c:v>
                </c:pt>
                <c:pt idx="2">
                  <c:v>19040</c:v>
                </c:pt>
              </c:numCache>
            </c:numRef>
          </c:yVal>
          <c:smooth val="1"/>
          <c:extLst>
            <c:ext xmlns:c16="http://schemas.microsoft.com/office/drawing/2014/chart" uri="{C3380CC4-5D6E-409C-BE32-E72D297353CC}">
              <c16:uniqueId val="{00000000-05A8-47CC-948A-64D3B3AD0932}"/>
            </c:ext>
          </c:extLst>
        </c:ser>
        <c:dLbls>
          <c:showLegendKey val="0"/>
          <c:showVal val="0"/>
          <c:showCatName val="0"/>
          <c:showSerName val="0"/>
          <c:showPercent val="0"/>
          <c:showBubbleSize val="0"/>
        </c:dLbls>
        <c:axId val="427248448"/>
        <c:axId val="427553216"/>
      </c:scatterChart>
      <c:valAx>
        <c:axId val="4272484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7553216"/>
        <c:crosses val="autoZero"/>
        <c:crossBetween val="midCat"/>
      </c:valAx>
      <c:valAx>
        <c:axId val="427553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72484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2'!$P$24:$U$24</c:f>
              <c:numCache>
                <c:formatCode>#,##0</c:formatCode>
                <c:ptCount val="6"/>
                <c:pt idx="0">
                  <c:v>18326</c:v>
                </c:pt>
                <c:pt idx="2">
                  <c:v>14917.982540579998</c:v>
                </c:pt>
                <c:pt idx="3">
                  <c:v>9044</c:v>
                </c:pt>
                <c:pt idx="4">
                  <c:v>14470.4</c:v>
                </c:pt>
                <c:pt idx="5">
                  <c:v>9162.7199999999993</c:v>
                </c:pt>
              </c:numCache>
            </c:numRef>
          </c:yVal>
          <c:smooth val="1"/>
          <c:extLst>
            <c:ext xmlns:c16="http://schemas.microsoft.com/office/drawing/2014/chart" uri="{C3380CC4-5D6E-409C-BE32-E72D297353CC}">
              <c16:uniqueId val="{00000000-D822-44A0-AA55-D96B9F8356CA}"/>
            </c:ext>
          </c:extLst>
        </c:ser>
        <c:dLbls>
          <c:showLegendKey val="0"/>
          <c:showVal val="0"/>
          <c:showCatName val="0"/>
          <c:showSerName val="0"/>
          <c:showPercent val="0"/>
          <c:showBubbleSize val="0"/>
        </c:dLbls>
        <c:axId val="425447760"/>
        <c:axId val="425444848"/>
      </c:scatterChart>
      <c:valAx>
        <c:axId val="4254477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5444848"/>
        <c:crosses val="autoZero"/>
        <c:crossBetween val="midCat"/>
      </c:valAx>
      <c:valAx>
        <c:axId val="425444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477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2'!$P$25:$U$25</c:f>
              <c:numCache>
                <c:formatCode>#,##0</c:formatCode>
                <c:ptCount val="6"/>
                <c:pt idx="0">
                  <c:v>53669</c:v>
                </c:pt>
                <c:pt idx="2">
                  <c:v>31168.362920659998</c:v>
                </c:pt>
                <c:pt idx="3">
                  <c:v>27965</c:v>
                </c:pt>
                <c:pt idx="4">
                  <c:v>44744</c:v>
                </c:pt>
                <c:pt idx="5">
                  <c:v>20700.96</c:v>
                </c:pt>
              </c:numCache>
            </c:numRef>
          </c:yVal>
          <c:smooth val="1"/>
          <c:extLst>
            <c:ext xmlns:c16="http://schemas.microsoft.com/office/drawing/2014/chart" uri="{C3380CC4-5D6E-409C-BE32-E72D297353CC}">
              <c16:uniqueId val="{00000000-8B1B-40FF-94CE-E83998928BA1}"/>
            </c:ext>
          </c:extLst>
        </c:ser>
        <c:dLbls>
          <c:showLegendKey val="0"/>
          <c:showVal val="0"/>
          <c:showCatName val="0"/>
          <c:showSerName val="0"/>
          <c:showPercent val="0"/>
          <c:showBubbleSize val="0"/>
        </c:dLbls>
        <c:axId val="541535920"/>
        <c:axId val="541538832"/>
      </c:scatterChart>
      <c:valAx>
        <c:axId val="5415359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41538832"/>
        <c:crosses val="autoZero"/>
        <c:crossBetween val="midCat"/>
      </c:valAx>
      <c:valAx>
        <c:axId val="541538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415359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2'!$P$26:$U$26</c:f>
              <c:numCache>
                <c:formatCode>#,##0</c:formatCode>
                <c:ptCount val="6"/>
                <c:pt idx="0">
                  <c:v>60214</c:v>
                </c:pt>
                <c:pt idx="2">
                  <c:v>58556.351079660002</c:v>
                </c:pt>
                <c:pt idx="3">
                  <c:v>58310</c:v>
                </c:pt>
                <c:pt idx="4">
                  <c:v>93296</c:v>
                </c:pt>
              </c:numCache>
            </c:numRef>
          </c:yVal>
          <c:smooth val="1"/>
          <c:extLst>
            <c:ext xmlns:c16="http://schemas.microsoft.com/office/drawing/2014/chart" uri="{C3380CC4-5D6E-409C-BE32-E72D297353CC}">
              <c16:uniqueId val="{00000000-F150-4462-8AA5-365E9A1AF902}"/>
            </c:ext>
          </c:extLst>
        </c:ser>
        <c:dLbls>
          <c:showLegendKey val="0"/>
          <c:showVal val="0"/>
          <c:showCatName val="0"/>
          <c:showSerName val="0"/>
          <c:showPercent val="0"/>
          <c:showBubbleSize val="0"/>
        </c:dLbls>
        <c:axId val="541533424"/>
        <c:axId val="541533840"/>
      </c:scatterChart>
      <c:valAx>
        <c:axId val="5415334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41533840"/>
        <c:crosses val="autoZero"/>
        <c:crossBetween val="midCat"/>
      </c:valAx>
      <c:valAx>
        <c:axId val="541533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415334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2'!$P$27:$U$27</c:f>
              <c:numCache>
                <c:formatCode>#,##0</c:formatCode>
                <c:ptCount val="6"/>
                <c:pt idx="0">
                  <c:v>22253</c:v>
                </c:pt>
                <c:pt idx="2">
                  <c:v>16608.6541894</c:v>
                </c:pt>
                <c:pt idx="3">
                  <c:v>10591</c:v>
                </c:pt>
                <c:pt idx="4">
                  <c:v>16945.599999999999</c:v>
                </c:pt>
                <c:pt idx="5">
                  <c:v>10067.68</c:v>
                </c:pt>
              </c:numCache>
            </c:numRef>
          </c:yVal>
          <c:smooth val="1"/>
          <c:extLst>
            <c:ext xmlns:c16="http://schemas.microsoft.com/office/drawing/2014/chart" uri="{C3380CC4-5D6E-409C-BE32-E72D297353CC}">
              <c16:uniqueId val="{00000000-7070-4AD9-974E-3192117A05BC}"/>
            </c:ext>
          </c:extLst>
        </c:ser>
        <c:dLbls>
          <c:showLegendKey val="0"/>
          <c:showVal val="0"/>
          <c:showCatName val="0"/>
          <c:showSerName val="0"/>
          <c:showPercent val="0"/>
          <c:showBubbleSize val="0"/>
        </c:dLbls>
        <c:axId val="425447760"/>
        <c:axId val="425445264"/>
      </c:scatterChart>
      <c:valAx>
        <c:axId val="4254477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25445264"/>
        <c:crosses val="autoZero"/>
        <c:crossBetween val="midCat"/>
      </c:valAx>
      <c:valAx>
        <c:axId val="425445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54477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2'!$P$28:$U$28</c:f>
              <c:numCache>
                <c:formatCode>#,##0</c:formatCode>
                <c:ptCount val="6"/>
                <c:pt idx="0">
                  <c:v>30107</c:v>
                </c:pt>
                <c:pt idx="2">
                  <c:v>15499.052026920001</c:v>
                </c:pt>
                <c:pt idx="3">
                  <c:v>8687</c:v>
                </c:pt>
                <c:pt idx="4">
                  <c:v>13899.199999999999</c:v>
                </c:pt>
                <c:pt idx="5">
                  <c:v>6967.0608000000002</c:v>
                </c:pt>
              </c:numCache>
            </c:numRef>
          </c:yVal>
          <c:smooth val="1"/>
          <c:extLst>
            <c:ext xmlns:c16="http://schemas.microsoft.com/office/drawing/2014/chart" uri="{C3380CC4-5D6E-409C-BE32-E72D297353CC}">
              <c16:uniqueId val="{00000000-6C40-488E-B573-0B5F551F1876}"/>
            </c:ext>
          </c:extLst>
        </c:ser>
        <c:dLbls>
          <c:dLblPos val="t"/>
          <c:showLegendKey val="0"/>
          <c:showVal val="1"/>
          <c:showCatName val="0"/>
          <c:showSerName val="0"/>
          <c:showPercent val="0"/>
          <c:showBubbleSize val="0"/>
        </c:dLbls>
        <c:axId val="311000384"/>
        <c:axId val="311001216"/>
      </c:scatterChart>
      <c:valAx>
        <c:axId val="31100038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311001216"/>
        <c:crosses val="autoZero"/>
        <c:crossBetween val="midCat"/>
      </c:valAx>
      <c:valAx>
        <c:axId val="311001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110003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2'!$P$29:$U$29</c:f>
              <c:numCache>
                <c:formatCode>#,##0</c:formatCode>
                <c:ptCount val="6"/>
                <c:pt idx="0">
                  <c:v>31416</c:v>
                </c:pt>
                <c:pt idx="2">
                  <c:v>20353.732867999999</c:v>
                </c:pt>
                <c:pt idx="3">
                  <c:v>17255</c:v>
                </c:pt>
                <c:pt idx="4">
                  <c:v>27608</c:v>
                </c:pt>
              </c:numCache>
            </c:numRef>
          </c:yVal>
          <c:smooth val="1"/>
          <c:extLst>
            <c:ext xmlns:c16="http://schemas.microsoft.com/office/drawing/2014/chart" uri="{C3380CC4-5D6E-409C-BE32-E72D297353CC}">
              <c16:uniqueId val="{00000000-CFB2-4698-BFCD-E7105EA269F1}"/>
            </c:ext>
          </c:extLst>
        </c:ser>
        <c:dLbls>
          <c:showLegendKey val="0"/>
          <c:showVal val="0"/>
          <c:showCatName val="0"/>
          <c:showSerName val="0"/>
          <c:showPercent val="0"/>
          <c:showBubbleSize val="0"/>
        </c:dLbls>
        <c:axId val="538735536"/>
        <c:axId val="538734288"/>
      </c:scatterChart>
      <c:valAx>
        <c:axId val="5387355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38734288"/>
        <c:crosses val="autoZero"/>
        <c:crossBetween val="midCat"/>
      </c:valAx>
      <c:valAx>
        <c:axId val="538734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387355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3'!$L$6:$M$6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3'!$N$6:$P$6</c:f>
              <c:numCache>
                <c:formatCode>#,##0</c:formatCode>
                <c:ptCount val="3"/>
                <c:pt idx="0">
                  <c:v>27267.66</c:v>
                </c:pt>
                <c:pt idx="1">
                  <c:v>26775</c:v>
                </c:pt>
                <c:pt idx="2">
                  <c:v>47600</c:v>
                </c:pt>
              </c:numCache>
            </c:numRef>
          </c:yVal>
          <c:smooth val="1"/>
          <c:extLst>
            <c:ext xmlns:c16="http://schemas.microsoft.com/office/drawing/2014/chart" uri="{C3380CC4-5D6E-409C-BE32-E72D297353CC}">
              <c16:uniqueId val="{00000000-2AB8-42AD-A347-EA2381C1C01C}"/>
            </c:ext>
          </c:extLst>
        </c:ser>
        <c:dLbls>
          <c:showLegendKey val="0"/>
          <c:showVal val="0"/>
          <c:showCatName val="0"/>
          <c:showSerName val="0"/>
          <c:showPercent val="0"/>
          <c:showBubbleSize val="0"/>
        </c:dLbls>
        <c:axId val="586239360"/>
        <c:axId val="586238944"/>
      </c:scatterChart>
      <c:valAx>
        <c:axId val="5862393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86238944"/>
        <c:crosses val="autoZero"/>
        <c:crossBetween val="midCat"/>
      </c:valAx>
      <c:valAx>
        <c:axId val="5862389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862393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3'!$L$7:$P$7</c:f>
              <c:numCache>
                <c:formatCode>#,##0</c:formatCode>
                <c:ptCount val="5"/>
                <c:pt idx="0">
                  <c:v>26180</c:v>
                </c:pt>
                <c:pt idx="2">
                  <c:v>29736.91</c:v>
                </c:pt>
                <c:pt idx="3">
                  <c:v>19159</c:v>
                </c:pt>
                <c:pt idx="4">
                  <c:v>35700</c:v>
                </c:pt>
              </c:numCache>
            </c:numRef>
          </c:yVal>
          <c:smooth val="1"/>
          <c:extLst>
            <c:ext xmlns:c16="http://schemas.microsoft.com/office/drawing/2014/chart" uri="{C3380CC4-5D6E-409C-BE32-E72D297353CC}">
              <c16:uniqueId val="{00000000-88AA-40ED-B164-36F39C90096B}"/>
            </c:ext>
          </c:extLst>
        </c:ser>
        <c:dLbls>
          <c:showLegendKey val="0"/>
          <c:showVal val="0"/>
          <c:showCatName val="0"/>
          <c:showSerName val="0"/>
          <c:showPercent val="0"/>
          <c:showBubbleSize val="0"/>
        </c:dLbls>
        <c:axId val="573155408"/>
        <c:axId val="573155824"/>
      </c:scatterChart>
      <c:valAx>
        <c:axId val="57315540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73155824"/>
        <c:crosses val="autoZero"/>
        <c:crossBetween val="midCat"/>
      </c:valAx>
      <c:valAx>
        <c:axId val="57315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731554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607516014521173"/>
          <c:y val="7.6388847118959366E-2"/>
          <c:w val="0.70988907995695938"/>
          <c:h val="0.67917887184007442"/>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3'!$L$9:$P$9</c:f>
              <c:numCache>
                <c:formatCode>#,##0</c:formatCode>
                <c:ptCount val="5"/>
                <c:pt idx="0">
                  <c:v>53669</c:v>
                </c:pt>
                <c:pt idx="2">
                  <c:v>39569.879999999997</c:v>
                </c:pt>
                <c:pt idx="3">
                  <c:v>32606</c:v>
                </c:pt>
                <c:pt idx="4">
                  <c:v>61880</c:v>
                </c:pt>
              </c:numCache>
            </c:numRef>
          </c:yVal>
          <c:smooth val="1"/>
          <c:extLst>
            <c:ext xmlns:c16="http://schemas.microsoft.com/office/drawing/2014/chart" uri="{C3380CC4-5D6E-409C-BE32-E72D297353CC}">
              <c16:uniqueId val="{00000000-5050-4CE2-B0FE-627EE5A1EE50}"/>
            </c:ext>
          </c:extLst>
        </c:ser>
        <c:dLbls>
          <c:showLegendKey val="0"/>
          <c:showVal val="0"/>
          <c:showCatName val="0"/>
          <c:showSerName val="0"/>
          <c:showPercent val="0"/>
          <c:showBubbleSize val="0"/>
        </c:dLbls>
        <c:axId val="582534144"/>
        <c:axId val="582531648"/>
      </c:scatterChart>
      <c:valAx>
        <c:axId val="58253414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82531648"/>
        <c:crosses val="autoZero"/>
        <c:crossBetween val="midCat"/>
      </c:valAx>
      <c:valAx>
        <c:axId val="5825316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82534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3'!$L$10:$P$10</c:f>
              <c:numCache>
                <c:formatCode>#,##0</c:formatCode>
                <c:ptCount val="5"/>
                <c:pt idx="0">
                  <c:v>174097</c:v>
                </c:pt>
                <c:pt idx="2">
                  <c:v>95004.84</c:v>
                </c:pt>
                <c:pt idx="3">
                  <c:v>91154</c:v>
                </c:pt>
                <c:pt idx="4">
                  <c:v>157080</c:v>
                </c:pt>
              </c:numCache>
            </c:numRef>
          </c:yVal>
          <c:smooth val="1"/>
          <c:extLst>
            <c:ext xmlns:c16="http://schemas.microsoft.com/office/drawing/2014/chart" uri="{C3380CC4-5D6E-409C-BE32-E72D297353CC}">
              <c16:uniqueId val="{00000000-10DC-49BE-87ED-BCCBCB2F6993}"/>
            </c:ext>
          </c:extLst>
        </c:ser>
        <c:dLbls>
          <c:showLegendKey val="0"/>
          <c:showVal val="0"/>
          <c:showCatName val="0"/>
          <c:showSerName val="0"/>
          <c:showPercent val="0"/>
          <c:showBubbleSize val="0"/>
        </c:dLbls>
        <c:axId val="199695872"/>
        <c:axId val="199697120"/>
      </c:scatterChart>
      <c:valAx>
        <c:axId val="1996958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99697120"/>
        <c:crosses val="autoZero"/>
        <c:crossBetween val="midCat"/>
      </c:valAx>
      <c:valAx>
        <c:axId val="199697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996958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3'!$L$8:$P$8</c:f>
              <c:numCache>
                <c:formatCode>#,##0</c:formatCode>
                <c:ptCount val="5"/>
                <c:pt idx="0">
                  <c:v>34034</c:v>
                </c:pt>
                <c:pt idx="2">
                  <c:v>29885.66</c:v>
                </c:pt>
                <c:pt idx="3">
                  <c:v>22610</c:v>
                </c:pt>
                <c:pt idx="4">
                  <c:v>42840</c:v>
                </c:pt>
              </c:numCache>
            </c:numRef>
          </c:yVal>
          <c:smooth val="1"/>
          <c:extLst>
            <c:ext xmlns:c16="http://schemas.microsoft.com/office/drawing/2014/chart" uri="{C3380CC4-5D6E-409C-BE32-E72D297353CC}">
              <c16:uniqueId val="{00000000-20DC-4B7B-9D71-11C6BFC09C99}"/>
            </c:ext>
          </c:extLst>
        </c:ser>
        <c:dLbls>
          <c:showLegendKey val="0"/>
          <c:showVal val="0"/>
          <c:showCatName val="0"/>
          <c:showSerName val="0"/>
          <c:showPercent val="0"/>
          <c:showBubbleSize val="0"/>
        </c:dLbls>
        <c:axId val="634928944"/>
        <c:axId val="634926864"/>
      </c:scatterChart>
      <c:valAx>
        <c:axId val="63492894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634926864"/>
        <c:crosses val="autoZero"/>
        <c:crossBetween val="midCat"/>
      </c:valAx>
      <c:valAx>
        <c:axId val="634926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349289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'!$O$5:$O$5</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'!$P$5:$S$5</c:f>
              <c:numCache>
                <c:formatCode>#,##0</c:formatCode>
                <c:ptCount val="4"/>
                <c:pt idx="0">
                  <c:v>833000</c:v>
                </c:pt>
                <c:pt idx="2">
                  <c:v>2374050</c:v>
                </c:pt>
                <c:pt idx="3">
                  <c:v>1641936.8</c:v>
                </c:pt>
              </c:numCache>
            </c:numRef>
          </c:yVal>
          <c:smooth val="1"/>
          <c:extLst>
            <c:ext xmlns:c16="http://schemas.microsoft.com/office/drawing/2014/chart" uri="{C3380CC4-5D6E-409C-BE32-E72D297353CC}">
              <c16:uniqueId val="{00000000-9663-4827-A74D-A5DD6C709DBB}"/>
            </c:ext>
          </c:extLst>
        </c:ser>
        <c:dLbls>
          <c:showLegendKey val="0"/>
          <c:showVal val="0"/>
          <c:showCatName val="0"/>
          <c:showSerName val="0"/>
          <c:showPercent val="0"/>
          <c:showBubbleSize val="0"/>
        </c:dLbls>
        <c:axId val="573154992"/>
        <c:axId val="573158320"/>
      </c:scatterChart>
      <c:valAx>
        <c:axId val="57315499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73158320"/>
        <c:crosses val="autoZero"/>
        <c:crossBetween val="midCat"/>
      </c:valAx>
      <c:valAx>
        <c:axId val="573158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7315499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'!$O$6:$P$6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'!$Q$6:$S$6</c:f>
              <c:numCache>
                <c:formatCode>#,##0</c:formatCode>
                <c:ptCount val="3"/>
                <c:pt idx="0">
                  <c:v>101150</c:v>
                </c:pt>
                <c:pt idx="1">
                  <c:v>380800</c:v>
                </c:pt>
                <c:pt idx="2">
                  <c:v>199743.90239999999</c:v>
                </c:pt>
              </c:numCache>
            </c:numRef>
          </c:yVal>
          <c:smooth val="1"/>
          <c:extLst>
            <c:ext xmlns:c16="http://schemas.microsoft.com/office/drawing/2014/chart" uri="{C3380CC4-5D6E-409C-BE32-E72D297353CC}">
              <c16:uniqueId val="{00000000-4E76-4C5F-8AF3-E80B24E1E869}"/>
            </c:ext>
          </c:extLst>
        </c:ser>
        <c:dLbls>
          <c:showLegendKey val="0"/>
          <c:showVal val="0"/>
          <c:showCatName val="0"/>
          <c:showSerName val="0"/>
          <c:showPercent val="0"/>
          <c:showBubbleSize val="0"/>
        </c:dLbls>
        <c:axId val="573156656"/>
        <c:axId val="573152496"/>
      </c:scatterChart>
      <c:valAx>
        <c:axId val="5731566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73152496"/>
        <c:crosses val="autoZero"/>
        <c:crossBetween val="midCat"/>
      </c:valAx>
      <c:valAx>
        <c:axId val="573152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731566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'!$O$7:$O$7</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'!$P$7:$S$7</c:f>
              <c:numCache>
                <c:formatCode>#,##0</c:formatCode>
                <c:ptCount val="4"/>
                <c:pt idx="0">
                  <c:v>24752.547399999999</c:v>
                </c:pt>
                <c:pt idx="1">
                  <c:v>35700</c:v>
                </c:pt>
                <c:pt idx="2">
                  <c:v>263466</c:v>
                </c:pt>
                <c:pt idx="3">
                  <c:v>38005.925925925927</c:v>
                </c:pt>
              </c:numCache>
            </c:numRef>
          </c:yVal>
          <c:smooth val="1"/>
          <c:extLst>
            <c:ext xmlns:c16="http://schemas.microsoft.com/office/drawing/2014/chart" uri="{C3380CC4-5D6E-409C-BE32-E72D297353CC}">
              <c16:uniqueId val="{00000000-CEEB-41F5-9461-E1FBE379F536}"/>
            </c:ext>
          </c:extLst>
        </c:ser>
        <c:dLbls>
          <c:showLegendKey val="0"/>
          <c:showVal val="0"/>
          <c:showCatName val="0"/>
          <c:showSerName val="0"/>
          <c:showPercent val="0"/>
          <c:showBubbleSize val="0"/>
        </c:dLbls>
        <c:axId val="634932688"/>
        <c:axId val="634929360"/>
      </c:scatterChart>
      <c:valAx>
        <c:axId val="6349326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634929360"/>
        <c:crosses val="autoZero"/>
        <c:crossBetween val="midCat"/>
      </c:valAx>
      <c:valAx>
        <c:axId val="634929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349326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'!$O$8:$O$8</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'!$P$8:$S$8</c:f>
              <c:numCache>
                <c:formatCode>#,##0</c:formatCode>
                <c:ptCount val="4"/>
                <c:pt idx="0">
                  <c:v>59782.03</c:v>
                </c:pt>
                <c:pt idx="1">
                  <c:v>74494</c:v>
                </c:pt>
                <c:pt idx="2">
                  <c:v>263466</c:v>
                </c:pt>
                <c:pt idx="3">
                  <c:v>298032.73920000001</c:v>
                </c:pt>
              </c:numCache>
            </c:numRef>
          </c:yVal>
          <c:smooth val="1"/>
          <c:extLst>
            <c:ext xmlns:c16="http://schemas.microsoft.com/office/drawing/2014/chart" uri="{C3380CC4-5D6E-409C-BE32-E72D297353CC}">
              <c16:uniqueId val="{00000000-155B-4A9A-8F6E-CD6B2FE2D118}"/>
            </c:ext>
          </c:extLst>
        </c:ser>
        <c:dLbls>
          <c:showLegendKey val="0"/>
          <c:showVal val="0"/>
          <c:showCatName val="0"/>
          <c:showSerName val="0"/>
          <c:showPercent val="0"/>
          <c:showBubbleSize val="0"/>
        </c:dLbls>
        <c:axId val="661709488"/>
        <c:axId val="661711568"/>
      </c:scatterChart>
      <c:valAx>
        <c:axId val="6617094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661711568"/>
        <c:crosses val="autoZero"/>
        <c:crossBetween val="midCat"/>
      </c:valAx>
      <c:valAx>
        <c:axId val="661711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617094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'!$O$9:$P$9</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'!$Q$9:$S$9</c:f>
              <c:numCache>
                <c:formatCode>#,##0</c:formatCode>
                <c:ptCount val="3"/>
                <c:pt idx="0">
                  <c:v>83300</c:v>
                </c:pt>
                <c:pt idx="1">
                  <c:v>368900</c:v>
                </c:pt>
                <c:pt idx="2">
                  <c:v>206870.46239999999</c:v>
                </c:pt>
              </c:numCache>
            </c:numRef>
          </c:yVal>
          <c:smooth val="1"/>
          <c:extLst>
            <c:ext xmlns:c16="http://schemas.microsoft.com/office/drawing/2014/chart" uri="{C3380CC4-5D6E-409C-BE32-E72D297353CC}">
              <c16:uniqueId val="{00000000-4F03-4BC2-BB36-85C625743EF1}"/>
            </c:ext>
          </c:extLst>
        </c:ser>
        <c:dLbls>
          <c:showLegendKey val="0"/>
          <c:showVal val="0"/>
          <c:showCatName val="0"/>
          <c:showSerName val="0"/>
          <c:showPercent val="0"/>
          <c:showBubbleSize val="0"/>
        </c:dLbls>
        <c:axId val="534530224"/>
        <c:axId val="534527728"/>
      </c:scatterChart>
      <c:valAx>
        <c:axId val="5345302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34527728"/>
        <c:crosses val="autoZero"/>
        <c:crossBetween val="midCat"/>
      </c:valAx>
      <c:valAx>
        <c:axId val="534527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345302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'!$O$10:$O$10</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'!$P$10:$S$10</c:f>
              <c:numCache>
                <c:formatCode>#,##0</c:formatCode>
                <c:ptCount val="4"/>
                <c:pt idx="0">
                  <c:v>26128.327313059999</c:v>
                </c:pt>
                <c:pt idx="1">
                  <c:v>42840</c:v>
                </c:pt>
                <c:pt idx="2">
                  <c:v>368900</c:v>
                </c:pt>
              </c:numCache>
            </c:numRef>
          </c:yVal>
          <c:smooth val="1"/>
          <c:extLst>
            <c:ext xmlns:c16="http://schemas.microsoft.com/office/drawing/2014/chart" uri="{C3380CC4-5D6E-409C-BE32-E72D297353CC}">
              <c16:uniqueId val="{00000000-61E8-41D7-A39F-4060678B8B61}"/>
            </c:ext>
          </c:extLst>
        </c:ser>
        <c:dLbls>
          <c:showLegendKey val="0"/>
          <c:showVal val="0"/>
          <c:showCatName val="0"/>
          <c:showSerName val="0"/>
          <c:showPercent val="0"/>
          <c:showBubbleSize val="0"/>
        </c:dLbls>
        <c:axId val="534530224"/>
        <c:axId val="534528560"/>
      </c:scatterChart>
      <c:valAx>
        <c:axId val="5345302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34528560"/>
        <c:crosses val="autoZero"/>
        <c:crossBetween val="midCat"/>
      </c:valAx>
      <c:valAx>
        <c:axId val="5345285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345302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'!$O$11:$O$11</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4 '!$P$11:$S$11</c:f>
              <c:numCache>
                <c:formatCode>#,##0</c:formatCode>
                <c:ptCount val="4"/>
                <c:pt idx="0">
                  <c:v>245410.55839999998</c:v>
                </c:pt>
                <c:pt idx="1">
                  <c:v>190400</c:v>
                </c:pt>
                <c:pt idx="2">
                  <c:v>452200</c:v>
                </c:pt>
                <c:pt idx="3">
                  <c:v>350147.12319999997</c:v>
                </c:pt>
              </c:numCache>
            </c:numRef>
          </c:yVal>
          <c:smooth val="1"/>
          <c:extLst>
            <c:ext xmlns:c16="http://schemas.microsoft.com/office/drawing/2014/chart" uri="{C3380CC4-5D6E-409C-BE32-E72D297353CC}">
              <c16:uniqueId val="{00000000-78A6-4A32-B9FC-9544E336021E}"/>
            </c:ext>
          </c:extLst>
        </c:ser>
        <c:dLbls>
          <c:dLblPos val="t"/>
          <c:showLegendKey val="0"/>
          <c:showVal val="1"/>
          <c:showCatName val="0"/>
          <c:showSerName val="0"/>
          <c:showPercent val="0"/>
          <c:showBubbleSize val="0"/>
        </c:dLbls>
        <c:axId val="634932688"/>
        <c:axId val="634931024"/>
      </c:scatterChart>
      <c:valAx>
        <c:axId val="6349326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634931024"/>
        <c:crosses val="autoZero"/>
        <c:crossBetween val="midCat"/>
      </c:valAx>
      <c:valAx>
        <c:axId val="634931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349326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4 '!$O$12:$P$12</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'!$Q$12:$S$12</c:f>
              <c:numCache>
                <c:formatCode>#,##0</c:formatCode>
                <c:ptCount val="3"/>
                <c:pt idx="0">
                  <c:v>42840</c:v>
                </c:pt>
                <c:pt idx="1">
                  <c:v>118405</c:v>
                </c:pt>
                <c:pt idx="2">
                  <c:v>38347.68</c:v>
                </c:pt>
              </c:numCache>
            </c:numRef>
          </c:yVal>
          <c:smooth val="1"/>
          <c:extLst>
            <c:ext xmlns:c16="http://schemas.microsoft.com/office/drawing/2014/chart" uri="{C3380CC4-5D6E-409C-BE32-E72D297353CC}">
              <c16:uniqueId val="{00000000-D12A-41D5-B78F-5711906C6979}"/>
            </c:ext>
          </c:extLst>
        </c:ser>
        <c:dLbls>
          <c:showLegendKey val="0"/>
          <c:showVal val="0"/>
          <c:showCatName val="0"/>
          <c:showSerName val="0"/>
          <c:showPercent val="0"/>
          <c:showBubbleSize val="0"/>
        </c:dLbls>
        <c:axId val="586243936"/>
        <c:axId val="586241440"/>
      </c:scatterChart>
      <c:valAx>
        <c:axId val="5862439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86241440"/>
        <c:crosses val="autoZero"/>
        <c:crossBetween val="midCat"/>
      </c:valAx>
      <c:valAx>
        <c:axId val="5862414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862439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5'!$L$5:$N$5</c:f>
              <c:numCache>
                <c:formatCode>#,##0</c:formatCode>
                <c:ptCount val="3"/>
                <c:pt idx="0">
                  <c:v>11138400</c:v>
                </c:pt>
                <c:pt idx="1">
                  <c:v>10445820</c:v>
                </c:pt>
                <c:pt idx="2">
                  <c:v>9573339.9440000001</c:v>
                </c:pt>
              </c:numCache>
            </c:numRef>
          </c:yVal>
          <c:smooth val="1"/>
          <c:extLst>
            <c:ext xmlns:c16="http://schemas.microsoft.com/office/drawing/2014/chart" uri="{C3380CC4-5D6E-409C-BE32-E72D297353CC}">
              <c16:uniqueId val="{00000000-1127-4EF0-8291-FDEC86B95380}"/>
            </c:ext>
          </c:extLst>
        </c:ser>
        <c:dLbls>
          <c:showLegendKey val="0"/>
          <c:showVal val="0"/>
          <c:showCatName val="0"/>
          <c:showSerName val="0"/>
          <c:showPercent val="0"/>
          <c:showBubbleSize val="0"/>
        </c:dLbls>
        <c:axId val="634928112"/>
        <c:axId val="325700192"/>
      </c:scatterChart>
      <c:valAx>
        <c:axId val="6349281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325700192"/>
        <c:crosses val="autoZero"/>
        <c:crossBetween val="midCat"/>
      </c:valAx>
      <c:valAx>
        <c:axId val="325700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349281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5'!$L$6:$N$6</c:f>
              <c:numCache>
                <c:formatCode>#,##0</c:formatCode>
                <c:ptCount val="3"/>
                <c:pt idx="0">
                  <c:v>11138400</c:v>
                </c:pt>
                <c:pt idx="1">
                  <c:v>10445820</c:v>
                </c:pt>
                <c:pt idx="2">
                  <c:v>9573339.9440000001</c:v>
                </c:pt>
              </c:numCache>
            </c:numRef>
          </c:yVal>
          <c:smooth val="1"/>
          <c:extLst>
            <c:ext xmlns:c16="http://schemas.microsoft.com/office/drawing/2014/chart" uri="{C3380CC4-5D6E-409C-BE32-E72D297353CC}">
              <c16:uniqueId val="{00000000-08EA-4B77-93CA-BAACB461E64D}"/>
            </c:ext>
          </c:extLst>
        </c:ser>
        <c:dLbls>
          <c:showLegendKey val="0"/>
          <c:showVal val="0"/>
          <c:showCatName val="0"/>
          <c:showSerName val="0"/>
          <c:showPercent val="0"/>
          <c:showBubbleSize val="0"/>
        </c:dLbls>
        <c:axId val="420792352"/>
        <c:axId val="319418320"/>
      </c:scatterChart>
      <c:valAx>
        <c:axId val="4207923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319418320"/>
        <c:crosses val="autoZero"/>
        <c:crossBetween val="midCat"/>
      </c:valAx>
      <c:valAx>
        <c:axId val="319418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07923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6'!$M$6:$N$6</c:f>
              <c:numCache>
                <c:formatCode>#,##0</c:formatCode>
                <c:ptCount val="2"/>
                <c:pt idx="0">
                  <c:v>961520</c:v>
                </c:pt>
                <c:pt idx="1">
                  <c:v>936905.08799999999</c:v>
                </c:pt>
              </c:numCache>
            </c:numRef>
          </c:yVal>
          <c:smooth val="1"/>
          <c:extLst>
            <c:ext xmlns:c16="http://schemas.microsoft.com/office/drawing/2014/chart" uri="{C3380CC4-5D6E-409C-BE32-E72D297353CC}">
              <c16:uniqueId val="{00000000-3EF8-478A-BCC7-2CFD51B76A09}"/>
            </c:ext>
          </c:extLst>
        </c:ser>
        <c:dLbls>
          <c:showLegendKey val="0"/>
          <c:showVal val="0"/>
          <c:showCatName val="0"/>
          <c:showSerName val="0"/>
          <c:showPercent val="0"/>
          <c:showBubbleSize val="0"/>
        </c:dLbls>
        <c:axId val="350460479"/>
        <c:axId val="350459231"/>
      </c:scatterChart>
      <c:valAx>
        <c:axId val="3504604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0459231"/>
        <c:crosses val="autoZero"/>
        <c:crossBetween val="midCat"/>
      </c:valAx>
      <c:valAx>
        <c:axId val="3504592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04604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exp"/>
            <c:dispRSqr val="0"/>
            <c:dispEq val="0"/>
          </c:trendline>
          <c:trendline>
            <c:spPr>
              <a:ln w="19050" cap="rnd">
                <a:solidFill>
                  <a:schemeClr val="accent1"/>
                </a:solidFill>
                <a:prstDash val="sysDot"/>
              </a:ln>
              <a:effectLst/>
            </c:spPr>
            <c:trendlineType val="power"/>
            <c:dispRSqr val="0"/>
            <c:dispEq val="0"/>
          </c:trendline>
          <c:yVal>
            <c:numRef>
              <c:f>'LOTE 6'!$M$7:$N$7</c:f>
              <c:numCache>
                <c:formatCode>#,##0</c:formatCode>
                <c:ptCount val="2"/>
                <c:pt idx="0">
                  <c:v>2664410</c:v>
                </c:pt>
                <c:pt idx="1">
                  <c:v>2598027.04</c:v>
                </c:pt>
              </c:numCache>
            </c:numRef>
          </c:yVal>
          <c:smooth val="1"/>
          <c:extLst>
            <c:ext xmlns:c16="http://schemas.microsoft.com/office/drawing/2014/chart" uri="{C3380CC4-5D6E-409C-BE32-E72D297353CC}">
              <c16:uniqueId val="{00000000-0AF8-49BB-9F92-6E5011A93C01}"/>
            </c:ext>
          </c:extLst>
        </c:ser>
        <c:dLbls>
          <c:showLegendKey val="0"/>
          <c:showVal val="0"/>
          <c:showCatName val="0"/>
          <c:showSerName val="0"/>
          <c:showPercent val="0"/>
          <c:showBubbleSize val="0"/>
        </c:dLbls>
        <c:axId val="432475695"/>
        <c:axId val="432476943"/>
      </c:scatterChart>
      <c:valAx>
        <c:axId val="432475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2476943"/>
        <c:crosses val="autoZero"/>
        <c:crossBetween val="midCat"/>
      </c:valAx>
      <c:valAx>
        <c:axId val="4324769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2475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'LOTE 7 '!$O$6:$P$6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exp"/>
            <c:dispRSqr val="0"/>
            <c:dispEq val="0"/>
          </c:trendline>
          <c:yVal>
            <c:numRef>
              <c:f>'LOTE 7 '!$Q$6:$R$6</c:f>
              <c:numCache>
                <c:formatCode>#,##0</c:formatCode>
                <c:ptCount val="2"/>
                <c:pt idx="0">
                  <c:v>240284.79999999999</c:v>
                </c:pt>
              </c:numCache>
            </c:numRef>
          </c:yVal>
          <c:smooth val="1"/>
          <c:extLst>
            <c:ext xmlns:c16="http://schemas.microsoft.com/office/drawing/2014/chart" uri="{C3380CC4-5D6E-409C-BE32-E72D297353CC}">
              <c16:uniqueId val="{00000000-4F78-4D06-AB83-C5593957DB4F}"/>
            </c:ext>
          </c:extLst>
        </c:ser>
        <c:dLbls>
          <c:showLegendKey val="0"/>
          <c:showVal val="0"/>
          <c:showCatName val="0"/>
          <c:showSerName val="0"/>
          <c:showPercent val="0"/>
          <c:showBubbleSize val="0"/>
        </c:dLbls>
        <c:axId val="983624207"/>
        <c:axId val="983612559"/>
      </c:scatterChart>
      <c:valAx>
        <c:axId val="983624207"/>
        <c:scaling>
          <c:orientation val="minMax"/>
        </c:scaling>
        <c:delete val="0"/>
        <c:axPos val="b"/>
        <c:majorGridlines>
          <c:spPr>
            <a:ln w="9525" cap="flat" cmpd="sng" algn="ctr">
              <a:solidFill>
                <a:schemeClr val="tx1">
                  <a:lumMod val="15000"/>
                  <a:lumOff val="85000"/>
                </a:schemeClr>
              </a:solidFill>
              <a:round/>
            </a:ln>
            <a:effectLst/>
          </c:spPr>
        </c:majorGridlines>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983612559"/>
        <c:crosses val="autoZero"/>
        <c:crossBetween val="midCat"/>
      </c:valAx>
      <c:valAx>
        <c:axId val="9836125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9836242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scatterChart>
        <c:scatterStyle val="smoothMarker"/>
        <c:varyColors val="0"/>
        <c:ser>
          <c:idx val="0"/>
          <c:order val="0"/>
          <c:tx>
            <c:strRef>
              <c:f>'LOTE 7 '!$O$7:$P$7</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7 '!$Q$7:$R$7</c:f>
              <c:numCache>
                <c:formatCode>#,##0</c:formatCode>
                <c:ptCount val="2"/>
                <c:pt idx="0">
                  <c:v>562441.6</c:v>
                </c:pt>
              </c:numCache>
            </c:numRef>
          </c:yVal>
          <c:smooth val="1"/>
          <c:extLst>
            <c:ext xmlns:c16="http://schemas.microsoft.com/office/drawing/2014/chart" uri="{C3380CC4-5D6E-409C-BE32-E72D297353CC}">
              <c16:uniqueId val="{00000000-4E8D-4805-A83D-92044865A794}"/>
            </c:ext>
          </c:extLst>
        </c:ser>
        <c:dLbls>
          <c:showLegendKey val="0"/>
          <c:showVal val="0"/>
          <c:showCatName val="0"/>
          <c:showSerName val="0"/>
          <c:showPercent val="0"/>
          <c:showBubbleSize val="0"/>
        </c:dLbls>
        <c:axId val="1148671551"/>
        <c:axId val="1148691935"/>
      </c:scatterChart>
      <c:valAx>
        <c:axId val="1148671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91935"/>
        <c:crosses val="autoZero"/>
        <c:crossBetween val="midCat"/>
      </c:valAx>
      <c:valAx>
        <c:axId val="11486919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71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7 '!$O$8:$R$8</c:f>
              <c:numCache>
                <c:formatCode>#,##0</c:formatCode>
                <c:ptCount val="4"/>
                <c:pt idx="0">
                  <c:v>47124</c:v>
                </c:pt>
                <c:pt idx="2">
                  <c:v>66640</c:v>
                </c:pt>
              </c:numCache>
            </c:numRef>
          </c:yVal>
          <c:smooth val="1"/>
          <c:extLst>
            <c:ext xmlns:c16="http://schemas.microsoft.com/office/drawing/2014/chart" uri="{C3380CC4-5D6E-409C-BE32-E72D297353CC}">
              <c16:uniqueId val="{00000000-2487-4432-B09D-C3E45E9B06F6}"/>
            </c:ext>
          </c:extLst>
        </c:ser>
        <c:dLbls>
          <c:showLegendKey val="0"/>
          <c:showVal val="0"/>
          <c:showCatName val="0"/>
          <c:showSerName val="0"/>
          <c:showPercent val="0"/>
          <c:showBubbleSize val="0"/>
        </c:dLbls>
        <c:axId val="1148673631"/>
        <c:axId val="1148682783"/>
      </c:scatterChart>
      <c:valAx>
        <c:axId val="11486736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48682783"/>
        <c:crosses val="autoZero"/>
        <c:crossBetween val="midCat"/>
      </c:valAx>
      <c:valAx>
        <c:axId val="114868278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486736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7 '!$O$9:$R$9</c:f>
              <c:numCache>
                <c:formatCode>#,##0</c:formatCode>
                <c:ptCount val="4"/>
                <c:pt idx="0">
                  <c:v>119119</c:v>
                </c:pt>
                <c:pt idx="1">
                  <c:v>76160</c:v>
                </c:pt>
                <c:pt idx="2">
                  <c:v>157437</c:v>
                </c:pt>
                <c:pt idx="3">
                  <c:v>56560</c:v>
                </c:pt>
              </c:numCache>
            </c:numRef>
          </c:yVal>
          <c:smooth val="1"/>
          <c:extLst>
            <c:ext xmlns:c16="http://schemas.microsoft.com/office/drawing/2014/chart" uri="{C3380CC4-5D6E-409C-BE32-E72D297353CC}">
              <c16:uniqueId val="{00000000-C9C6-466C-AE98-4CBA4990D1E4}"/>
            </c:ext>
          </c:extLst>
        </c:ser>
        <c:dLbls>
          <c:showLegendKey val="0"/>
          <c:showVal val="0"/>
          <c:showCatName val="0"/>
          <c:showSerName val="0"/>
          <c:showPercent val="0"/>
          <c:showBubbleSize val="0"/>
        </c:dLbls>
        <c:axId val="1150335439"/>
        <c:axId val="1150312559"/>
      </c:scatterChart>
      <c:valAx>
        <c:axId val="11503354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50312559"/>
        <c:crosses val="autoZero"/>
        <c:crossBetween val="midCat"/>
      </c:valAx>
      <c:valAx>
        <c:axId val="11503125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1503354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8'!$N$6:$Q$6</c:f>
              <c:numCache>
                <c:formatCode>#,##0</c:formatCode>
                <c:ptCount val="4"/>
                <c:pt idx="3">
                  <c:v>119527.17</c:v>
                </c:pt>
              </c:numCache>
            </c:numRef>
          </c:yVal>
          <c:smooth val="1"/>
          <c:extLst>
            <c:ext xmlns:c16="http://schemas.microsoft.com/office/drawing/2014/chart" uri="{C3380CC4-5D6E-409C-BE32-E72D297353CC}">
              <c16:uniqueId val="{00000000-9F3F-4520-86FC-427E7F8B04F3}"/>
            </c:ext>
          </c:extLst>
        </c:ser>
        <c:dLbls>
          <c:showLegendKey val="0"/>
          <c:showVal val="0"/>
          <c:showCatName val="0"/>
          <c:showSerName val="0"/>
          <c:showPercent val="0"/>
          <c:showBubbleSize val="0"/>
        </c:dLbls>
        <c:axId val="1148677375"/>
        <c:axId val="1148684447"/>
      </c:scatterChart>
      <c:valAx>
        <c:axId val="11486773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84447"/>
        <c:crosses val="autoZero"/>
        <c:crossBetween val="midCat"/>
      </c:valAx>
      <c:valAx>
        <c:axId val="11486844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773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8'!$N$7:$Q$7</c:f>
              <c:numCache>
                <c:formatCode>#,##0</c:formatCode>
                <c:ptCount val="4"/>
                <c:pt idx="2">
                  <c:v>54740</c:v>
                </c:pt>
                <c:pt idx="3">
                  <c:v>117663.62999999999</c:v>
                </c:pt>
              </c:numCache>
            </c:numRef>
          </c:yVal>
          <c:smooth val="1"/>
          <c:extLst>
            <c:ext xmlns:c16="http://schemas.microsoft.com/office/drawing/2014/chart" uri="{C3380CC4-5D6E-409C-BE32-E72D297353CC}">
              <c16:uniqueId val="{00000000-67FF-4BBE-9298-1896E46D2A12}"/>
            </c:ext>
          </c:extLst>
        </c:ser>
        <c:dLbls>
          <c:showLegendKey val="0"/>
          <c:showVal val="0"/>
          <c:showCatName val="0"/>
          <c:showSerName val="0"/>
          <c:showPercent val="0"/>
          <c:showBubbleSize val="0"/>
        </c:dLbls>
        <c:axId val="1128919983"/>
        <c:axId val="1128919567"/>
      </c:scatterChart>
      <c:valAx>
        <c:axId val="11289199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8919567"/>
        <c:crosses val="autoZero"/>
        <c:crossBetween val="midCat"/>
      </c:valAx>
      <c:valAx>
        <c:axId val="11289195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89199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8'!$N$8:$Q$8</c:f>
              <c:numCache>
                <c:formatCode>#,##0</c:formatCode>
                <c:ptCount val="4"/>
                <c:pt idx="3">
                  <c:v>186020.8</c:v>
                </c:pt>
              </c:numCache>
            </c:numRef>
          </c:yVal>
          <c:smooth val="1"/>
          <c:extLst>
            <c:ext xmlns:c16="http://schemas.microsoft.com/office/drawing/2014/chart" uri="{C3380CC4-5D6E-409C-BE32-E72D297353CC}">
              <c16:uniqueId val="{00000000-E08E-4180-8AEC-0A3B10CE652F}"/>
            </c:ext>
          </c:extLst>
        </c:ser>
        <c:dLbls>
          <c:showLegendKey val="0"/>
          <c:showVal val="0"/>
          <c:showCatName val="0"/>
          <c:showSerName val="0"/>
          <c:showPercent val="0"/>
          <c:showBubbleSize val="0"/>
        </c:dLbls>
        <c:axId val="1148686111"/>
        <c:axId val="1148682367"/>
      </c:scatterChart>
      <c:valAx>
        <c:axId val="11486861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82367"/>
        <c:crosses val="autoZero"/>
        <c:crossBetween val="midCat"/>
      </c:valAx>
      <c:valAx>
        <c:axId val="11486823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6861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8'!$N$9:$Q$9</c:f>
              <c:numCache>
                <c:formatCode>#,##0</c:formatCode>
                <c:ptCount val="4"/>
                <c:pt idx="1">
                  <c:v>52123.189999999995</c:v>
                </c:pt>
                <c:pt idx="3">
                  <c:v>119527.527</c:v>
                </c:pt>
              </c:numCache>
            </c:numRef>
          </c:yVal>
          <c:smooth val="1"/>
          <c:extLst>
            <c:ext xmlns:c16="http://schemas.microsoft.com/office/drawing/2014/chart" uri="{C3380CC4-5D6E-409C-BE32-E72D297353CC}">
              <c16:uniqueId val="{00000000-7999-488B-8AA4-7778FB03528E}"/>
            </c:ext>
          </c:extLst>
        </c:ser>
        <c:dLbls>
          <c:showLegendKey val="0"/>
          <c:showVal val="0"/>
          <c:showCatName val="0"/>
          <c:showSerName val="0"/>
          <c:showPercent val="0"/>
          <c:showBubbleSize val="0"/>
        </c:dLbls>
        <c:axId val="1126187311"/>
        <c:axId val="1126189807"/>
      </c:scatterChart>
      <c:valAx>
        <c:axId val="11261873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6189807"/>
        <c:crosses val="autoZero"/>
        <c:crossBetween val="midCat"/>
      </c:valAx>
      <c:valAx>
        <c:axId val="11261898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61873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8'!$N$10:$Q$10</c:f>
              <c:numCache>
                <c:formatCode>#,##0</c:formatCode>
                <c:ptCount val="4"/>
                <c:pt idx="1">
                  <c:v>60750.689999999995</c:v>
                </c:pt>
                <c:pt idx="3">
                  <c:v>119527.527</c:v>
                </c:pt>
              </c:numCache>
            </c:numRef>
          </c:yVal>
          <c:smooth val="1"/>
          <c:extLst>
            <c:ext xmlns:c16="http://schemas.microsoft.com/office/drawing/2014/chart" uri="{C3380CC4-5D6E-409C-BE32-E72D297353CC}">
              <c16:uniqueId val="{00000000-71C9-4070-BD24-F5919FAE2417}"/>
            </c:ext>
          </c:extLst>
        </c:ser>
        <c:dLbls>
          <c:showLegendKey val="0"/>
          <c:showVal val="0"/>
          <c:showCatName val="0"/>
          <c:showSerName val="0"/>
          <c:showPercent val="0"/>
          <c:showBubbleSize val="0"/>
        </c:dLbls>
        <c:axId val="1125168847"/>
        <c:axId val="1125170927"/>
      </c:scatterChart>
      <c:valAx>
        <c:axId val="1125168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5170927"/>
        <c:crosses val="autoZero"/>
        <c:crossBetween val="midCat"/>
      </c:valAx>
      <c:valAx>
        <c:axId val="11251709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5168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9'!$I$5:$L$5</c:f>
              <c:numCache>
                <c:formatCode>#,##0</c:formatCode>
                <c:ptCount val="4"/>
                <c:pt idx="0">
                  <c:v>4910535</c:v>
                </c:pt>
                <c:pt idx="1">
                  <c:v>2472820</c:v>
                </c:pt>
                <c:pt idx="3">
                  <c:v>3424332.0999999996</c:v>
                </c:pt>
              </c:numCache>
            </c:numRef>
          </c:yVal>
          <c:smooth val="1"/>
          <c:extLst>
            <c:ext xmlns:c16="http://schemas.microsoft.com/office/drawing/2014/chart" uri="{C3380CC4-5D6E-409C-BE32-E72D297353CC}">
              <c16:uniqueId val="{00000000-4CA0-4761-B435-95DCCB82ED64}"/>
            </c:ext>
          </c:extLst>
        </c:ser>
        <c:dLbls>
          <c:showLegendKey val="0"/>
          <c:showVal val="0"/>
          <c:showCatName val="0"/>
          <c:showSerName val="0"/>
          <c:showPercent val="0"/>
          <c:showBubbleSize val="0"/>
        </c:dLbls>
        <c:axId val="1126187311"/>
        <c:axId val="1126190223"/>
      </c:scatterChart>
      <c:valAx>
        <c:axId val="11261873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6190223"/>
        <c:crosses val="autoZero"/>
        <c:crossBetween val="midCat"/>
      </c:valAx>
      <c:valAx>
        <c:axId val="11261902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261873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10 '!$J$6:$L$6</c:f>
              <c:numCache>
                <c:formatCode>#,##0</c:formatCode>
                <c:ptCount val="3"/>
                <c:pt idx="0">
                  <c:v>22372</c:v>
                </c:pt>
                <c:pt idx="1">
                  <c:v>45398.5</c:v>
                </c:pt>
                <c:pt idx="2">
                  <c:v>33087.599999999999</c:v>
                </c:pt>
              </c:numCache>
            </c:numRef>
          </c:yVal>
          <c:smooth val="1"/>
          <c:extLst>
            <c:ext xmlns:c16="http://schemas.microsoft.com/office/drawing/2014/chart" uri="{C3380CC4-5D6E-409C-BE32-E72D297353CC}">
              <c16:uniqueId val="{00000000-60AC-438A-B290-7B08EF7B94F1}"/>
            </c:ext>
          </c:extLst>
        </c:ser>
        <c:dLbls>
          <c:showLegendKey val="0"/>
          <c:showVal val="0"/>
          <c:showCatName val="0"/>
          <c:showSerName val="0"/>
          <c:showPercent val="0"/>
          <c:showBubbleSize val="0"/>
        </c:dLbls>
        <c:axId val="1148576383"/>
        <c:axId val="1148573055"/>
      </c:scatterChart>
      <c:valAx>
        <c:axId val="11485763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573055"/>
        <c:crosses val="autoZero"/>
        <c:crossBetween val="midCat"/>
      </c:valAx>
      <c:valAx>
        <c:axId val="11485730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485763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'LOTE 11'!$K$5</c:f>
              <c:strCache>
                <c:ptCount val="1"/>
                <c:pt idx="0">
                  <c:v>WACOL</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11'!$K$6</c:f>
              <c:numCache>
                <c:formatCode>#,##0</c:formatCode>
                <c:ptCount val="1"/>
                <c:pt idx="0">
                  <c:v>3260600</c:v>
                </c:pt>
              </c:numCache>
            </c:numRef>
          </c:yVal>
          <c:smooth val="1"/>
          <c:extLst>
            <c:ext xmlns:c16="http://schemas.microsoft.com/office/drawing/2014/chart" uri="{C3380CC4-5D6E-409C-BE32-E72D297353CC}">
              <c16:uniqueId val="{00000000-E1D0-4D52-9993-E1E182D32AC6}"/>
            </c:ext>
          </c:extLst>
        </c:ser>
        <c:dLbls>
          <c:showLegendKey val="0"/>
          <c:showVal val="0"/>
          <c:showCatName val="0"/>
          <c:showSerName val="0"/>
          <c:showPercent val="0"/>
          <c:showBubbleSize val="0"/>
        </c:dLbls>
        <c:axId val="1156116271"/>
        <c:axId val="1156115023"/>
      </c:scatterChart>
      <c:valAx>
        <c:axId val="11561162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56115023"/>
        <c:crosses val="autoZero"/>
        <c:crossBetween val="midCat"/>
      </c:valAx>
      <c:valAx>
        <c:axId val="11561150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561162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12 '!$M$4:$O$4</c:f>
              <c:numCache>
                <c:formatCode>_-"$"\ * #,##0_-;\-"$"\ * #,##0_-;_-"$"\ * "-"??_-;_-@_-</c:formatCode>
                <c:ptCount val="3"/>
                <c:pt idx="0">
                  <c:v>41700</c:v>
                </c:pt>
                <c:pt idx="1">
                  <c:v>57715</c:v>
                </c:pt>
                <c:pt idx="2">
                  <c:v>78469</c:v>
                </c:pt>
              </c:numCache>
            </c:numRef>
          </c:yVal>
          <c:smooth val="1"/>
          <c:extLst>
            <c:ext xmlns:c16="http://schemas.microsoft.com/office/drawing/2014/chart" uri="{C3380CC4-5D6E-409C-BE32-E72D297353CC}">
              <c16:uniqueId val="{00000000-A803-49E7-A637-6A5A793FE949}"/>
            </c:ext>
          </c:extLst>
        </c:ser>
        <c:dLbls>
          <c:showLegendKey val="0"/>
          <c:showVal val="0"/>
          <c:showCatName val="0"/>
          <c:showSerName val="0"/>
          <c:showPercent val="0"/>
          <c:showBubbleSize val="0"/>
        </c:dLbls>
        <c:axId val="1118476751"/>
        <c:axId val="1118459695"/>
      </c:scatterChart>
      <c:valAx>
        <c:axId val="11184767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59695"/>
        <c:crosses val="autoZero"/>
        <c:crossBetween val="midCat"/>
      </c:valAx>
      <c:valAx>
        <c:axId val="1118459695"/>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 #,##0_-;\-&quot;$&quot;\ * #,##0_-;_-&quot;$&quot;\ *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767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394900916195883"/>
          <c:y val="0.1004566210045662"/>
          <c:w val="0.74482412746733795"/>
          <c:h val="0.7215676122676446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13'!$M$6:$N$6</c:f>
              <c:numCache>
                <c:formatCode>#,##0</c:formatCode>
                <c:ptCount val="2"/>
                <c:pt idx="0">
                  <c:v>674730</c:v>
                </c:pt>
                <c:pt idx="1">
                  <c:v>542719.21759999997</c:v>
                </c:pt>
              </c:numCache>
            </c:numRef>
          </c:yVal>
          <c:smooth val="1"/>
          <c:extLst>
            <c:ext xmlns:c16="http://schemas.microsoft.com/office/drawing/2014/chart" uri="{C3380CC4-5D6E-409C-BE32-E72D297353CC}">
              <c16:uniqueId val="{00000000-6913-489F-92B9-5FCF2C1E4FDB}"/>
            </c:ext>
          </c:extLst>
        </c:ser>
        <c:dLbls>
          <c:showLegendKey val="0"/>
          <c:showVal val="0"/>
          <c:showCatName val="0"/>
          <c:showSerName val="0"/>
          <c:showPercent val="0"/>
          <c:showBubbleSize val="0"/>
        </c:dLbls>
        <c:axId val="158188991"/>
        <c:axId val="158191071"/>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91071"/>
        <c:crosses val="autoZero"/>
        <c:crossBetween val="midCat"/>
      </c:valAx>
      <c:valAx>
        <c:axId val="1581910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13'!$M$7:$N$7</c:f>
              <c:numCache>
                <c:formatCode>#,##0</c:formatCode>
                <c:ptCount val="2"/>
                <c:pt idx="0">
                  <c:v>340221</c:v>
                </c:pt>
                <c:pt idx="1">
                  <c:v>248773.50399999999</c:v>
                </c:pt>
              </c:numCache>
            </c:numRef>
          </c:yVal>
          <c:smooth val="1"/>
          <c:extLst>
            <c:ext xmlns:c16="http://schemas.microsoft.com/office/drawing/2014/chart" uri="{C3380CC4-5D6E-409C-BE32-E72D297353CC}">
              <c16:uniqueId val="{00000000-0D37-4BE1-BC3C-41F7B3814B1B}"/>
            </c:ext>
          </c:extLst>
        </c:ser>
        <c:dLbls>
          <c:showLegendKey val="0"/>
          <c:showVal val="0"/>
          <c:showCatName val="0"/>
          <c:showSerName val="0"/>
          <c:showPercent val="0"/>
          <c:showBubbleSize val="0"/>
        </c:dLbls>
        <c:axId val="354168431"/>
        <c:axId val="354180911"/>
      </c:scatterChart>
      <c:valAx>
        <c:axId val="354168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80911"/>
        <c:crosses val="autoZero"/>
        <c:crossBetween val="midCat"/>
      </c:valAx>
      <c:valAx>
        <c:axId val="3541809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68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13'!$M$8:$N$8</c:f>
              <c:numCache>
                <c:formatCode>#,##0</c:formatCode>
                <c:ptCount val="2"/>
                <c:pt idx="0">
                  <c:v>46291</c:v>
                </c:pt>
                <c:pt idx="1">
                  <c:v>40170.0432</c:v>
                </c:pt>
              </c:numCache>
            </c:numRef>
          </c:yVal>
          <c:smooth val="1"/>
          <c:extLst>
            <c:ext xmlns:c16="http://schemas.microsoft.com/office/drawing/2014/chart" uri="{C3380CC4-5D6E-409C-BE32-E72D297353CC}">
              <c16:uniqueId val="{00000000-AC36-400C-A5B3-3E17547D0007}"/>
            </c:ext>
          </c:extLst>
        </c:ser>
        <c:dLbls>
          <c:showLegendKey val="0"/>
          <c:showVal val="0"/>
          <c:showCatName val="0"/>
          <c:showSerName val="0"/>
          <c:showPercent val="0"/>
          <c:showBubbleSize val="0"/>
        </c:dLbls>
        <c:axId val="558574367"/>
        <c:axId val="558571455"/>
      </c:scatterChart>
      <c:valAx>
        <c:axId val="5585743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8571455"/>
        <c:crosses val="autoZero"/>
        <c:crossBetween val="midCat"/>
      </c:valAx>
      <c:valAx>
        <c:axId val="5585714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85743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13'!$M$9:$N$9</c:f>
              <c:numCache>
                <c:formatCode>#,##0</c:formatCode>
                <c:ptCount val="2"/>
                <c:pt idx="0">
                  <c:v>186116</c:v>
                </c:pt>
              </c:numCache>
            </c:numRef>
          </c:yVal>
          <c:smooth val="1"/>
          <c:extLst>
            <c:ext xmlns:c16="http://schemas.microsoft.com/office/drawing/2014/chart" uri="{C3380CC4-5D6E-409C-BE32-E72D297353CC}">
              <c16:uniqueId val="{00000000-65C7-4555-B66F-6F45586BF30F}"/>
            </c:ext>
          </c:extLst>
        </c:ser>
        <c:dLbls>
          <c:showLegendKey val="0"/>
          <c:showVal val="0"/>
          <c:showCatName val="0"/>
          <c:showSerName val="0"/>
          <c:showPercent val="0"/>
          <c:showBubbleSize val="0"/>
        </c:dLbls>
        <c:axId val="354181327"/>
        <c:axId val="354172175"/>
      </c:scatterChart>
      <c:valAx>
        <c:axId val="3541813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2175"/>
        <c:crosses val="autoZero"/>
        <c:crossBetween val="midCat"/>
      </c:valAx>
      <c:valAx>
        <c:axId val="3541721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813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13'!$M$10:$N$10</c:f>
              <c:numCache>
                <c:formatCode>#,##0</c:formatCode>
                <c:ptCount val="2"/>
                <c:pt idx="0">
                  <c:v>244664</c:v>
                </c:pt>
              </c:numCache>
            </c:numRef>
          </c:yVal>
          <c:smooth val="1"/>
          <c:extLst>
            <c:ext xmlns:c16="http://schemas.microsoft.com/office/drawing/2014/chart" uri="{C3380CC4-5D6E-409C-BE32-E72D297353CC}">
              <c16:uniqueId val="{00000000-AA00-4220-9281-C46F236B481A}"/>
            </c:ext>
          </c:extLst>
        </c:ser>
        <c:dLbls>
          <c:showLegendKey val="0"/>
          <c:showVal val="0"/>
          <c:showCatName val="0"/>
          <c:showSerName val="0"/>
          <c:showPercent val="0"/>
          <c:showBubbleSize val="0"/>
        </c:dLbls>
        <c:axId val="433926991"/>
        <c:axId val="433924079"/>
      </c:scatterChart>
      <c:valAx>
        <c:axId val="43392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3924079"/>
        <c:crosses val="autoZero"/>
        <c:crossBetween val="midCat"/>
      </c:valAx>
      <c:valAx>
        <c:axId val="433924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392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13'!$M$11:$N$11</c:f>
              <c:numCache>
                <c:formatCode>#,##0</c:formatCode>
                <c:ptCount val="2"/>
                <c:pt idx="0">
                  <c:v>630343</c:v>
                </c:pt>
                <c:pt idx="1">
                  <c:v>602560.82880000002</c:v>
                </c:pt>
              </c:numCache>
            </c:numRef>
          </c:yVal>
          <c:smooth val="1"/>
          <c:extLst>
            <c:ext xmlns:c16="http://schemas.microsoft.com/office/drawing/2014/chart" uri="{C3380CC4-5D6E-409C-BE32-E72D297353CC}">
              <c16:uniqueId val="{00000000-523F-4E0F-B1C5-8046306CDB19}"/>
            </c:ext>
          </c:extLst>
        </c:ser>
        <c:dLbls>
          <c:showLegendKey val="0"/>
          <c:showVal val="0"/>
          <c:showCatName val="0"/>
          <c:showSerName val="0"/>
          <c:showPercent val="0"/>
          <c:showBubbleSize val="0"/>
        </c:dLbls>
        <c:axId val="158188991"/>
        <c:axId val="158190655"/>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90655"/>
        <c:crosses val="autoZero"/>
        <c:crossBetween val="midCat"/>
      </c:valAx>
      <c:valAx>
        <c:axId val="1581906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13'!$M$12:$N$12</c:f>
              <c:numCache>
                <c:formatCode>#,##0</c:formatCode>
                <c:ptCount val="2"/>
                <c:pt idx="0">
                  <c:v>116858</c:v>
                </c:pt>
              </c:numCache>
            </c:numRef>
          </c:yVal>
          <c:smooth val="1"/>
          <c:extLst>
            <c:ext xmlns:c16="http://schemas.microsoft.com/office/drawing/2014/chart" uri="{C3380CC4-5D6E-409C-BE32-E72D297353CC}">
              <c16:uniqueId val="{00000000-BAE8-4E40-9CC9-8A3C51EBF145}"/>
            </c:ext>
          </c:extLst>
        </c:ser>
        <c:dLbls>
          <c:showLegendKey val="0"/>
          <c:showVal val="0"/>
          <c:showCatName val="0"/>
          <c:showSerName val="0"/>
          <c:showPercent val="0"/>
          <c:showBubbleSize val="0"/>
        </c:dLbls>
        <c:axId val="558571871"/>
        <c:axId val="558574367"/>
      </c:scatterChart>
      <c:valAx>
        <c:axId val="5585718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8574367"/>
        <c:crosses val="autoZero"/>
        <c:crossBetween val="midCat"/>
      </c:valAx>
      <c:valAx>
        <c:axId val="5585743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85718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13'!$M$13:$N$13</c:f>
              <c:numCache>
                <c:formatCode>#,##0</c:formatCode>
                <c:ptCount val="2"/>
                <c:pt idx="0">
                  <c:v>244664</c:v>
                </c:pt>
                <c:pt idx="1">
                  <c:v>233023.8064</c:v>
                </c:pt>
              </c:numCache>
            </c:numRef>
          </c:yVal>
          <c:smooth val="1"/>
          <c:extLst>
            <c:ext xmlns:c16="http://schemas.microsoft.com/office/drawing/2014/chart" uri="{C3380CC4-5D6E-409C-BE32-E72D297353CC}">
              <c16:uniqueId val="{00000000-5FFD-4F60-9BA4-828A067F034D}"/>
            </c:ext>
          </c:extLst>
        </c:ser>
        <c:dLbls>
          <c:showLegendKey val="0"/>
          <c:showVal val="0"/>
          <c:showCatName val="0"/>
          <c:showSerName val="0"/>
          <c:showPercent val="0"/>
          <c:showBubbleSize val="0"/>
        </c:dLbls>
        <c:axId val="350459231"/>
        <c:axId val="350457983"/>
      </c:scatterChart>
      <c:valAx>
        <c:axId val="3504592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0457983"/>
        <c:crosses val="autoZero"/>
        <c:crossBetween val="midCat"/>
      </c:valAx>
      <c:valAx>
        <c:axId val="35045798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04592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792345502266763"/>
          <c:y val="0.15023463070893445"/>
          <c:w val="0.76760372226199003"/>
          <c:h val="0.7137246580720431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13'!$M$14:$N$14</c:f>
              <c:numCache>
                <c:formatCode>#,##0</c:formatCode>
                <c:ptCount val="2"/>
                <c:pt idx="0">
                  <c:v>87703</c:v>
                </c:pt>
              </c:numCache>
            </c:numRef>
          </c:yVal>
          <c:smooth val="1"/>
          <c:extLst>
            <c:ext xmlns:c16="http://schemas.microsoft.com/office/drawing/2014/chart" uri="{C3380CC4-5D6E-409C-BE32-E72D297353CC}">
              <c16:uniqueId val="{00000000-9CAA-4AC7-B7E6-7EDB1A244983}"/>
            </c:ext>
          </c:extLst>
        </c:ser>
        <c:dLbls>
          <c:showLegendKey val="0"/>
          <c:showVal val="0"/>
          <c:showCatName val="0"/>
          <c:showSerName val="0"/>
          <c:showPercent val="0"/>
          <c:showBubbleSize val="0"/>
        </c:dLbls>
        <c:axId val="354170927"/>
        <c:axId val="354178831"/>
      </c:scatterChart>
      <c:valAx>
        <c:axId val="354170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8831"/>
        <c:crosses val="autoZero"/>
        <c:crossBetween val="midCat"/>
      </c:valAx>
      <c:valAx>
        <c:axId val="3541788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0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13'!$M$15:$N$15</c:f>
              <c:numCache>
                <c:formatCode>#,##0</c:formatCode>
                <c:ptCount val="2"/>
                <c:pt idx="0">
                  <c:v>572033</c:v>
                </c:pt>
                <c:pt idx="1">
                  <c:v>538530.38399999996</c:v>
                </c:pt>
              </c:numCache>
            </c:numRef>
          </c:yVal>
          <c:smooth val="1"/>
          <c:extLst>
            <c:ext xmlns:c16="http://schemas.microsoft.com/office/drawing/2014/chart" uri="{C3380CC4-5D6E-409C-BE32-E72D297353CC}">
              <c16:uniqueId val="{00000000-AC3F-486F-9F18-DA0C43910245}"/>
            </c:ext>
          </c:extLst>
        </c:ser>
        <c:dLbls>
          <c:showLegendKey val="0"/>
          <c:showVal val="0"/>
          <c:showCatName val="0"/>
          <c:showSerName val="0"/>
          <c:showPercent val="0"/>
          <c:showBubbleSize val="0"/>
        </c:dLbls>
        <c:axId val="158188575"/>
        <c:axId val="430440207"/>
      </c:scatterChart>
      <c:valAx>
        <c:axId val="1581885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0440207"/>
        <c:crosses val="autoZero"/>
        <c:crossBetween val="midCat"/>
      </c:valAx>
      <c:valAx>
        <c:axId val="430440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85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13'!$M$16:$N$16</c:f>
              <c:numCache>
                <c:formatCode>#,##0</c:formatCode>
                <c:ptCount val="2"/>
                <c:pt idx="0">
                  <c:v>686392</c:v>
                </c:pt>
                <c:pt idx="1">
                  <c:v>646029.45120000001</c:v>
                </c:pt>
              </c:numCache>
            </c:numRef>
          </c:yVal>
          <c:smooth val="1"/>
          <c:extLst>
            <c:ext xmlns:c16="http://schemas.microsoft.com/office/drawing/2014/chart" uri="{C3380CC4-5D6E-409C-BE32-E72D297353CC}">
              <c16:uniqueId val="{00000000-F6A6-46C3-B0F7-F8A8DCA79AF7}"/>
            </c:ext>
          </c:extLst>
        </c:ser>
        <c:dLbls>
          <c:showLegendKey val="0"/>
          <c:showVal val="0"/>
          <c:showCatName val="0"/>
          <c:showSerName val="0"/>
          <c:showPercent val="0"/>
          <c:showBubbleSize val="0"/>
        </c:dLbls>
        <c:axId val="433973679"/>
        <c:axId val="433974095"/>
      </c:scatterChart>
      <c:valAx>
        <c:axId val="4339736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3974095"/>
        <c:crosses val="autoZero"/>
        <c:crossBetween val="midCat"/>
      </c:valAx>
      <c:valAx>
        <c:axId val="433974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39736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13'!$M$17:$N$17</c:f>
              <c:numCache>
                <c:formatCode>#,##0</c:formatCode>
                <c:ptCount val="2"/>
                <c:pt idx="0">
                  <c:v>118167</c:v>
                </c:pt>
                <c:pt idx="1">
                  <c:v>112205.9904</c:v>
                </c:pt>
              </c:numCache>
            </c:numRef>
          </c:yVal>
          <c:smooth val="1"/>
          <c:extLst>
            <c:ext xmlns:c16="http://schemas.microsoft.com/office/drawing/2014/chart" uri="{C3380CC4-5D6E-409C-BE32-E72D297353CC}">
              <c16:uniqueId val="{00000000-7648-4F27-849B-88A4C8BCF1E5}"/>
            </c:ext>
          </c:extLst>
        </c:ser>
        <c:dLbls>
          <c:showLegendKey val="0"/>
          <c:showVal val="0"/>
          <c:showCatName val="0"/>
          <c:showSerName val="0"/>
          <c:showPercent val="0"/>
          <c:showBubbleSize val="0"/>
        </c:dLbls>
        <c:axId val="451622895"/>
        <c:axId val="451625391"/>
      </c:scatterChart>
      <c:valAx>
        <c:axId val="4516228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51625391"/>
        <c:crosses val="autoZero"/>
        <c:crossBetween val="midCat"/>
      </c:valAx>
      <c:valAx>
        <c:axId val="4516253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516228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13'!$M$18:$N$18</c:f>
              <c:numCache>
                <c:formatCode>#,##0</c:formatCode>
                <c:ptCount val="2"/>
                <c:pt idx="0">
                  <c:v>141253</c:v>
                </c:pt>
                <c:pt idx="1">
                  <c:v>133149.02720000001</c:v>
                </c:pt>
              </c:numCache>
            </c:numRef>
          </c:yVal>
          <c:smooth val="1"/>
          <c:extLst>
            <c:ext xmlns:c16="http://schemas.microsoft.com/office/drawing/2014/chart" uri="{C3380CC4-5D6E-409C-BE32-E72D297353CC}">
              <c16:uniqueId val="{00000000-3754-4BC9-8A50-48A2F0AD2DAF}"/>
            </c:ext>
          </c:extLst>
        </c:ser>
        <c:dLbls>
          <c:showLegendKey val="0"/>
          <c:showVal val="0"/>
          <c:showCatName val="0"/>
          <c:showSerName val="0"/>
          <c:showPercent val="0"/>
          <c:showBubbleSize val="0"/>
        </c:dLbls>
        <c:axId val="354168015"/>
        <c:axId val="354171343"/>
      </c:scatterChart>
      <c:valAx>
        <c:axId val="354168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1343"/>
        <c:crosses val="autoZero"/>
        <c:crossBetween val="midCat"/>
      </c:valAx>
      <c:valAx>
        <c:axId val="3541713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68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13'!$M$19:$N$19</c:f>
              <c:numCache>
                <c:formatCode>#,##0</c:formatCode>
                <c:ptCount val="2"/>
                <c:pt idx="0">
                  <c:v>57239</c:v>
                </c:pt>
                <c:pt idx="1">
                  <c:v>55675.401599999997</c:v>
                </c:pt>
              </c:numCache>
            </c:numRef>
          </c:yVal>
          <c:smooth val="1"/>
          <c:extLst>
            <c:ext xmlns:c16="http://schemas.microsoft.com/office/drawing/2014/chart" uri="{C3380CC4-5D6E-409C-BE32-E72D297353CC}">
              <c16:uniqueId val="{00000000-36C0-4D96-A196-201362278391}"/>
            </c:ext>
          </c:extLst>
        </c:ser>
        <c:dLbls>
          <c:showLegendKey val="0"/>
          <c:showVal val="0"/>
          <c:showCatName val="0"/>
          <c:showSerName val="0"/>
          <c:showPercent val="0"/>
          <c:showBubbleSize val="0"/>
        </c:dLbls>
        <c:axId val="503982959"/>
        <c:axId val="503985039"/>
      </c:scatterChart>
      <c:valAx>
        <c:axId val="50398295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3985039"/>
        <c:crosses val="autoZero"/>
        <c:crossBetween val="midCat"/>
      </c:valAx>
      <c:valAx>
        <c:axId val="5039850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398295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13'!$M$20:$N$20</c:f>
              <c:numCache>
                <c:formatCode>#,##0</c:formatCode>
                <c:ptCount val="2"/>
                <c:pt idx="0">
                  <c:v>210511</c:v>
                </c:pt>
              </c:numCache>
            </c:numRef>
          </c:yVal>
          <c:smooth val="1"/>
          <c:extLst>
            <c:ext xmlns:c16="http://schemas.microsoft.com/office/drawing/2014/chart" uri="{C3380CC4-5D6E-409C-BE32-E72D297353CC}">
              <c16:uniqueId val="{00000000-B323-4D66-A03D-8B8D30DB2439}"/>
            </c:ext>
          </c:extLst>
        </c:ser>
        <c:dLbls>
          <c:showLegendKey val="0"/>
          <c:showVal val="0"/>
          <c:showCatName val="0"/>
          <c:showSerName val="0"/>
          <c:showPercent val="0"/>
          <c:showBubbleSize val="0"/>
        </c:dLbls>
        <c:axId val="550294879"/>
        <c:axId val="550296959"/>
      </c:scatterChart>
      <c:valAx>
        <c:axId val="5502948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6959"/>
        <c:crosses val="autoZero"/>
        <c:crossBetween val="midCat"/>
      </c:valAx>
      <c:valAx>
        <c:axId val="5502969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4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13'!$M$21:$N$21</c:f>
              <c:numCache>
                <c:formatCode>#,##0</c:formatCode>
                <c:ptCount val="2"/>
                <c:pt idx="0">
                  <c:v>250733</c:v>
                </c:pt>
              </c:numCache>
            </c:numRef>
          </c:yVal>
          <c:smooth val="1"/>
          <c:extLst>
            <c:ext xmlns:c16="http://schemas.microsoft.com/office/drawing/2014/chart" uri="{C3380CC4-5D6E-409C-BE32-E72D297353CC}">
              <c16:uniqueId val="{00000000-CF9D-4FCB-9E61-5113762CA0EE}"/>
            </c:ext>
          </c:extLst>
        </c:ser>
        <c:dLbls>
          <c:showLegendKey val="0"/>
          <c:showVal val="0"/>
          <c:showCatName val="0"/>
          <c:showSerName val="0"/>
          <c:showPercent val="0"/>
          <c:showBubbleSize val="0"/>
        </c:dLbls>
        <c:axId val="550296127"/>
        <c:axId val="550297791"/>
      </c:scatterChart>
      <c:valAx>
        <c:axId val="5502961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50297791"/>
        <c:crosses val="autoZero"/>
        <c:crossBetween val="midCat"/>
      </c:valAx>
      <c:valAx>
        <c:axId val="5502977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61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13'!$M$22:$N$22</c:f>
              <c:numCache>
                <c:formatCode>#,##0</c:formatCode>
                <c:ptCount val="2"/>
                <c:pt idx="0">
                  <c:v>68187</c:v>
                </c:pt>
              </c:numCache>
            </c:numRef>
          </c:yVal>
          <c:smooth val="1"/>
          <c:extLst>
            <c:ext xmlns:c16="http://schemas.microsoft.com/office/drawing/2014/chart" uri="{C3380CC4-5D6E-409C-BE32-E72D297353CC}">
              <c16:uniqueId val="{00000000-0C5C-4E9D-A061-677F50A42DF0}"/>
            </c:ext>
          </c:extLst>
        </c:ser>
        <c:dLbls>
          <c:showLegendKey val="0"/>
          <c:showVal val="0"/>
          <c:showCatName val="0"/>
          <c:showSerName val="0"/>
          <c:showPercent val="0"/>
          <c:showBubbleSize val="0"/>
        </c:dLbls>
        <c:axId val="158189407"/>
        <c:axId val="158188575"/>
      </c:scatterChart>
      <c:valAx>
        <c:axId val="1581894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8575"/>
        <c:crosses val="autoZero"/>
        <c:crossBetween val="midCat"/>
      </c:valAx>
      <c:valAx>
        <c:axId val="158188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94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13'!$M$23:$N$23</c:f>
              <c:numCache>
                <c:formatCode>#,##0</c:formatCode>
                <c:ptCount val="2"/>
                <c:pt idx="0">
                  <c:v>73066</c:v>
                </c:pt>
              </c:numCache>
            </c:numRef>
          </c:yVal>
          <c:smooth val="1"/>
          <c:extLst>
            <c:ext xmlns:c16="http://schemas.microsoft.com/office/drawing/2014/chart" uri="{C3380CC4-5D6E-409C-BE32-E72D297353CC}">
              <c16:uniqueId val="{00000000-422E-4F11-AEE8-50F1D06243E4}"/>
            </c:ext>
          </c:extLst>
        </c:ser>
        <c:dLbls>
          <c:showLegendKey val="0"/>
          <c:showVal val="0"/>
          <c:showCatName val="0"/>
          <c:showSerName val="0"/>
          <c:showPercent val="0"/>
          <c:showBubbleSize val="0"/>
        </c:dLbls>
        <c:axId val="443295503"/>
        <c:axId val="443292175"/>
      </c:scatterChart>
      <c:valAx>
        <c:axId val="4432955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92175"/>
        <c:crosses val="autoZero"/>
        <c:crossBetween val="midCat"/>
      </c:valAx>
      <c:valAx>
        <c:axId val="4432921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9550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13'!$M$24:$N$24</c:f>
              <c:numCache>
                <c:formatCode>#,##0</c:formatCode>
                <c:ptCount val="2"/>
                <c:pt idx="0">
                  <c:v>102340</c:v>
                </c:pt>
                <c:pt idx="1">
                  <c:v>84373.945599999992</c:v>
                </c:pt>
              </c:numCache>
            </c:numRef>
          </c:yVal>
          <c:smooth val="1"/>
          <c:extLst>
            <c:ext xmlns:c16="http://schemas.microsoft.com/office/drawing/2014/chart" uri="{C3380CC4-5D6E-409C-BE32-E72D297353CC}">
              <c16:uniqueId val="{00000000-E2B1-4BB7-BB2C-D1765C0CC2B3}"/>
            </c:ext>
          </c:extLst>
        </c:ser>
        <c:dLbls>
          <c:showLegendKey val="0"/>
          <c:showVal val="0"/>
          <c:showCatName val="0"/>
          <c:showSerName val="0"/>
          <c:showPercent val="0"/>
          <c:showBubbleSize val="0"/>
        </c:dLbls>
        <c:axId val="354170095"/>
        <c:axId val="354181327"/>
      </c:scatterChart>
      <c:valAx>
        <c:axId val="354170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81327"/>
        <c:crosses val="autoZero"/>
        <c:crossBetween val="midCat"/>
      </c:valAx>
      <c:valAx>
        <c:axId val="354181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0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13'!$M$25:$N$25</c:f>
              <c:numCache>
                <c:formatCode>#,##0</c:formatCode>
                <c:ptCount val="2"/>
                <c:pt idx="0">
                  <c:v>265846</c:v>
                </c:pt>
                <c:pt idx="1">
                  <c:v>222435.77439999999</c:v>
                </c:pt>
              </c:numCache>
            </c:numRef>
          </c:yVal>
          <c:smooth val="1"/>
          <c:extLst>
            <c:ext xmlns:c16="http://schemas.microsoft.com/office/drawing/2014/chart" uri="{C3380CC4-5D6E-409C-BE32-E72D297353CC}">
              <c16:uniqueId val="{00000000-95D9-4660-9DD6-7E2E47675815}"/>
            </c:ext>
          </c:extLst>
        </c:ser>
        <c:dLbls>
          <c:showLegendKey val="0"/>
          <c:showVal val="0"/>
          <c:showCatName val="0"/>
          <c:showSerName val="0"/>
          <c:showPercent val="0"/>
          <c:showBubbleSize val="0"/>
        </c:dLbls>
        <c:axId val="507409695"/>
        <c:axId val="507409279"/>
      </c:scatterChart>
      <c:valAx>
        <c:axId val="507409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7409279"/>
        <c:crosses val="autoZero"/>
        <c:crossBetween val="midCat"/>
      </c:valAx>
      <c:valAx>
        <c:axId val="5074092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7409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13'!$M$26:$N$26</c:f>
              <c:numCache>
                <c:formatCode>#,##0</c:formatCode>
                <c:ptCount val="2"/>
                <c:pt idx="0">
                  <c:v>339507</c:v>
                </c:pt>
              </c:numCache>
            </c:numRef>
          </c:yVal>
          <c:smooth val="1"/>
          <c:extLst>
            <c:ext xmlns:c16="http://schemas.microsoft.com/office/drawing/2014/chart" uri="{C3380CC4-5D6E-409C-BE32-E72D297353CC}">
              <c16:uniqueId val="{00000000-A4F9-4B16-88BC-B714379534F4}"/>
            </c:ext>
          </c:extLst>
        </c:ser>
        <c:dLbls>
          <c:showLegendKey val="0"/>
          <c:showVal val="0"/>
          <c:showCatName val="0"/>
          <c:showSerName val="0"/>
          <c:showPercent val="0"/>
          <c:showBubbleSize val="0"/>
        </c:dLbls>
        <c:axId val="443288431"/>
        <c:axId val="443290511"/>
      </c:scatterChart>
      <c:valAx>
        <c:axId val="443288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90511"/>
        <c:crosses val="autoZero"/>
        <c:crossBetween val="midCat"/>
      </c:valAx>
      <c:valAx>
        <c:axId val="4432905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88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13'!$M$27:$N$27</c:f>
              <c:numCache>
                <c:formatCode>#,##0</c:formatCode>
                <c:ptCount val="2"/>
                <c:pt idx="0">
                  <c:v>218960</c:v>
                </c:pt>
                <c:pt idx="1">
                  <c:v>186340.31359999999</c:v>
                </c:pt>
              </c:numCache>
            </c:numRef>
          </c:yVal>
          <c:smooth val="1"/>
          <c:extLst>
            <c:ext xmlns:c16="http://schemas.microsoft.com/office/drawing/2014/chart" uri="{C3380CC4-5D6E-409C-BE32-E72D297353CC}">
              <c16:uniqueId val="{00000000-D8F6-42C6-ABD8-21D28136996B}"/>
            </c:ext>
          </c:extLst>
        </c:ser>
        <c:dLbls>
          <c:showLegendKey val="0"/>
          <c:showVal val="0"/>
          <c:showCatName val="0"/>
          <c:showSerName val="0"/>
          <c:showPercent val="0"/>
          <c:showBubbleSize val="0"/>
        </c:dLbls>
        <c:axId val="436045375"/>
        <c:axId val="436043711"/>
      </c:scatterChart>
      <c:valAx>
        <c:axId val="4360453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6043711"/>
        <c:crosses val="autoZero"/>
        <c:crossBetween val="midCat"/>
      </c:valAx>
      <c:valAx>
        <c:axId val="4360437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60453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13'!$M$28:$N$28</c:f>
              <c:numCache>
                <c:formatCode>#,##0</c:formatCode>
                <c:ptCount val="2"/>
                <c:pt idx="0">
                  <c:v>114478</c:v>
                </c:pt>
                <c:pt idx="1">
                  <c:v>107483.2304</c:v>
                </c:pt>
              </c:numCache>
            </c:numRef>
          </c:yVal>
          <c:smooth val="1"/>
          <c:extLst>
            <c:ext xmlns:c16="http://schemas.microsoft.com/office/drawing/2014/chart" uri="{C3380CC4-5D6E-409C-BE32-E72D297353CC}">
              <c16:uniqueId val="{00000000-BD64-48E7-BD98-1874AA433471}"/>
            </c:ext>
          </c:extLst>
        </c:ser>
        <c:dLbls>
          <c:showLegendKey val="0"/>
          <c:showVal val="0"/>
          <c:showCatName val="0"/>
          <c:showSerName val="0"/>
          <c:showPercent val="0"/>
          <c:showBubbleSize val="0"/>
        </c:dLbls>
        <c:axId val="206167247"/>
        <c:axId val="206168911"/>
      </c:scatterChart>
      <c:valAx>
        <c:axId val="2061672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68911"/>
        <c:crosses val="autoZero"/>
        <c:crossBetween val="midCat"/>
      </c:valAx>
      <c:valAx>
        <c:axId val="2061689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672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13'!$M$29:$N$29</c:f>
              <c:numCache>
                <c:formatCode>#,##0</c:formatCode>
                <c:ptCount val="2"/>
                <c:pt idx="0">
                  <c:v>795991</c:v>
                </c:pt>
                <c:pt idx="1">
                  <c:v>631900.76320000004</c:v>
                </c:pt>
              </c:numCache>
            </c:numRef>
          </c:yVal>
          <c:smooth val="1"/>
          <c:extLst>
            <c:ext xmlns:c16="http://schemas.microsoft.com/office/drawing/2014/chart" uri="{C3380CC4-5D6E-409C-BE32-E72D297353CC}">
              <c16:uniqueId val="{00000000-E57A-472C-A287-128EA444EED3}"/>
            </c:ext>
          </c:extLst>
        </c:ser>
        <c:dLbls>
          <c:showLegendKey val="0"/>
          <c:showVal val="0"/>
          <c:showCatName val="0"/>
          <c:showSerName val="0"/>
          <c:showPercent val="0"/>
          <c:showBubbleSize val="0"/>
        </c:dLbls>
        <c:axId val="497420335"/>
        <c:axId val="497425743"/>
      </c:scatterChart>
      <c:valAx>
        <c:axId val="49742033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97425743"/>
        <c:crosses val="autoZero"/>
        <c:crossBetween val="midCat"/>
      </c:valAx>
      <c:valAx>
        <c:axId val="4974257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742033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13'!$M$30:$N$30</c:f>
              <c:numCache>
                <c:formatCode>#,##0</c:formatCode>
                <c:ptCount val="2"/>
                <c:pt idx="0">
                  <c:v>360213</c:v>
                </c:pt>
                <c:pt idx="1">
                  <c:v>354876.6704</c:v>
                </c:pt>
              </c:numCache>
            </c:numRef>
          </c:yVal>
          <c:smooth val="1"/>
          <c:extLst>
            <c:ext xmlns:c16="http://schemas.microsoft.com/office/drawing/2014/chart" uri="{C3380CC4-5D6E-409C-BE32-E72D297353CC}">
              <c16:uniqueId val="{00000000-5BC8-4174-B481-0D960C1D2E77}"/>
            </c:ext>
          </c:extLst>
        </c:ser>
        <c:dLbls>
          <c:showLegendKey val="0"/>
          <c:showVal val="0"/>
          <c:showCatName val="0"/>
          <c:showSerName val="0"/>
          <c:showPercent val="0"/>
          <c:showBubbleSize val="0"/>
        </c:dLbls>
        <c:axId val="550294463"/>
        <c:axId val="550299455"/>
      </c:scatterChart>
      <c:valAx>
        <c:axId val="5502944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9455"/>
        <c:crosses val="autoZero"/>
        <c:crossBetween val="midCat"/>
      </c:valAx>
      <c:valAx>
        <c:axId val="5502994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44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13'!$M$31:$N$31</c:f>
              <c:numCache>
                <c:formatCode>#,##0</c:formatCode>
                <c:ptCount val="2"/>
                <c:pt idx="0">
                  <c:v>484925</c:v>
                </c:pt>
                <c:pt idx="1">
                  <c:v>366042.74559999997</c:v>
                </c:pt>
              </c:numCache>
            </c:numRef>
          </c:yVal>
          <c:smooth val="1"/>
          <c:extLst>
            <c:ext xmlns:c16="http://schemas.microsoft.com/office/drawing/2014/chart" uri="{C3380CC4-5D6E-409C-BE32-E72D297353CC}">
              <c16:uniqueId val="{00000000-78F9-46DE-B9EC-AD616A9A27C7}"/>
            </c:ext>
          </c:extLst>
        </c:ser>
        <c:dLbls>
          <c:showLegendKey val="0"/>
          <c:showVal val="0"/>
          <c:showCatName val="0"/>
          <c:showSerName val="0"/>
          <c:showPercent val="0"/>
          <c:showBubbleSize val="0"/>
        </c:dLbls>
        <c:axId val="354172591"/>
        <c:axId val="354173423"/>
      </c:scatterChart>
      <c:valAx>
        <c:axId val="3541725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3423"/>
        <c:crosses val="autoZero"/>
        <c:crossBetween val="midCat"/>
      </c:valAx>
      <c:valAx>
        <c:axId val="354173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25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13'!$M$32:$N$32</c:f>
              <c:numCache>
                <c:formatCode>#,##0</c:formatCode>
                <c:ptCount val="2"/>
                <c:pt idx="0">
                  <c:v>530145</c:v>
                </c:pt>
                <c:pt idx="1">
                  <c:v>413053.15519999998</c:v>
                </c:pt>
              </c:numCache>
            </c:numRef>
          </c:yVal>
          <c:smooth val="1"/>
          <c:extLst>
            <c:ext xmlns:c16="http://schemas.microsoft.com/office/drawing/2014/chart" uri="{C3380CC4-5D6E-409C-BE32-E72D297353CC}">
              <c16:uniqueId val="{00000000-F653-4101-830D-1EE30B17E660}"/>
            </c:ext>
          </c:extLst>
        </c:ser>
        <c:dLbls>
          <c:showLegendKey val="0"/>
          <c:showVal val="0"/>
          <c:showCatName val="0"/>
          <c:showSerName val="0"/>
          <c:showPercent val="0"/>
          <c:showBubbleSize val="0"/>
        </c:dLbls>
        <c:axId val="435747519"/>
        <c:axId val="435748767"/>
      </c:scatterChart>
      <c:valAx>
        <c:axId val="4357475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5748767"/>
        <c:crosses val="autoZero"/>
        <c:crossBetween val="midCat"/>
      </c:valAx>
      <c:valAx>
        <c:axId val="4357487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57475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13'!$M$33:$N$33</c:f>
              <c:numCache>
                <c:formatCode>#,##0</c:formatCode>
                <c:ptCount val="2"/>
                <c:pt idx="0">
                  <c:v>375445</c:v>
                </c:pt>
                <c:pt idx="1">
                  <c:v>294358.60159999999</c:v>
                </c:pt>
              </c:numCache>
            </c:numRef>
          </c:yVal>
          <c:smooth val="1"/>
          <c:extLst>
            <c:ext xmlns:c16="http://schemas.microsoft.com/office/drawing/2014/chart" uri="{C3380CC4-5D6E-409C-BE32-E72D297353CC}">
              <c16:uniqueId val="{00000000-F15F-4963-9386-70C6CC5A1ABE}"/>
            </c:ext>
          </c:extLst>
        </c:ser>
        <c:dLbls>
          <c:showLegendKey val="0"/>
          <c:showVal val="0"/>
          <c:showCatName val="0"/>
          <c:showSerName val="0"/>
          <c:showPercent val="0"/>
          <c:showBubbleSize val="0"/>
        </c:dLbls>
        <c:axId val="206167663"/>
        <c:axId val="206170991"/>
      </c:scatterChart>
      <c:valAx>
        <c:axId val="206167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0991"/>
        <c:crosses val="autoZero"/>
        <c:crossBetween val="midCat"/>
      </c:valAx>
      <c:valAx>
        <c:axId val="2061709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67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13'!$M$34:$N$34</c:f>
              <c:numCache>
                <c:formatCode>#,##0</c:formatCode>
                <c:ptCount val="2"/>
                <c:pt idx="0">
                  <c:v>100793</c:v>
                </c:pt>
                <c:pt idx="1">
                  <c:v>82027.836800000005</c:v>
                </c:pt>
              </c:numCache>
            </c:numRef>
          </c:yVal>
          <c:smooth val="1"/>
          <c:extLst>
            <c:ext xmlns:c16="http://schemas.microsoft.com/office/drawing/2014/chart" uri="{C3380CC4-5D6E-409C-BE32-E72D297353CC}">
              <c16:uniqueId val="{00000000-4E68-4841-8EA7-422D60063AF8}"/>
            </c:ext>
          </c:extLst>
        </c:ser>
        <c:dLbls>
          <c:showLegendKey val="0"/>
          <c:showVal val="0"/>
          <c:showCatName val="0"/>
          <c:showSerName val="0"/>
          <c:showPercent val="0"/>
          <c:showBubbleSize val="0"/>
        </c:dLbls>
        <c:axId val="550299039"/>
        <c:axId val="550296127"/>
      </c:scatterChart>
      <c:valAx>
        <c:axId val="550299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6127"/>
        <c:crosses val="autoZero"/>
        <c:crossBetween val="midCat"/>
      </c:valAx>
      <c:valAx>
        <c:axId val="5502961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9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13'!$M$35:$N$35</c:f>
              <c:numCache>
                <c:formatCode>#,##0</c:formatCode>
                <c:ptCount val="2"/>
                <c:pt idx="0">
                  <c:v>290836</c:v>
                </c:pt>
                <c:pt idx="1">
                  <c:v>295727.35359999997</c:v>
                </c:pt>
              </c:numCache>
            </c:numRef>
          </c:yVal>
          <c:smooth val="1"/>
          <c:extLst>
            <c:ext xmlns:c16="http://schemas.microsoft.com/office/drawing/2014/chart" uri="{C3380CC4-5D6E-409C-BE32-E72D297353CC}">
              <c16:uniqueId val="{00000000-7BC5-40A8-942E-C3934E1806D7}"/>
            </c:ext>
          </c:extLst>
        </c:ser>
        <c:dLbls>
          <c:showLegendKey val="0"/>
          <c:showVal val="0"/>
          <c:showCatName val="0"/>
          <c:showSerName val="0"/>
          <c:showPercent val="0"/>
          <c:showBubbleSize val="0"/>
        </c:dLbls>
        <c:axId val="206172239"/>
        <c:axId val="206170575"/>
      </c:scatterChart>
      <c:valAx>
        <c:axId val="2061722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0575"/>
        <c:crosses val="autoZero"/>
        <c:crossBetween val="midCat"/>
      </c:valAx>
      <c:valAx>
        <c:axId val="206170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22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13'!$M$36:$N$36</c:f>
              <c:numCache>
                <c:formatCode>#,##0</c:formatCode>
                <c:ptCount val="2"/>
                <c:pt idx="0">
                  <c:v>608804</c:v>
                </c:pt>
                <c:pt idx="1">
                  <c:v>502844.41759999999</c:v>
                </c:pt>
              </c:numCache>
            </c:numRef>
          </c:yVal>
          <c:smooth val="1"/>
          <c:extLst>
            <c:ext xmlns:c16="http://schemas.microsoft.com/office/drawing/2014/chart" uri="{C3380CC4-5D6E-409C-BE32-E72D297353CC}">
              <c16:uniqueId val="{00000000-8268-4893-A1F5-31ED4C2C3198}"/>
            </c:ext>
          </c:extLst>
        </c:ser>
        <c:dLbls>
          <c:showLegendKey val="0"/>
          <c:showVal val="0"/>
          <c:showCatName val="0"/>
          <c:showSerName val="0"/>
          <c:showPercent val="0"/>
          <c:showBubbleSize val="0"/>
        </c:dLbls>
        <c:axId val="354163023"/>
        <c:axId val="354179247"/>
      </c:scatterChart>
      <c:valAx>
        <c:axId val="35416302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9247"/>
        <c:crosses val="autoZero"/>
        <c:crossBetween val="midCat"/>
      </c:valAx>
      <c:valAx>
        <c:axId val="3541792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630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13'!$M$37:$N$37</c:f>
              <c:numCache>
                <c:formatCode>#,##0</c:formatCode>
                <c:ptCount val="2"/>
                <c:pt idx="0">
                  <c:v>200158</c:v>
                </c:pt>
                <c:pt idx="1">
                  <c:v>172425.42240000001</c:v>
                </c:pt>
              </c:numCache>
            </c:numRef>
          </c:yVal>
          <c:smooth val="1"/>
          <c:extLst>
            <c:ext xmlns:c16="http://schemas.microsoft.com/office/drawing/2014/chart" uri="{C3380CC4-5D6E-409C-BE32-E72D297353CC}">
              <c16:uniqueId val="{00000000-AAA9-478D-BC16-4243E7E60F68}"/>
            </c:ext>
          </c:extLst>
        </c:ser>
        <c:dLbls>
          <c:showLegendKey val="0"/>
          <c:showVal val="0"/>
          <c:showCatName val="0"/>
          <c:showSerName val="0"/>
          <c:showPercent val="0"/>
          <c:showBubbleSize val="0"/>
        </c:dLbls>
        <c:axId val="503984623"/>
        <c:axId val="503984207"/>
      </c:scatterChart>
      <c:valAx>
        <c:axId val="50398462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3984207"/>
        <c:crosses val="autoZero"/>
        <c:crossBetween val="midCat"/>
      </c:valAx>
      <c:valAx>
        <c:axId val="503984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039846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13'!$M$38:$N$38</c:f>
              <c:numCache>
                <c:formatCode>#,##0</c:formatCode>
                <c:ptCount val="2"/>
                <c:pt idx="0">
                  <c:v>584171</c:v>
                </c:pt>
                <c:pt idx="1">
                  <c:v>426412.62719999999</c:v>
                </c:pt>
              </c:numCache>
            </c:numRef>
          </c:yVal>
          <c:smooth val="1"/>
          <c:extLst>
            <c:ext xmlns:c16="http://schemas.microsoft.com/office/drawing/2014/chart" uri="{C3380CC4-5D6E-409C-BE32-E72D297353CC}">
              <c16:uniqueId val="{00000000-0ABD-4783-8B9C-59B2C4364639}"/>
            </c:ext>
          </c:extLst>
        </c:ser>
        <c:dLbls>
          <c:showLegendKey val="0"/>
          <c:showVal val="0"/>
          <c:showCatName val="0"/>
          <c:showSerName val="0"/>
          <c:showPercent val="0"/>
          <c:showBubbleSize val="0"/>
        </c:dLbls>
        <c:axId val="443293839"/>
        <c:axId val="443290927"/>
      </c:scatterChart>
      <c:valAx>
        <c:axId val="4432938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90927"/>
        <c:crosses val="autoZero"/>
        <c:crossBetween val="midCat"/>
      </c:valAx>
      <c:valAx>
        <c:axId val="4432909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938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13'!$M$39:$N$39</c:f>
              <c:numCache>
                <c:formatCode>#,##0</c:formatCode>
                <c:ptCount val="2"/>
                <c:pt idx="0">
                  <c:v>321300</c:v>
                </c:pt>
              </c:numCache>
            </c:numRef>
          </c:yVal>
          <c:smooth val="1"/>
          <c:extLst>
            <c:ext xmlns:c16="http://schemas.microsoft.com/office/drawing/2014/chart" uri="{C3380CC4-5D6E-409C-BE32-E72D297353CC}">
              <c16:uniqueId val="{00000000-DDF2-4EF0-9C69-7B41C38466F4}"/>
            </c:ext>
          </c:extLst>
        </c:ser>
        <c:dLbls>
          <c:showLegendKey val="0"/>
          <c:showVal val="0"/>
          <c:showCatName val="0"/>
          <c:showSerName val="0"/>
          <c:showPercent val="0"/>
          <c:showBubbleSize val="0"/>
        </c:dLbls>
        <c:axId val="437079743"/>
        <c:axId val="437080991"/>
      </c:scatterChart>
      <c:valAx>
        <c:axId val="43707974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7080991"/>
        <c:crosses val="autoZero"/>
        <c:crossBetween val="midCat"/>
      </c:valAx>
      <c:valAx>
        <c:axId val="4370809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70797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13'!$M$40:$N$40</c:f>
              <c:numCache>
                <c:formatCode>#,##0</c:formatCode>
                <c:ptCount val="2"/>
                <c:pt idx="0">
                  <c:v>91273</c:v>
                </c:pt>
                <c:pt idx="1">
                  <c:v>87498.319999999992</c:v>
                </c:pt>
              </c:numCache>
            </c:numRef>
          </c:yVal>
          <c:smooth val="1"/>
          <c:extLst>
            <c:ext xmlns:c16="http://schemas.microsoft.com/office/drawing/2014/chart" uri="{C3380CC4-5D6E-409C-BE32-E72D297353CC}">
              <c16:uniqueId val="{00000000-CF9C-42A3-BAB5-D5857B87C772}"/>
            </c:ext>
          </c:extLst>
        </c:ser>
        <c:dLbls>
          <c:showLegendKey val="0"/>
          <c:showVal val="0"/>
          <c:showCatName val="0"/>
          <c:showSerName val="0"/>
          <c:showPercent val="0"/>
          <c:showBubbleSize val="0"/>
        </c:dLbls>
        <c:axId val="451622895"/>
        <c:axId val="451623727"/>
      </c:scatterChart>
      <c:valAx>
        <c:axId val="4516228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51623727"/>
        <c:crosses val="autoZero"/>
        <c:crossBetween val="midCat"/>
      </c:valAx>
      <c:valAx>
        <c:axId val="4516237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516228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13'!$M$41:$N$41</c:f>
              <c:numCache>
                <c:formatCode>#,##0</c:formatCode>
                <c:ptCount val="2"/>
                <c:pt idx="0">
                  <c:v>102221</c:v>
                </c:pt>
              </c:numCache>
            </c:numRef>
          </c:yVal>
          <c:smooth val="1"/>
          <c:extLst>
            <c:ext xmlns:c16="http://schemas.microsoft.com/office/drawing/2014/chart" uri="{C3380CC4-5D6E-409C-BE32-E72D297353CC}">
              <c16:uniqueId val="{00000000-243C-4DAA-AC44-B075D557A099}"/>
            </c:ext>
          </c:extLst>
        </c:ser>
        <c:dLbls>
          <c:showLegendKey val="0"/>
          <c:showVal val="0"/>
          <c:showCatName val="0"/>
          <c:showSerName val="0"/>
          <c:showPercent val="0"/>
          <c:showBubbleSize val="0"/>
        </c:dLbls>
        <c:axId val="550301119"/>
        <c:axId val="550293631"/>
      </c:scatterChart>
      <c:valAx>
        <c:axId val="5503011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3631"/>
        <c:crosses val="autoZero"/>
        <c:crossBetween val="midCat"/>
      </c:valAx>
      <c:valAx>
        <c:axId val="5502936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3011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13'!$M$42:$N$42</c:f>
              <c:numCache>
                <c:formatCode>#,##0</c:formatCode>
                <c:ptCount val="2"/>
                <c:pt idx="0">
                  <c:v>65688</c:v>
                </c:pt>
              </c:numCache>
            </c:numRef>
          </c:yVal>
          <c:smooth val="1"/>
          <c:extLst>
            <c:ext xmlns:c16="http://schemas.microsoft.com/office/drawing/2014/chart" uri="{C3380CC4-5D6E-409C-BE32-E72D297353CC}">
              <c16:uniqueId val="{00000000-52EA-4833-8845-70D32BECDBFD}"/>
            </c:ext>
          </c:extLst>
        </c:ser>
        <c:dLbls>
          <c:showLegendKey val="0"/>
          <c:showVal val="0"/>
          <c:showCatName val="0"/>
          <c:showSerName val="0"/>
          <c:showPercent val="0"/>
          <c:showBubbleSize val="0"/>
        </c:dLbls>
        <c:axId val="550294047"/>
        <c:axId val="550295295"/>
      </c:scatterChart>
      <c:valAx>
        <c:axId val="550294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5295"/>
        <c:crosses val="autoZero"/>
        <c:crossBetween val="midCat"/>
      </c:valAx>
      <c:valAx>
        <c:axId val="5502952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4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13'!$M$43:$N$43</c:f>
              <c:numCache>
                <c:formatCode>#,##0</c:formatCode>
                <c:ptCount val="2"/>
                <c:pt idx="0">
                  <c:v>555016</c:v>
                </c:pt>
                <c:pt idx="1">
                  <c:v>536520.24159999995</c:v>
                </c:pt>
              </c:numCache>
            </c:numRef>
          </c:yVal>
          <c:smooth val="1"/>
          <c:extLst>
            <c:ext xmlns:c16="http://schemas.microsoft.com/office/drawing/2014/chart" uri="{C3380CC4-5D6E-409C-BE32-E72D297353CC}">
              <c16:uniqueId val="{00000000-222E-408F-AB01-A05B08DEF987}"/>
            </c:ext>
          </c:extLst>
        </c:ser>
        <c:dLbls>
          <c:showLegendKey val="0"/>
          <c:showVal val="0"/>
          <c:showCatName val="0"/>
          <c:showSerName val="0"/>
          <c:showPercent val="0"/>
          <c:showBubbleSize val="0"/>
        </c:dLbls>
        <c:axId val="437081407"/>
        <c:axId val="437079327"/>
      </c:scatterChart>
      <c:valAx>
        <c:axId val="4370814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7079327"/>
        <c:crosses val="autoZero"/>
        <c:crossBetween val="midCat"/>
      </c:valAx>
      <c:valAx>
        <c:axId val="437079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70814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13'!$M$44:$N$44</c:f>
              <c:numCache>
                <c:formatCode>#,##0</c:formatCode>
                <c:ptCount val="2"/>
                <c:pt idx="0">
                  <c:v>84014</c:v>
                </c:pt>
                <c:pt idx="1">
                  <c:v>78748.487999999998</c:v>
                </c:pt>
              </c:numCache>
            </c:numRef>
          </c:yVal>
          <c:smooth val="1"/>
          <c:extLst>
            <c:ext xmlns:c16="http://schemas.microsoft.com/office/drawing/2014/chart" uri="{C3380CC4-5D6E-409C-BE32-E72D297353CC}">
              <c16:uniqueId val="{00000000-A144-496D-A830-8D30A25187EC}"/>
            </c:ext>
          </c:extLst>
        </c:ser>
        <c:dLbls>
          <c:showLegendKey val="0"/>
          <c:showVal val="0"/>
          <c:showCatName val="0"/>
          <c:showSerName val="0"/>
          <c:showPercent val="0"/>
          <c:showBubbleSize val="0"/>
        </c:dLbls>
        <c:axId val="354172591"/>
        <c:axId val="354163855"/>
      </c:scatterChart>
      <c:valAx>
        <c:axId val="3541725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63855"/>
        <c:crosses val="autoZero"/>
        <c:crossBetween val="midCat"/>
      </c:valAx>
      <c:valAx>
        <c:axId val="3541638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25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13'!$M$46:$N$46</c:f>
              <c:numCache>
                <c:formatCode>#,##0</c:formatCode>
                <c:ptCount val="2"/>
                <c:pt idx="0">
                  <c:v>102221</c:v>
                </c:pt>
              </c:numCache>
            </c:numRef>
          </c:yVal>
          <c:smooth val="1"/>
          <c:extLst>
            <c:ext xmlns:c16="http://schemas.microsoft.com/office/drawing/2014/chart" uri="{C3380CC4-5D6E-409C-BE32-E72D297353CC}">
              <c16:uniqueId val="{00000000-69CA-4F56-B24F-FFA59D3B4AD4}"/>
            </c:ext>
          </c:extLst>
        </c:ser>
        <c:dLbls>
          <c:showLegendKey val="0"/>
          <c:showVal val="0"/>
          <c:showCatName val="0"/>
          <c:showSerName val="0"/>
          <c:showPercent val="0"/>
          <c:showBubbleSize val="0"/>
        </c:dLbls>
        <c:axId val="206172239"/>
        <c:axId val="206173903"/>
      </c:scatterChart>
      <c:valAx>
        <c:axId val="2061722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3903"/>
        <c:crosses val="autoZero"/>
        <c:crossBetween val="midCat"/>
      </c:valAx>
      <c:valAx>
        <c:axId val="20617390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22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13'!$M$46:$N$46</c:f>
              <c:numCache>
                <c:formatCode>#,##0</c:formatCode>
                <c:ptCount val="2"/>
                <c:pt idx="0">
                  <c:v>102221</c:v>
                </c:pt>
              </c:numCache>
            </c:numRef>
          </c:yVal>
          <c:smooth val="1"/>
          <c:extLst>
            <c:ext xmlns:c16="http://schemas.microsoft.com/office/drawing/2014/chart" uri="{C3380CC4-5D6E-409C-BE32-E72D297353CC}">
              <c16:uniqueId val="{00000000-D6EC-4BBA-88D2-C03A8DEE669C}"/>
            </c:ext>
          </c:extLst>
        </c:ser>
        <c:dLbls>
          <c:showLegendKey val="0"/>
          <c:showVal val="0"/>
          <c:showCatName val="0"/>
          <c:showSerName val="0"/>
          <c:showPercent val="0"/>
          <c:showBubbleSize val="0"/>
        </c:dLbls>
        <c:axId val="550299039"/>
        <c:axId val="550294047"/>
      </c:scatterChart>
      <c:valAx>
        <c:axId val="550299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550294047"/>
        <c:crosses val="autoZero"/>
        <c:crossBetween val="midCat"/>
      </c:valAx>
      <c:valAx>
        <c:axId val="550294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50299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13'!$M$47:$N$47</c:f>
              <c:numCache>
                <c:formatCode>#,##0</c:formatCode>
                <c:ptCount val="2"/>
                <c:pt idx="0">
                  <c:v>102221</c:v>
                </c:pt>
                <c:pt idx="1">
                  <c:v>99613.471999999994</c:v>
                </c:pt>
              </c:numCache>
            </c:numRef>
          </c:yVal>
          <c:smooth val="1"/>
          <c:extLst>
            <c:ext xmlns:c16="http://schemas.microsoft.com/office/drawing/2014/chart" uri="{C3380CC4-5D6E-409C-BE32-E72D297353CC}">
              <c16:uniqueId val="{00000000-171A-4B8E-9F92-65A1E59A76DB}"/>
            </c:ext>
          </c:extLst>
        </c:ser>
        <c:dLbls>
          <c:showLegendKey val="0"/>
          <c:showVal val="0"/>
          <c:showCatName val="0"/>
          <c:showSerName val="0"/>
          <c:showPercent val="0"/>
          <c:showBubbleSize val="0"/>
        </c:dLbls>
        <c:axId val="606375695"/>
        <c:axId val="606376943"/>
      </c:scatterChart>
      <c:valAx>
        <c:axId val="606375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06376943"/>
        <c:crosses val="autoZero"/>
        <c:crossBetween val="midCat"/>
      </c:valAx>
      <c:valAx>
        <c:axId val="6063769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606375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13'!$M$48:$N$48</c:f>
              <c:numCache>
                <c:formatCode>#,##0</c:formatCode>
                <c:ptCount val="2"/>
                <c:pt idx="0">
                  <c:v>102221</c:v>
                </c:pt>
              </c:numCache>
            </c:numRef>
          </c:yVal>
          <c:smooth val="1"/>
          <c:extLst>
            <c:ext xmlns:c16="http://schemas.microsoft.com/office/drawing/2014/chart" uri="{C3380CC4-5D6E-409C-BE32-E72D297353CC}">
              <c16:uniqueId val="{00000000-C8C9-4201-9CD2-F663F8E37FDD}"/>
            </c:ext>
          </c:extLst>
        </c:ser>
        <c:dLbls>
          <c:showLegendKey val="0"/>
          <c:showVal val="0"/>
          <c:showCatName val="0"/>
          <c:showSerName val="0"/>
          <c:showPercent val="0"/>
          <c:showBubbleSize val="0"/>
        </c:dLbls>
        <c:axId val="499069343"/>
        <c:axId val="499069759"/>
      </c:scatterChart>
      <c:valAx>
        <c:axId val="49906934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9759"/>
        <c:crosses val="autoZero"/>
        <c:crossBetween val="midCat"/>
      </c:valAx>
      <c:valAx>
        <c:axId val="4990697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93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13'!$M$49:$N$49</c:f>
              <c:numCache>
                <c:formatCode>#,##0</c:formatCode>
                <c:ptCount val="2"/>
                <c:pt idx="0">
                  <c:v>68187</c:v>
                </c:pt>
              </c:numCache>
            </c:numRef>
          </c:yVal>
          <c:smooth val="1"/>
          <c:extLst>
            <c:ext xmlns:c16="http://schemas.microsoft.com/office/drawing/2014/chart" uri="{C3380CC4-5D6E-409C-BE32-E72D297353CC}">
              <c16:uniqueId val="{00000000-FA36-440D-BF82-2908D731B1BA}"/>
            </c:ext>
          </c:extLst>
        </c:ser>
        <c:dLbls>
          <c:showLegendKey val="0"/>
          <c:showVal val="0"/>
          <c:showCatName val="0"/>
          <c:showSerName val="0"/>
          <c:showPercent val="0"/>
          <c:showBubbleSize val="0"/>
        </c:dLbls>
        <c:axId val="499068095"/>
        <c:axId val="499067263"/>
      </c:scatterChart>
      <c:valAx>
        <c:axId val="499068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7263"/>
        <c:crosses val="autoZero"/>
        <c:crossBetween val="midCat"/>
      </c:valAx>
      <c:valAx>
        <c:axId val="4990672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8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13'!$M$50:$N$50</c:f>
              <c:numCache>
                <c:formatCode>#,##0</c:formatCode>
                <c:ptCount val="2"/>
                <c:pt idx="0">
                  <c:v>68187</c:v>
                </c:pt>
              </c:numCache>
            </c:numRef>
          </c:yVal>
          <c:smooth val="1"/>
          <c:extLst>
            <c:ext xmlns:c16="http://schemas.microsoft.com/office/drawing/2014/chart" uri="{C3380CC4-5D6E-409C-BE32-E72D297353CC}">
              <c16:uniqueId val="{00000000-CBD9-4C87-96D3-FBD957F533C8}"/>
            </c:ext>
          </c:extLst>
        </c:ser>
        <c:dLbls>
          <c:showLegendKey val="0"/>
          <c:showVal val="0"/>
          <c:showCatName val="0"/>
          <c:showSerName val="0"/>
          <c:showPercent val="0"/>
          <c:showBubbleSize val="0"/>
        </c:dLbls>
        <c:axId val="499072255"/>
        <c:axId val="499066847"/>
      </c:scatterChart>
      <c:valAx>
        <c:axId val="4990722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6847"/>
        <c:crosses val="autoZero"/>
        <c:crossBetween val="midCat"/>
      </c:valAx>
      <c:valAx>
        <c:axId val="4990668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722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13'!$M$51:$N$51</c:f>
              <c:numCache>
                <c:formatCode>#,##0</c:formatCode>
                <c:ptCount val="2"/>
                <c:pt idx="0">
                  <c:v>96152</c:v>
                </c:pt>
                <c:pt idx="1">
                  <c:v>100203.9584</c:v>
                </c:pt>
              </c:numCache>
            </c:numRef>
          </c:yVal>
          <c:smooth val="1"/>
          <c:extLst>
            <c:ext xmlns:c16="http://schemas.microsoft.com/office/drawing/2014/chart" uri="{C3380CC4-5D6E-409C-BE32-E72D297353CC}">
              <c16:uniqueId val="{00000000-E981-4709-8CC9-BEC4D5BDEB97}"/>
            </c:ext>
          </c:extLst>
        </c:ser>
        <c:dLbls>
          <c:showLegendKey val="0"/>
          <c:showVal val="0"/>
          <c:showCatName val="0"/>
          <c:showSerName val="0"/>
          <c:showPercent val="0"/>
          <c:showBubbleSize val="0"/>
        </c:dLbls>
        <c:axId val="499068927"/>
        <c:axId val="499071839"/>
      </c:scatterChart>
      <c:valAx>
        <c:axId val="499068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71839"/>
        <c:crosses val="autoZero"/>
        <c:crossBetween val="midCat"/>
      </c:valAx>
      <c:valAx>
        <c:axId val="4990718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8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13'!$M$52:$N$52</c:f>
              <c:numCache>
                <c:formatCode>#,##0</c:formatCode>
                <c:ptCount val="2"/>
                <c:pt idx="0">
                  <c:v>191114</c:v>
                </c:pt>
                <c:pt idx="1">
                  <c:v>199226.94399999999</c:v>
                </c:pt>
              </c:numCache>
            </c:numRef>
          </c:yVal>
          <c:smooth val="1"/>
          <c:extLst>
            <c:ext xmlns:c16="http://schemas.microsoft.com/office/drawing/2014/chart" uri="{C3380CC4-5D6E-409C-BE32-E72D297353CC}">
              <c16:uniqueId val="{00000000-136A-47C9-8DF8-801248156FCA}"/>
            </c:ext>
          </c:extLst>
        </c:ser>
        <c:dLbls>
          <c:showLegendKey val="0"/>
          <c:showVal val="0"/>
          <c:showCatName val="0"/>
          <c:showSerName val="0"/>
          <c:showPercent val="0"/>
          <c:showBubbleSize val="0"/>
        </c:dLbls>
        <c:axId val="443288847"/>
        <c:axId val="443289263"/>
      </c:scatterChart>
      <c:valAx>
        <c:axId val="443288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89263"/>
        <c:crosses val="autoZero"/>
        <c:crossBetween val="midCat"/>
      </c:valAx>
      <c:valAx>
        <c:axId val="4432892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43288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13'!$M$53:$N$53</c:f>
              <c:numCache>
                <c:formatCode>#,##0</c:formatCode>
                <c:ptCount val="2"/>
                <c:pt idx="0">
                  <c:v>191114</c:v>
                </c:pt>
              </c:numCache>
            </c:numRef>
          </c:yVal>
          <c:smooth val="1"/>
          <c:extLst>
            <c:ext xmlns:c16="http://schemas.microsoft.com/office/drawing/2014/chart" uri="{C3380CC4-5D6E-409C-BE32-E72D297353CC}">
              <c16:uniqueId val="{00000000-A738-4EF6-AAC9-27A3A5D24A33}"/>
            </c:ext>
          </c:extLst>
        </c:ser>
        <c:dLbls>
          <c:showLegendKey val="0"/>
          <c:showVal val="0"/>
          <c:showCatName val="0"/>
          <c:showSerName val="0"/>
          <c:showPercent val="0"/>
          <c:showBubbleSize val="0"/>
        </c:dLbls>
        <c:axId val="436043295"/>
        <c:axId val="436044127"/>
      </c:scatterChart>
      <c:valAx>
        <c:axId val="4360432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6044127"/>
        <c:crosses val="autoZero"/>
        <c:crossBetween val="midCat"/>
      </c:valAx>
      <c:valAx>
        <c:axId val="4360441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60432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13'!$M$54:$N$54</c:f>
              <c:numCache>
                <c:formatCode>#,##0</c:formatCode>
                <c:ptCount val="2"/>
                <c:pt idx="0">
                  <c:v>219079</c:v>
                </c:pt>
              </c:numCache>
            </c:numRef>
          </c:yVal>
          <c:smooth val="1"/>
          <c:extLst>
            <c:ext xmlns:c16="http://schemas.microsoft.com/office/drawing/2014/chart" uri="{C3380CC4-5D6E-409C-BE32-E72D297353CC}">
              <c16:uniqueId val="{00000000-BF63-4E4A-A2E3-B9A5DCBD8757}"/>
            </c:ext>
          </c:extLst>
        </c:ser>
        <c:dLbls>
          <c:showLegendKey val="0"/>
          <c:showVal val="0"/>
          <c:showCatName val="0"/>
          <c:showSerName val="0"/>
          <c:showPercent val="0"/>
          <c:showBubbleSize val="0"/>
        </c:dLbls>
        <c:axId val="594865711"/>
        <c:axId val="594862799"/>
      </c:scatterChart>
      <c:valAx>
        <c:axId val="5948657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94862799"/>
        <c:crosses val="autoZero"/>
        <c:crossBetween val="midCat"/>
      </c:valAx>
      <c:valAx>
        <c:axId val="594862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5948657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13'!$M$55:$N$55</c:f>
              <c:numCache>
                <c:formatCode>#,##0</c:formatCode>
                <c:ptCount val="2"/>
                <c:pt idx="0">
                  <c:v>60928</c:v>
                </c:pt>
              </c:numCache>
            </c:numRef>
          </c:yVal>
          <c:smooth val="1"/>
          <c:extLst>
            <c:ext xmlns:c16="http://schemas.microsoft.com/office/drawing/2014/chart" uri="{C3380CC4-5D6E-409C-BE32-E72D297353CC}">
              <c16:uniqueId val="{00000000-2A20-4D96-A4C8-1A99FA0495BD}"/>
            </c:ext>
          </c:extLst>
        </c:ser>
        <c:dLbls>
          <c:showLegendKey val="0"/>
          <c:showVal val="0"/>
          <c:showCatName val="0"/>
          <c:showSerName val="0"/>
          <c:showPercent val="0"/>
          <c:showBubbleSize val="0"/>
        </c:dLbls>
        <c:axId val="435748351"/>
        <c:axId val="429570671"/>
      </c:scatterChart>
      <c:valAx>
        <c:axId val="4357483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29570671"/>
        <c:crosses val="autoZero"/>
        <c:crossBetween val="midCat"/>
      </c:valAx>
      <c:valAx>
        <c:axId val="4295706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357483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13'!$M$56:$N$56</c:f>
              <c:numCache>
                <c:formatCode>#,##0</c:formatCode>
                <c:ptCount val="2"/>
                <c:pt idx="0">
                  <c:v>65688</c:v>
                </c:pt>
              </c:numCache>
            </c:numRef>
          </c:yVal>
          <c:smooth val="1"/>
          <c:extLst>
            <c:ext xmlns:c16="http://schemas.microsoft.com/office/drawing/2014/chart" uri="{C3380CC4-5D6E-409C-BE32-E72D297353CC}">
              <c16:uniqueId val="{00000000-7B2B-4C5B-ADAA-0C6A18BC7AAD}"/>
            </c:ext>
          </c:extLst>
        </c:ser>
        <c:dLbls>
          <c:showLegendKey val="0"/>
          <c:showVal val="0"/>
          <c:showCatName val="0"/>
          <c:showSerName val="0"/>
          <c:showPercent val="0"/>
          <c:showBubbleSize val="0"/>
        </c:dLbls>
        <c:axId val="417551087"/>
        <c:axId val="417549423"/>
      </c:scatterChart>
      <c:valAx>
        <c:axId val="41755108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7549423"/>
        <c:crosses val="autoZero"/>
        <c:crossBetween val="midCat"/>
      </c:valAx>
      <c:valAx>
        <c:axId val="417549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75510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13'!$M$57:$N$57</c:f>
              <c:numCache>
                <c:formatCode>#,##0</c:formatCode>
                <c:ptCount val="2"/>
                <c:pt idx="0">
                  <c:v>75565</c:v>
                </c:pt>
                <c:pt idx="1">
                  <c:v>74466.895999999993</c:v>
                </c:pt>
              </c:numCache>
            </c:numRef>
          </c:yVal>
          <c:smooth val="1"/>
          <c:extLst>
            <c:ext xmlns:c16="http://schemas.microsoft.com/office/drawing/2014/chart" uri="{C3380CC4-5D6E-409C-BE32-E72D297353CC}">
              <c16:uniqueId val="{00000000-AF8D-4718-A5CA-A5BE94852451}"/>
            </c:ext>
          </c:extLst>
        </c:ser>
        <c:dLbls>
          <c:showLegendKey val="0"/>
          <c:showVal val="0"/>
          <c:showCatName val="0"/>
          <c:showSerName val="0"/>
          <c:showPercent val="0"/>
          <c:showBubbleSize val="0"/>
        </c:dLbls>
        <c:axId val="497426991"/>
        <c:axId val="497425327"/>
      </c:scatterChart>
      <c:valAx>
        <c:axId val="49742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7425327"/>
        <c:crosses val="autoZero"/>
        <c:crossBetween val="midCat"/>
      </c:valAx>
      <c:valAx>
        <c:axId val="497425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742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13'!$M$58:$N$58</c:f>
              <c:numCache>
                <c:formatCode>#,##0</c:formatCode>
                <c:ptCount val="2"/>
                <c:pt idx="0">
                  <c:v>60928</c:v>
                </c:pt>
                <c:pt idx="1">
                  <c:v>63268.015999999996</c:v>
                </c:pt>
              </c:numCache>
            </c:numRef>
          </c:yVal>
          <c:smooth val="1"/>
          <c:extLst>
            <c:ext xmlns:c16="http://schemas.microsoft.com/office/drawing/2014/chart" uri="{C3380CC4-5D6E-409C-BE32-E72D297353CC}">
              <c16:uniqueId val="{00000000-25CB-4EF4-9508-D0CBEC28DEF7}"/>
            </c:ext>
          </c:extLst>
        </c:ser>
        <c:dLbls>
          <c:showLegendKey val="0"/>
          <c:showVal val="0"/>
          <c:showCatName val="0"/>
          <c:showSerName val="0"/>
          <c:showPercent val="0"/>
          <c:showBubbleSize val="0"/>
        </c:dLbls>
        <c:axId val="354173839"/>
        <c:axId val="354180495"/>
      </c:scatterChart>
      <c:valAx>
        <c:axId val="3541738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80495"/>
        <c:crosses val="autoZero"/>
        <c:crossBetween val="midCat"/>
      </c:valAx>
      <c:valAx>
        <c:axId val="354180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38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13'!$M$59:$N$59</c:f>
              <c:numCache>
                <c:formatCode>#,##0</c:formatCode>
                <c:ptCount val="2"/>
                <c:pt idx="0">
                  <c:v>69496</c:v>
                </c:pt>
                <c:pt idx="1">
                  <c:v>68871.980800000005</c:v>
                </c:pt>
              </c:numCache>
            </c:numRef>
          </c:yVal>
          <c:smooth val="1"/>
          <c:extLst>
            <c:ext xmlns:c16="http://schemas.microsoft.com/office/drawing/2014/chart" uri="{C3380CC4-5D6E-409C-BE32-E72D297353CC}">
              <c16:uniqueId val="{00000000-8766-4069-8FCF-2BC200ABD2C2}"/>
            </c:ext>
          </c:extLst>
        </c:ser>
        <c:dLbls>
          <c:showLegendKey val="0"/>
          <c:showVal val="0"/>
          <c:showCatName val="0"/>
          <c:showSerName val="0"/>
          <c:showPercent val="0"/>
          <c:showBubbleSize val="0"/>
        </c:dLbls>
        <c:axId val="417549007"/>
        <c:axId val="417546511"/>
      </c:scatterChart>
      <c:valAx>
        <c:axId val="4175490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7546511"/>
        <c:crosses val="autoZero"/>
        <c:crossBetween val="midCat"/>
      </c:valAx>
      <c:valAx>
        <c:axId val="4175465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75490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13'!$M$60:$N$60</c:f>
              <c:numCache>
                <c:formatCode>#,##0</c:formatCode>
                <c:ptCount val="2"/>
                <c:pt idx="0">
                  <c:v>119238</c:v>
                </c:pt>
              </c:numCache>
            </c:numRef>
          </c:yVal>
          <c:smooth val="1"/>
          <c:extLst>
            <c:ext xmlns:c16="http://schemas.microsoft.com/office/drawing/2014/chart" uri="{C3380CC4-5D6E-409C-BE32-E72D297353CC}">
              <c16:uniqueId val="{00000000-1134-42F5-8274-AC575AB79A95}"/>
            </c:ext>
          </c:extLst>
        </c:ser>
        <c:dLbls>
          <c:showLegendKey val="0"/>
          <c:showVal val="0"/>
          <c:showCatName val="0"/>
          <c:showSerName val="0"/>
          <c:showPercent val="0"/>
          <c:showBubbleSize val="0"/>
        </c:dLbls>
        <c:axId val="354174255"/>
        <c:axId val="354175919"/>
      </c:scatterChart>
      <c:valAx>
        <c:axId val="3541742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5919"/>
        <c:crosses val="autoZero"/>
        <c:crossBetween val="midCat"/>
      </c:valAx>
      <c:valAx>
        <c:axId val="35417591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3541742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13'!$M$61:$N$61</c:f>
              <c:numCache>
                <c:formatCode>#,##0</c:formatCode>
                <c:ptCount val="2"/>
                <c:pt idx="0">
                  <c:v>103768</c:v>
                </c:pt>
              </c:numCache>
            </c:numRef>
          </c:yVal>
          <c:smooth val="1"/>
          <c:extLst>
            <c:ext xmlns:c16="http://schemas.microsoft.com/office/drawing/2014/chart" uri="{C3380CC4-5D6E-409C-BE32-E72D297353CC}">
              <c16:uniqueId val="{00000000-41BE-4D0C-8C52-99C51E75180E}"/>
            </c:ext>
          </c:extLst>
        </c:ser>
        <c:dLbls>
          <c:showLegendKey val="0"/>
          <c:showVal val="0"/>
          <c:showCatName val="0"/>
          <c:showSerName val="0"/>
          <c:showPercent val="0"/>
          <c:showBubbleSize val="0"/>
        </c:dLbls>
        <c:axId val="206173487"/>
        <c:axId val="206168079"/>
      </c:scatterChart>
      <c:valAx>
        <c:axId val="20617348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06168079"/>
        <c:crosses val="autoZero"/>
        <c:crossBetween val="midCat"/>
      </c:valAx>
      <c:valAx>
        <c:axId val="206168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061734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13'!$M$62:$N$62</c:f>
              <c:numCache>
                <c:formatCode>#,##0</c:formatCode>
                <c:ptCount val="2"/>
                <c:pt idx="0">
                  <c:v>77945</c:v>
                </c:pt>
              </c:numCache>
            </c:numRef>
          </c:yVal>
          <c:smooth val="1"/>
          <c:extLst>
            <c:ext xmlns:c16="http://schemas.microsoft.com/office/drawing/2014/chart" uri="{C3380CC4-5D6E-409C-BE32-E72D297353CC}">
              <c16:uniqueId val="{00000000-E608-4B63-9249-7851596FC5CF}"/>
            </c:ext>
          </c:extLst>
        </c:ser>
        <c:dLbls>
          <c:showLegendKey val="0"/>
          <c:showVal val="0"/>
          <c:showCatName val="0"/>
          <c:showSerName val="0"/>
          <c:showPercent val="0"/>
          <c:showBubbleSize val="0"/>
        </c:dLbls>
        <c:axId val="211028271"/>
        <c:axId val="211029519"/>
      </c:scatterChart>
      <c:valAx>
        <c:axId val="2110282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11029519"/>
        <c:crosses val="autoZero"/>
        <c:crossBetween val="midCat"/>
      </c:valAx>
      <c:valAx>
        <c:axId val="21102951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110282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13'!$M$63:$N$63</c:f>
              <c:numCache>
                <c:formatCode>#,##0</c:formatCode>
                <c:ptCount val="2"/>
                <c:pt idx="0">
                  <c:v>105910</c:v>
                </c:pt>
              </c:numCache>
            </c:numRef>
          </c:yVal>
          <c:smooth val="1"/>
          <c:extLst>
            <c:ext xmlns:c16="http://schemas.microsoft.com/office/drawing/2014/chart" uri="{C3380CC4-5D6E-409C-BE32-E72D297353CC}">
              <c16:uniqueId val="{00000000-B23A-4C03-9D7A-34CEEE08BDBE}"/>
            </c:ext>
          </c:extLst>
        </c:ser>
        <c:dLbls>
          <c:showLegendKey val="0"/>
          <c:showVal val="0"/>
          <c:showCatName val="0"/>
          <c:showSerName val="0"/>
          <c:showPercent val="0"/>
          <c:showBubbleSize val="0"/>
        </c:dLbls>
        <c:axId val="499066431"/>
        <c:axId val="499067679"/>
      </c:scatterChart>
      <c:valAx>
        <c:axId val="499066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7679"/>
        <c:crosses val="autoZero"/>
        <c:crossBetween val="midCat"/>
      </c:valAx>
      <c:valAx>
        <c:axId val="4990676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99066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13'!$M$64:$N$64</c:f>
              <c:numCache>
                <c:formatCode>#,##0</c:formatCode>
                <c:ptCount val="2"/>
                <c:pt idx="0">
                  <c:v>105910</c:v>
                </c:pt>
              </c:numCache>
            </c:numRef>
          </c:yVal>
          <c:smooth val="1"/>
          <c:extLst>
            <c:ext xmlns:c16="http://schemas.microsoft.com/office/drawing/2014/chart" uri="{C3380CC4-5D6E-409C-BE32-E72D297353CC}">
              <c16:uniqueId val="{00000000-573A-491B-B72E-57AB8610B026}"/>
            </c:ext>
          </c:extLst>
        </c:ser>
        <c:dLbls>
          <c:showLegendKey val="0"/>
          <c:showVal val="0"/>
          <c:showCatName val="0"/>
          <c:showSerName val="0"/>
          <c:showPercent val="0"/>
          <c:showBubbleSize val="0"/>
        </c:dLbls>
        <c:axId val="417546095"/>
        <c:axId val="417547343"/>
      </c:scatterChart>
      <c:valAx>
        <c:axId val="417546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17547343"/>
        <c:crosses val="autoZero"/>
        <c:crossBetween val="midCat"/>
      </c:valAx>
      <c:valAx>
        <c:axId val="4175473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417546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13'!$M$65:$N$65</c:f>
              <c:numCache>
                <c:formatCode>#,##0</c:formatCode>
                <c:ptCount val="2"/>
                <c:pt idx="0">
                  <c:v>160293</c:v>
                </c:pt>
              </c:numCache>
            </c:numRef>
          </c:yVal>
          <c:smooth val="1"/>
          <c:extLst>
            <c:ext xmlns:c16="http://schemas.microsoft.com/office/drawing/2014/chart" uri="{C3380CC4-5D6E-409C-BE32-E72D297353CC}">
              <c16:uniqueId val="{00000000-FB64-4621-869A-9EF8EB10C738}"/>
            </c:ext>
          </c:extLst>
        </c:ser>
        <c:dLbls>
          <c:showLegendKey val="0"/>
          <c:showVal val="0"/>
          <c:showCatName val="0"/>
          <c:showSerName val="0"/>
          <c:showPercent val="0"/>
          <c:showBubbleSize val="0"/>
        </c:dLbls>
        <c:axId val="437969327"/>
        <c:axId val="437967247"/>
      </c:scatterChart>
      <c:valAx>
        <c:axId val="4379693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37967247"/>
        <c:crosses val="autoZero"/>
        <c:crossBetween val="midCat"/>
      </c:valAx>
      <c:valAx>
        <c:axId val="4379672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379693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13'!$M$66:$N$66</c:f>
              <c:numCache>
                <c:formatCode>#,##0</c:formatCode>
                <c:ptCount val="2"/>
                <c:pt idx="0">
                  <c:v>878696</c:v>
                </c:pt>
              </c:numCache>
            </c:numRef>
          </c:yVal>
          <c:smooth val="1"/>
          <c:extLst>
            <c:ext xmlns:c16="http://schemas.microsoft.com/office/drawing/2014/chart" uri="{C3380CC4-5D6E-409C-BE32-E72D297353CC}">
              <c16:uniqueId val="{00000000-EABE-49AD-A700-E8C25A287786}"/>
            </c:ext>
          </c:extLst>
        </c:ser>
        <c:dLbls>
          <c:showLegendKey val="0"/>
          <c:showVal val="0"/>
          <c:showCatName val="0"/>
          <c:showSerName val="0"/>
          <c:showPercent val="0"/>
          <c:showBubbleSize val="0"/>
        </c:dLbls>
        <c:axId val="158188991"/>
        <c:axId val="158189823"/>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58189823"/>
        <c:crosses val="autoZero"/>
        <c:crossBetween val="midCat"/>
      </c:valAx>
      <c:valAx>
        <c:axId val="1581898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13'!$M$67:$N$67</c:f>
              <c:numCache>
                <c:formatCode>#,##0</c:formatCode>
                <c:ptCount val="2"/>
                <c:pt idx="0">
                  <c:v>110789</c:v>
                </c:pt>
              </c:numCache>
            </c:numRef>
          </c:yVal>
          <c:smooth val="1"/>
          <c:extLst>
            <c:ext xmlns:c16="http://schemas.microsoft.com/office/drawing/2014/chart" uri="{C3380CC4-5D6E-409C-BE32-E72D297353CC}">
              <c16:uniqueId val="{00000000-3F67-4C39-B943-28241ED802B6}"/>
            </c:ext>
          </c:extLst>
        </c:ser>
        <c:dLbls>
          <c:showLegendKey val="0"/>
          <c:showVal val="0"/>
          <c:showCatName val="0"/>
          <c:showSerName val="0"/>
          <c:showPercent val="0"/>
          <c:showBubbleSize val="0"/>
        </c:dLbls>
        <c:axId val="211026607"/>
        <c:axId val="211027855"/>
      </c:scatterChart>
      <c:valAx>
        <c:axId val="2110266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11027855"/>
        <c:crosses val="autoZero"/>
        <c:crossBetween val="midCat"/>
      </c:valAx>
      <c:valAx>
        <c:axId val="2110278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2110266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13'!$M$68:$N$68</c:f>
              <c:numCache>
                <c:formatCode>#,##0</c:formatCode>
                <c:ptCount val="2"/>
                <c:pt idx="0">
                  <c:v>102697</c:v>
                </c:pt>
              </c:numCache>
            </c:numRef>
          </c:yVal>
          <c:smooth val="1"/>
          <c:extLst>
            <c:ext xmlns:c16="http://schemas.microsoft.com/office/drawing/2014/chart" uri="{C3380CC4-5D6E-409C-BE32-E72D297353CC}">
              <c16:uniqueId val="{00000000-6349-496A-99A6-C2A471594616}"/>
            </c:ext>
          </c:extLst>
        </c:ser>
        <c:dLbls>
          <c:showLegendKey val="0"/>
          <c:showVal val="0"/>
          <c:showCatName val="0"/>
          <c:showSerName val="0"/>
          <c:showPercent val="0"/>
          <c:showBubbleSize val="0"/>
        </c:dLbls>
        <c:axId val="160075919"/>
        <c:axId val="160077167"/>
      </c:scatterChart>
      <c:valAx>
        <c:axId val="1600759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60077167"/>
        <c:crosses val="autoZero"/>
        <c:crossBetween val="midCat"/>
      </c:valAx>
      <c:valAx>
        <c:axId val="1600771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600759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14'!$H$5:$I$5</c:f>
              <c:numCache>
                <c:formatCode>#,##0</c:formatCode>
                <c:ptCount val="2"/>
                <c:pt idx="0">
                  <c:v>1076950</c:v>
                </c:pt>
                <c:pt idx="1">
                  <c:v>1102478.8319999999</c:v>
                </c:pt>
              </c:numCache>
            </c:numRef>
          </c:yVal>
          <c:smooth val="1"/>
          <c:extLst>
            <c:ext xmlns:c16="http://schemas.microsoft.com/office/drawing/2014/chart" uri="{C3380CC4-5D6E-409C-BE32-E72D297353CC}">
              <c16:uniqueId val="{00000000-009F-4A65-A17E-92201918EB09}"/>
            </c:ext>
          </c:extLst>
        </c:ser>
        <c:dLbls>
          <c:showLegendKey val="0"/>
          <c:showVal val="0"/>
          <c:showCatName val="0"/>
          <c:showSerName val="0"/>
          <c:showPercent val="0"/>
          <c:showBubbleSize val="0"/>
        </c:dLbls>
        <c:axId val="1118458447"/>
        <c:axId val="1118478415"/>
      </c:scatterChart>
      <c:valAx>
        <c:axId val="11184584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78415"/>
        <c:crosses val="autoZero"/>
        <c:crossBetween val="midCat"/>
      </c:valAx>
      <c:valAx>
        <c:axId val="111847841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584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15'!$N$5:$Q$5</c:f>
              <c:numCache>
                <c:formatCode>#,##0</c:formatCode>
                <c:ptCount val="4"/>
                <c:pt idx="0">
                  <c:v>904400</c:v>
                </c:pt>
                <c:pt idx="1">
                  <c:v>474810</c:v>
                </c:pt>
                <c:pt idx="3">
                  <c:v>339360</c:v>
                </c:pt>
              </c:numCache>
            </c:numRef>
          </c:yVal>
          <c:smooth val="1"/>
          <c:extLst>
            <c:ext xmlns:c16="http://schemas.microsoft.com/office/drawing/2014/chart" uri="{C3380CC4-5D6E-409C-BE32-E72D297353CC}">
              <c16:uniqueId val="{00000000-03BA-432B-8A55-730B29A5E3A3}"/>
            </c:ext>
          </c:extLst>
        </c:ser>
        <c:dLbls>
          <c:showLegendKey val="0"/>
          <c:showVal val="0"/>
          <c:showCatName val="0"/>
          <c:showSerName val="0"/>
          <c:showPercent val="0"/>
          <c:showBubbleSize val="0"/>
        </c:dLbls>
        <c:axId val="1062985727"/>
        <c:axId val="1062991551"/>
      </c:scatterChart>
      <c:valAx>
        <c:axId val="10629857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062991551"/>
        <c:crosses val="autoZero"/>
        <c:crossBetween val="midCat"/>
      </c:valAx>
      <c:valAx>
        <c:axId val="1062991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0629857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15'!$N$6:$Q$6</c:f>
              <c:numCache>
                <c:formatCode>#,##0</c:formatCode>
                <c:ptCount val="4"/>
                <c:pt idx="0">
                  <c:v>5687010</c:v>
                </c:pt>
                <c:pt idx="1">
                  <c:v>3094000</c:v>
                </c:pt>
                <c:pt idx="2" formatCode="#,##0.00">
                  <c:v>3634113.63</c:v>
                </c:pt>
                <c:pt idx="3">
                  <c:v>2409456</c:v>
                </c:pt>
              </c:numCache>
            </c:numRef>
          </c:yVal>
          <c:smooth val="1"/>
          <c:extLst>
            <c:ext xmlns:c16="http://schemas.microsoft.com/office/drawing/2014/chart" uri="{C3380CC4-5D6E-409C-BE32-E72D297353CC}">
              <c16:uniqueId val="{00000000-233E-416D-8802-3943BD624BAA}"/>
            </c:ext>
          </c:extLst>
        </c:ser>
        <c:dLbls>
          <c:showLegendKey val="0"/>
          <c:showVal val="0"/>
          <c:showCatName val="0"/>
          <c:showSerName val="0"/>
          <c:showPercent val="0"/>
          <c:showBubbleSize val="0"/>
        </c:dLbls>
        <c:axId val="1118482991"/>
        <c:axId val="1118481327"/>
      </c:scatterChart>
      <c:valAx>
        <c:axId val="1118482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81327"/>
        <c:crosses val="autoZero"/>
        <c:crossBetween val="midCat"/>
      </c:valAx>
      <c:valAx>
        <c:axId val="1118481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118482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15'!$N$7:$Q$7</c:f>
              <c:numCache>
                <c:formatCode>#,##0</c:formatCode>
                <c:ptCount val="4"/>
                <c:pt idx="0">
                  <c:v>1875440</c:v>
                </c:pt>
                <c:pt idx="1">
                  <c:v>2516850</c:v>
                </c:pt>
                <c:pt idx="2" formatCode="#,##0.00">
                  <c:v>3094987.6999999997</c:v>
                </c:pt>
              </c:numCache>
            </c:numRef>
          </c:yVal>
          <c:smooth val="1"/>
          <c:extLst>
            <c:ext xmlns:c16="http://schemas.microsoft.com/office/drawing/2014/chart" uri="{C3380CC4-5D6E-409C-BE32-E72D297353CC}">
              <c16:uniqueId val="{00000000-386F-466F-AECC-33D932345C4E}"/>
            </c:ext>
          </c:extLst>
        </c:ser>
        <c:dLbls>
          <c:showLegendKey val="0"/>
          <c:showVal val="0"/>
          <c:showCatName val="0"/>
          <c:showSerName val="0"/>
          <c:showPercent val="0"/>
          <c:showBubbleSize val="0"/>
        </c:dLbls>
        <c:axId val="1357054063"/>
        <c:axId val="1357055311"/>
      </c:scatterChart>
      <c:valAx>
        <c:axId val="13570540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357055311"/>
        <c:crosses val="autoZero"/>
        <c:crossBetween val="midCat"/>
      </c:valAx>
      <c:valAx>
        <c:axId val="13570553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ES"/>
          </a:p>
        </c:txPr>
        <c:crossAx val="13570540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s>
</file>

<file path=xl/drawings/_rels/drawing2.xml.rels><?xml version="1.0" encoding="UTF-8" standalone="yes"?>
<Relationships xmlns="http://schemas.openxmlformats.org/package/2006/relationships"><Relationship Id="rId8" Type="http://schemas.openxmlformats.org/officeDocument/2006/relationships/chart" Target="../charts/chart38.xml"/><Relationship Id="rId13" Type="http://schemas.openxmlformats.org/officeDocument/2006/relationships/chart" Target="../charts/chart43.xml"/><Relationship Id="rId18" Type="http://schemas.openxmlformats.org/officeDocument/2006/relationships/chart" Target="../charts/chart48.xml"/><Relationship Id="rId3" Type="http://schemas.openxmlformats.org/officeDocument/2006/relationships/chart" Target="../charts/chart33.xml"/><Relationship Id="rId21" Type="http://schemas.openxmlformats.org/officeDocument/2006/relationships/chart" Target="../charts/chart51.xml"/><Relationship Id="rId7" Type="http://schemas.openxmlformats.org/officeDocument/2006/relationships/chart" Target="../charts/chart37.xml"/><Relationship Id="rId12" Type="http://schemas.openxmlformats.org/officeDocument/2006/relationships/chart" Target="../charts/chart42.xml"/><Relationship Id="rId17" Type="http://schemas.openxmlformats.org/officeDocument/2006/relationships/chart" Target="../charts/chart47.xml"/><Relationship Id="rId25" Type="http://schemas.openxmlformats.org/officeDocument/2006/relationships/chart" Target="../charts/chart55.xml"/><Relationship Id="rId2" Type="http://schemas.openxmlformats.org/officeDocument/2006/relationships/chart" Target="../charts/chart32.xml"/><Relationship Id="rId16" Type="http://schemas.openxmlformats.org/officeDocument/2006/relationships/chart" Target="../charts/chart46.xml"/><Relationship Id="rId20" Type="http://schemas.openxmlformats.org/officeDocument/2006/relationships/chart" Target="../charts/chart50.xml"/><Relationship Id="rId1" Type="http://schemas.openxmlformats.org/officeDocument/2006/relationships/chart" Target="../charts/chart31.xml"/><Relationship Id="rId6" Type="http://schemas.openxmlformats.org/officeDocument/2006/relationships/chart" Target="../charts/chart36.xml"/><Relationship Id="rId11" Type="http://schemas.openxmlformats.org/officeDocument/2006/relationships/chart" Target="../charts/chart41.xml"/><Relationship Id="rId24" Type="http://schemas.openxmlformats.org/officeDocument/2006/relationships/chart" Target="../charts/chart54.xml"/><Relationship Id="rId5" Type="http://schemas.openxmlformats.org/officeDocument/2006/relationships/chart" Target="../charts/chart35.xml"/><Relationship Id="rId15" Type="http://schemas.openxmlformats.org/officeDocument/2006/relationships/chart" Target="../charts/chart45.xml"/><Relationship Id="rId23" Type="http://schemas.openxmlformats.org/officeDocument/2006/relationships/chart" Target="../charts/chart53.xml"/><Relationship Id="rId10" Type="http://schemas.openxmlformats.org/officeDocument/2006/relationships/chart" Target="../charts/chart40.xml"/><Relationship Id="rId19" Type="http://schemas.openxmlformats.org/officeDocument/2006/relationships/chart" Target="../charts/chart49.xml"/><Relationship Id="rId4" Type="http://schemas.openxmlformats.org/officeDocument/2006/relationships/chart" Target="../charts/chart34.xml"/><Relationship Id="rId9" Type="http://schemas.openxmlformats.org/officeDocument/2006/relationships/chart" Target="../charts/chart39.xml"/><Relationship Id="rId14" Type="http://schemas.openxmlformats.org/officeDocument/2006/relationships/chart" Target="../charts/chart44.xml"/><Relationship Id="rId22" Type="http://schemas.openxmlformats.org/officeDocument/2006/relationships/chart" Target="../charts/chart52.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8.xml"/><Relationship Id="rId2" Type="http://schemas.openxmlformats.org/officeDocument/2006/relationships/chart" Target="../charts/chart57.xml"/><Relationship Id="rId1" Type="http://schemas.openxmlformats.org/officeDocument/2006/relationships/chart" Target="../charts/chart56.xml"/><Relationship Id="rId5" Type="http://schemas.openxmlformats.org/officeDocument/2006/relationships/chart" Target="../charts/chart60.xml"/><Relationship Id="rId4" Type="http://schemas.openxmlformats.org/officeDocument/2006/relationships/chart" Target="../charts/chart59.xml"/></Relationships>
</file>

<file path=xl/drawings/_rels/drawing4.xml.rels><?xml version="1.0" encoding="UTF-8" standalone="yes"?>
<Relationships xmlns="http://schemas.openxmlformats.org/package/2006/relationships"><Relationship Id="rId8" Type="http://schemas.openxmlformats.org/officeDocument/2006/relationships/chart" Target="../charts/chart68.xml"/><Relationship Id="rId3" Type="http://schemas.openxmlformats.org/officeDocument/2006/relationships/chart" Target="../charts/chart63.xml"/><Relationship Id="rId7" Type="http://schemas.openxmlformats.org/officeDocument/2006/relationships/chart" Target="../charts/chart67.xml"/><Relationship Id="rId2" Type="http://schemas.openxmlformats.org/officeDocument/2006/relationships/chart" Target="../charts/chart62.xml"/><Relationship Id="rId1" Type="http://schemas.openxmlformats.org/officeDocument/2006/relationships/chart" Target="../charts/chart61.xml"/><Relationship Id="rId6" Type="http://schemas.openxmlformats.org/officeDocument/2006/relationships/chart" Target="../charts/chart66.xml"/><Relationship Id="rId5" Type="http://schemas.openxmlformats.org/officeDocument/2006/relationships/chart" Target="../charts/chart65.xml"/><Relationship Id="rId4" Type="http://schemas.openxmlformats.org/officeDocument/2006/relationships/chart" Target="../charts/chart64.xml"/><Relationship Id="rId9"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chart" Target="../charts/chart70.xml"/><Relationship Id="rId1" Type="http://schemas.openxmlformats.org/officeDocument/2006/relationships/chart" Target="../charts/chart69.xml"/></Relationships>
</file>

<file path=xl/drawings/_rels/drawing6.xml.rels><?xml version="1.0" encoding="UTF-8" standalone="yes"?>
<Relationships xmlns="http://schemas.openxmlformats.org/package/2006/relationships"><Relationship Id="rId2" Type="http://schemas.openxmlformats.org/officeDocument/2006/relationships/chart" Target="../charts/chart72.xml"/><Relationship Id="rId1" Type="http://schemas.openxmlformats.org/officeDocument/2006/relationships/chart" Target="../charts/chart71.xml"/></Relationships>
</file>

<file path=xl/drawings/_rels/drawing7.xml.rels><?xml version="1.0" encoding="UTF-8" standalone="yes"?>
<Relationships xmlns="http://schemas.openxmlformats.org/package/2006/relationships"><Relationship Id="rId3" Type="http://schemas.openxmlformats.org/officeDocument/2006/relationships/chart" Target="../charts/chart75.xml"/><Relationship Id="rId2" Type="http://schemas.openxmlformats.org/officeDocument/2006/relationships/chart" Target="../charts/chart74.xml"/><Relationship Id="rId1" Type="http://schemas.openxmlformats.org/officeDocument/2006/relationships/chart" Target="../charts/chart73.xml"/><Relationship Id="rId4" Type="http://schemas.openxmlformats.org/officeDocument/2006/relationships/chart" Target="../charts/chart7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79.xml"/><Relationship Id="rId2" Type="http://schemas.openxmlformats.org/officeDocument/2006/relationships/chart" Target="../charts/chart78.xml"/><Relationship Id="rId1" Type="http://schemas.openxmlformats.org/officeDocument/2006/relationships/chart" Target="../charts/chart77.xml"/><Relationship Id="rId5" Type="http://schemas.openxmlformats.org/officeDocument/2006/relationships/chart" Target="../charts/chart81.xml"/><Relationship Id="rId4" Type="http://schemas.openxmlformats.org/officeDocument/2006/relationships/chart" Target="../charts/chart80.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2.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5.xml"/></Relationships>
</file>

<file path=xl/drawings/_rels/drawing13.xml.rels><?xml version="1.0" encoding="UTF-8" standalone="yes"?>
<Relationships xmlns="http://schemas.openxmlformats.org/package/2006/relationships"><Relationship Id="rId13" Type="http://schemas.openxmlformats.org/officeDocument/2006/relationships/chart" Target="../charts/chart98.xml"/><Relationship Id="rId18" Type="http://schemas.openxmlformats.org/officeDocument/2006/relationships/chart" Target="../charts/chart103.xml"/><Relationship Id="rId26" Type="http://schemas.openxmlformats.org/officeDocument/2006/relationships/chart" Target="../charts/chart111.xml"/><Relationship Id="rId39" Type="http://schemas.openxmlformats.org/officeDocument/2006/relationships/chart" Target="../charts/chart124.xml"/><Relationship Id="rId21" Type="http://schemas.openxmlformats.org/officeDocument/2006/relationships/chart" Target="../charts/chart106.xml"/><Relationship Id="rId34" Type="http://schemas.openxmlformats.org/officeDocument/2006/relationships/chart" Target="../charts/chart119.xml"/><Relationship Id="rId42" Type="http://schemas.openxmlformats.org/officeDocument/2006/relationships/chart" Target="../charts/chart127.xml"/><Relationship Id="rId47" Type="http://schemas.openxmlformats.org/officeDocument/2006/relationships/chart" Target="../charts/chart132.xml"/><Relationship Id="rId50" Type="http://schemas.openxmlformats.org/officeDocument/2006/relationships/chart" Target="../charts/chart135.xml"/><Relationship Id="rId55" Type="http://schemas.openxmlformats.org/officeDocument/2006/relationships/chart" Target="../charts/chart140.xml"/><Relationship Id="rId63" Type="http://schemas.openxmlformats.org/officeDocument/2006/relationships/chart" Target="../charts/chart148.xml"/><Relationship Id="rId7" Type="http://schemas.openxmlformats.org/officeDocument/2006/relationships/chart" Target="../charts/chart92.xml"/><Relationship Id="rId2" Type="http://schemas.openxmlformats.org/officeDocument/2006/relationships/chart" Target="../charts/chart87.xml"/><Relationship Id="rId16" Type="http://schemas.openxmlformats.org/officeDocument/2006/relationships/chart" Target="../charts/chart101.xml"/><Relationship Id="rId29" Type="http://schemas.openxmlformats.org/officeDocument/2006/relationships/chart" Target="../charts/chart114.xml"/><Relationship Id="rId11" Type="http://schemas.openxmlformats.org/officeDocument/2006/relationships/chart" Target="../charts/chart96.xml"/><Relationship Id="rId24" Type="http://schemas.openxmlformats.org/officeDocument/2006/relationships/chart" Target="../charts/chart109.xml"/><Relationship Id="rId32" Type="http://schemas.openxmlformats.org/officeDocument/2006/relationships/chart" Target="../charts/chart117.xml"/><Relationship Id="rId37" Type="http://schemas.openxmlformats.org/officeDocument/2006/relationships/chart" Target="../charts/chart122.xml"/><Relationship Id="rId40" Type="http://schemas.openxmlformats.org/officeDocument/2006/relationships/chart" Target="../charts/chart125.xml"/><Relationship Id="rId45" Type="http://schemas.openxmlformats.org/officeDocument/2006/relationships/chart" Target="../charts/chart130.xml"/><Relationship Id="rId53" Type="http://schemas.openxmlformats.org/officeDocument/2006/relationships/chart" Target="../charts/chart138.xml"/><Relationship Id="rId58" Type="http://schemas.openxmlformats.org/officeDocument/2006/relationships/chart" Target="../charts/chart143.xml"/><Relationship Id="rId5" Type="http://schemas.openxmlformats.org/officeDocument/2006/relationships/chart" Target="../charts/chart90.xml"/><Relationship Id="rId61" Type="http://schemas.openxmlformats.org/officeDocument/2006/relationships/chart" Target="../charts/chart146.xml"/><Relationship Id="rId19" Type="http://schemas.openxmlformats.org/officeDocument/2006/relationships/chart" Target="../charts/chart104.xml"/><Relationship Id="rId14" Type="http://schemas.openxmlformats.org/officeDocument/2006/relationships/chart" Target="../charts/chart99.xml"/><Relationship Id="rId22" Type="http://schemas.openxmlformats.org/officeDocument/2006/relationships/chart" Target="../charts/chart107.xml"/><Relationship Id="rId27" Type="http://schemas.openxmlformats.org/officeDocument/2006/relationships/chart" Target="../charts/chart112.xml"/><Relationship Id="rId30" Type="http://schemas.openxmlformats.org/officeDocument/2006/relationships/chart" Target="../charts/chart115.xml"/><Relationship Id="rId35" Type="http://schemas.openxmlformats.org/officeDocument/2006/relationships/chart" Target="../charts/chart120.xml"/><Relationship Id="rId43" Type="http://schemas.openxmlformats.org/officeDocument/2006/relationships/chart" Target="../charts/chart128.xml"/><Relationship Id="rId48" Type="http://schemas.openxmlformats.org/officeDocument/2006/relationships/chart" Target="../charts/chart133.xml"/><Relationship Id="rId56" Type="http://schemas.openxmlformats.org/officeDocument/2006/relationships/chart" Target="../charts/chart141.xml"/><Relationship Id="rId8" Type="http://schemas.openxmlformats.org/officeDocument/2006/relationships/chart" Target="../charts/chart93.xml"/><Relationship Id="rId51" Type="http://schemas.openxmlformats.org/officeDocument/2006/relationships/chart" Target="../charts/chart136.xml"/><Relationship Id="rId3" Type="http://schemas.openxmlformats.org/officeDocument/2006/relationships/chart" Target="../charts/chart88.xml"/><Relationship Id="rId12" Type="http://schemas.openxmlformats.org/officeDocument/2006/relationships/chart" Target="../charts/chart97.xml"/><Relationship Id="rId17" Type="http://schemas.openxmlformats.org/officeDocument/2006/relationships/chart" Target="../charts/chart102.xml"/><Relationship Id="rId25" Type="http://schemas.openxmlformats.org/officeDocument/2006/relationships/chart" Target="../charts/chart110.xml"/><Relationship Id="rId33" Type="http://schemas.openxmlformats.org/officeDocument/2006/relationships/chart" Target="../charts/chart118.xml"/><Relationship Id="rId38" Type="http://schemas.openxmlformats.org/officeDocument/2006/relationships/chart" Target="../charts/chart123.xml"/><Relationship Id="rId46" Type="http://schemas.openxmlformats.org/officeDocument/2006/relationships/chart" Target="../charts/chart131.xml"/><Relationship Id="rId59" Type="http://schemas.openxmlformats.org/officeDocument/2006/relationships/chart" Target="../charts/chart144.xml"/><Relationship Id="rId20" Type="http://schemas.openxmlformats.org/officeDocument/2006/relationships/chart" Target="../charts/chart105.xml"/><Relationship Id="rId41" Type="http://schemas.openxmlformats.org/officeDocument/2006/relationships/chart" Target="../charts/chart126.xml"/><Relationship Id="rId54" Type="http://schemas.openxmlformats.org/officeDocument/2006/relationships/chart" Target="../charts/chart139.xml"/><Relationship Id="rId62" Type="http://schemas.openxmlformats.org/officeDocument/2006/relationships/chart" Target="../charts/chart147.xml"/><Relationship Id="rId1" Type="http://schemas.openxmlformats.org/officeDocument/2006/relationships/chart" Target="../charts/chart86.xml"/><Relationship Id="rId6" Type="http://schemas.openxmlformats.org/officeDocument/2006/relationships/chart" Target="../charts/chart91.xml"/><Relationship Id="rId15" Type="http://schemas.openxmlformats.org/officeDocument/2006/relationships/chart" Target="../charts/chart100.xml"/><Relationship Id="rId23" Type="http://schemas.openxmlformats.org/officeDocument/2006/relationships/chart" Target="../charts/chart108.xml"/><Relationship Id="rId28" Type="http://schemas.openxmlformats.org/officeDocument/2006/relationships/chart" Target="../charts/chart113.xml"/><Relationship Id="rId36" Type="http://schemas.openxmlformats.org/officeDocument/2006/relationships/chart" Target="../charts/chart121.xml"/><Relationship Id="rId49" Type="http://schemas.openxmlformats.org/officeDocument/2006/relationships/chart" Target="../charts/chart134.xml"/><Relationship Id="rId57" Type="http://schemas.openxmlformats.org/officeDocument/2006/relationships/chart" Target="../charts/chart142.xml"/><Relationship Id="rId10" Type="http://schemas.openxmlformats.org/officeDocument/2006/relationships/chart" Target="../charts/chart95.xml"/><Relationship Id="rId31" Type="http://schemas.openxmlformats.org/officeDocument/2006/relationships/chart" Target="../charts/chart116.xml"/><Relationship Id="rId44" Type="http://schemas.openxmlformats.org/officeDocument/2006/relationships/chart" Target="../charts/chart129.xml"/><Relationship Id="rId52" Type="http://schemas.openxmlformats.org/officeDocument/2006/relationships/chart" Target="../charts/chart137.xml"/><Relationship Id="rId60" Type="http://schemas.openxmlformats.org/officeDocument/2006/relationships/chart" Target="../charts/chart145.xml"/><Relationship Id="rId4" Type="http://schemas.openxmlformats.org/officeDocument/2006/relationships/chart" Target="../charts/chart89.xml"/><Relationship Id="rId9" Type="http://schemas.openxmlformats.org/officeDocument/2006/relationships/chart" Target="../charts/chart94.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9.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152.xml"/><Relationship Id="rId2" Type="http://schemas.openxmlformats.org/officeDocument/2006/relationships/chart" Target="../charts/chart151.xml"/><Relationship Id="rId1" Type="http://schemas.openxmlformats.org/officeDocument/2006/relationships/chart" Target="../charts/chart150.xml"/></Relationships>
</file>

<file path=xl/drawings/drawing1.xml><?xml version="1.0" encoding="utf-8"?>
<xdr:wsDr xmlns:xdr="http://schemas.openxmlformats.org/drawingml/2006/spreadsheetDrawing" xmlns:a="http://schemas.openxmlformats.org/drawingml/2006/main">
  <xdr:twoCellAnchor>
    <xdr:from>
      <xdr:col>24</xdr:col>
      <xdr:colOff>291353</xdr:colOff>
      <xdr:row>5</xdr:row>
      <xdr:rowOff>179294</xdr:rowOff>
    </xdr:from>
    <xdr:to>
      <xdr:col>24</xdr:col>
      <xdr:colOff>3227294</xdr:colOff>
      <xdr:row>5</xdr:row>
      <xdr:rowOff>1703294</xdr:rowOff>
    </xdr:to>
    <xdr:graphicFrame macro="">
      <xdr:nvGraphicFramePr>
        <xdr:cNvPr id="35" name="Gráfico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280147</xdr:colOff>
      <xdr:row>6</xdr:row>
      <xdr:rowOff>67235</xdr:rowOff>
    </xdr:from>
    <xdr:to>
      <xdr:col>24</xdr:col>
      <xdr:colOff>3216088</xdr:colOff>
      <xdr:row>6</xdr:row>
      <xdr:rowOff>1647265</xdr:rowOff>
    </xdr:to>
    <xdr:graphicFrame macro="">
      <xdr:nvGraphicFramePr>
        <xdr:cNvPr id="37" name="Gráfico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324971</xdr:colOff>
      <xdr:row>8</xdr:row>
      <xdr:rowOff>67234</xdr:rowOff>
    </xdr:from>
    <xdr:to>
      <xdr:col>24</xdr:col>
      <xdr:colOff>3260912</xdr:colOff>
      <xdr:row>8</xdr:row>
      <xdr:rowOff>1591235</xdr:rowOff>
    </xdr:to>
    <xdr:graphicFrame macro="">
      <xdr:nvGraphicFramePr>
        <xdr:cNvPr id="42" name="Gráfico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308161</xdr:colOff>
      <xdr:row>7</xdr:row>
      <xdr:rowOff>100853</xdr:rowOff>
    </xdr:from>
    <xdr:to>
      <xdr:col>24</xdr:col>
      <xdr:colOff>3204882</xdr:colOff>
      <xdr:row>7</xdr:row>
      <xdr:rowOff>1658471</xdr:rowOff>
    </xdr:to>
    <xdr:graphicFrame macro="">
      <xdr:nvGraphicFramePr>
        <xdr:cNvPr id="44" name="Gráfico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375396</xdr:colOff>
      <xdr:row>9</xdr:row>
      <xdr:rowOff>67236</xdr:rowOff>
    </xdr:from>
    <xdr:to>
      <xdr:col>24</xdr:col>
      <xdr:colOff>3272118</xdr:colOff>
      <xdr:row>9</xdr:row>
      <xdr:rowOff>1669677</xdr:rowOff>
    </xdr:to>
    <xdr:graphicFrame macro="">
      <xdr:nvGraphicFramePr>
        <xdr:cNvPr id="45" name="Gráfico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24</xdr:col>
      <xdr:colOff>380999</xdr:colOff>
      <xdr:row>10</xdr:row>
      <xdr:rowOff>201706</xdr:rowOff>
    </xdr:from>
    <xdr:to>
      <xdr:col>24</xdr:col>
      <xdr:colOff>3294528</xdr:colOff>
      <xdr:row>10</xdr:row>
      <xdr:rowOff>1680882</xdr:rowOff>
    </xdr:to>
    <xdr:graphicFrame macro="">
      <xdr:nvGraphicFramePr>
        <xdr:cNvPr id="47" name="Gráfico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24</xdr:col>
      <xdr:colOff>414618</xdr:colOff>
      <xdr:row>11</xdr:row>
      <xdr:rowOff>212912</xdr:rowOff>
    </xdr:from>
    <xdr:to>
      <xdr:col>24</xdr:col>
      <xdr:colOff>3350559</xdr:colOff>
      <xdr:row>11</xdr:row>
      <xdr:rowOff>1629334</xdr:rowOff>
    </xdr:to>
    <xdr:graphicFrame macro="">
      <xdr:nvGraphicFramePr>
        <xdr:cNvPr id="48" name="Gráfico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381000</xdr:colOff>
      <xdr:row>12</xdr:row>
      <xdr:rowOff>78442</xdr:rowOff>
    </xdr:from>
    <xdr:to>
      <xdr:col>24</xdr:col>
      <xdr:colOff>3361765</xdr:colOff>
      <xdr:row>12</xdr:row>
      <xdr:rowOff>1685364</xdr:rowOff>
    </xdr:to>
    <xdr:graphicFrame macro="">
      <xdr:nvGraphicFramePr>
        <xdr:cNvPr id="49" name="Gráfico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24</xdr:col>
      <xdr:colOff>414618</xdr:colOff>
      <xdr:row>13</xdr:row>
      <xdr:rowOff>100853</xdr:rowOff>
    </xdr:from>
    <xdr:to>
      <xdr:col>24</xdr:col>
      <xdr:colOff>3238500</xdr:colOff>
      <xdr:row>13</xdr:row>
      <xdr:rowOff>1658471</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24</xdr:col>
      <xdr:colOff>302559</xdr:colOff>
      <xdr:row>14</xdr:row>
      <xdr:rowOff>112059</xdr:rowOff>
    </xdr:from>
    <xdr:to>
      <xdr:col>24</xdr:col>
      <xdr:colOff>3249706</xdr:colOff>
      <xdr:row>14</xdr:row>
      <xdr:rowOff>1680883</xdr:rowOff>
    </xdr:to>
    <xdr:graphicFrame macro="">
      <xdr:nvGraphicFramePr>
        <xdr:cNvPr id="51" name="Gráfico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268942</xdr:colOff>
      <xdr:row>15</xdr:row>
      <xdr:rowOff>112058</xdr:rowOff>
    </xdr:from>
    <xdr:to>
      <xdr:col>24</xdr:col>
      <xdr:colOff>3249706</xdr:colOff>
      <xdr:row>15</xdr:row>
      <xdr:rowOff>1647263</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24</xdr:col>
      <xdr:colOff>268943</xdr:colOff>
      <xdr:row>16</xdr:row>
      <xdr:rowOff>134471</xdr:rowOff>
    </xdr:from>
    <xdr:to>
      <xdr:col>24</xdr:col>
      <xdr:colOff>3249707</xdr:colOff>
      <xdr:row>16</xdr:row>
      <xdr:rowOff>1613647</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24</xdr:col>
      <xdr:colOff>291352</xdr:colOff>
      <xdr:row>17</xdr:row>
      <xdr:rowOff>89647</xdr:rowOff>
    </xdr:from>
    <xdr:to>
      <xdr:col>24</xdr:col>
      <xdr:colOff>3294529</xdr:colOff>
      <xdr:row>17</xdr:row>
      <xdr:rowOff>1602441</xdr:rowOff>
    </xdr:to>
    <xdr:graphicFrame macro="">
      <xdr:nvGraphicFramePr>
        <xdr:cNvPr id="55" name="Gráfico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24</xdr:col>
      <xdr:colOff>313764</xdr:colOff>
      <xdr:row>18</xdr:row>
      <xdr:rowOff>100853</xdr:rowOff>
    </xdr:from>
    <xdr:to>
      <xdr:col>24</xdr:col>
      <xdr:colOff>3305735</xdr:colOff>
      <xdr:row>18</xdr:row>
      <xdr:rowOff>1669677</xdr:rowOff>
    </xdr:to>
    <xdr:graphicFrame macro="">
      <xdr:nvGraphicFramePr>
        <xdr:cNvPr id="56" name="Gráfico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24</xdr:col>
      <xdr:colOff>302559</xdr:colOff>
      <xdr:row>19</xdr:row>
      <xdr:rowOff>112059</xdr:rowOff>
    </xdr:from>
    <xdr:to>
      <xdr:col>24</xdr:col>
      <xdr:colOff>3283325</xdr:colOff>
      <xdr:row>19</xdr:row>
      <xdr:rowOff>1624853</xdr:rowOff>
    </xdr:to>
    <xdr:graphicFrame macro="">
      <xdr:nvGraphicFramePr>
        <xdr:cNvPr id="57" name="Gráfico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24</xdr:col>
      <xdr:colOff>291352</xdr:colOff>
      <xdr:row>20</xdr:row>
      <xdr:rowOff>67237</xdr:rowOff>
    </xdr:from>
    <xdr:to>
      <xdr:col>24</xdr:col>
      <xdr:colOff>3316941</xdr:colOff>
      <xdr:row>20</xdr:row>
      <xdr:rowOff>1692089</xdr:rowOff>
    </xdr:to>
    <xdr:graphicFrame macro="">
      <xdr:nvGraphicFramePr>
        <xdr:cNvPr id="58" name="Gráfico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24</xdr:col>
      <xdr:colOff>291354</xdr:colOff>
      <xdr:row>21</xdr:row>
      <xdr:rowOff>100852</xdr:rowOff>
    </xdr:from>
    <xdr:to>
      <xdr:col>24</xdr:col>
      <xdr:colOff>3238500</xdr:colOff>
      <xdr:row>21</xdr:row>
      <xdr:rowOff>1692087</xdr:rowOff>
    </xdr:to>
    <xdr:graphicFrame macro="">
      <xdr:nvGraphicFramePr>
        <xdr:cNvPr id="60" name="Gráfico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24</xdr:col>
      <xdr:colOff>280146</xdr:colOff>
      <xdr:row>22</xdr:row>
      <xdr:rowOff>67235</xdr:rowOff>
    </xdr:from>
    <xdr:to>
      <xdr:col>24</xdr:col>
      <xdr:colOff>3294529</xdr:colOff>
      <xdr:row>22</xdr:row>
      <xdr:rowOff>1658471</xdr:rowOff>
    </xdr:to>
    <xdr:graphicFrame macro="">
      <xdr:nvGraphicFramePr>
        <xdr:cNvPr id="61" name="Gráfico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24</xdr:col>
      <xdr:colOff>302559</xdr:colOff>
      <xdr:row>23</xdr:row>
      <xdr:rowOff>56029</xdr:rowOff>
    </xdr:from>
    <xdr:to>
      <xdr:col>24</xdr:col>
      <xdr:colOff>3249706</xdr:colOff>
      <xdr:row>23</xdr:row>
      <xdr:rowOff>1703295</xdr:rowOff>
    </xdr:to>
    <xdr:graphicFrame macro="">
      <xdr:nvGraphicFramePr>
        <xdr:cNvPr id="62" name="Gráfico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24</xdr:col>
      <xdr:colOff>302560</xdr:colOff>
      <xdr:row>24</xdr:row>
      <xdr:rowOff>145676</xdr:rowOff>
    </xdr:from>
    <xdr:to>
      <xdr:col>24</xdr:col>
      <xdr:colOff>3294529</xdr:colOff>
      <xdr:row>24</xdr:row>
      <xdr:rowOff>1624852</xdr:rowOff>
    </xdr:to>
    <xdr:graphicFrame macro="">
      <xdr:nvGraphicFramePr>
        <xdr:cNvPr id="64" name="Gráfico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24</xdr:col>
      <xdr:colOff>257736</xdr:colOff>
      <xdr:row>25</xdr:row>
      <xdr:rowOff>145676</xdr:rowOff>
    </xdr:from>
    <xdr:to>
      <xdr:col>24</xdr:col>
      <xdr:colOff>3182472</xdr:colOff>
      <xdr:row>25</xdr:row>
      <xdr:rowOff>1580029</xdr:rowOff>
    </xdr:to>
    <xdr:graphicFrame macro="">
      <xdr:nvGraphicFramePr>
        <xdr:cNvPr id="65" name="Gráfico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24</xdr:col>
      <xdr:colOff>280147</xdr:colOff>
      <xdr:row>26</xdr:row>
      <xdr:rowOff>44823</xdr:rowOff>
    </xdr:from>
    <xdr:to>
      <xdr:col>24</xdr:col>
      <xdr:colOff>3260912</xdr:colOff>
      <xdr:row>26</xdr:row>
      <xdr:rowOff>1512794</xdr:rowOff>
    </xdr:to>
    <xdr:graphicFrame macro="">
      <xdr:nvGraphicFramePr>
        <xdr:cNvPr id="66" name="Gráfico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24</xdr:col>
      <xdr:colOff>257736</xdr:colOff>
      <xdr:row>27</xdr:row>
      <xdr:rowOff>67235</xdr:rowOff>
    </xdr:from>
    <xdr:to>
      <xdr:col>24</xdr:col>
      <xdr:colOff>3395382</xdr:colOff>
      <xdr:row>27</xdr:row>
      <xdr:rowOff>1591235</xdr:rowOff>
    </xdr:to>
    <xdr:graphicFrame macro="">
      <xdr:nvGraphicFramePr>
        <xdr:cNvPr id="67" name="Gráfico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24</xdr:col>
      <xdr:colOff>257734</xdr:colOff>
      <xdr:row>28</xdr:row>
      <xdr:rowOff>56028</xdr:rowOff>
    </xdr:from>
    <xdr:to>
      <xdr:col>24</xdr:col>
      <xdr:colOff>3395381</xdr:colOff>
      <xdr:row>28</xdr:row>
      <xdr:rowOff>1613647</xdr:rowOff>
    </xdr:to>
    <xdr:graphicFrame macro="">
      <xdr:nvGraphicFramePr>
        <xdr:cNvPr id="68" name="Gráfico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24</xdr:col>
      <xdr:colOff>231321</xdr:colOff>
      <xdr:row>29</xdr:row>
      <xdr:rowOff>134470</xdr:rowOff>
    </xdr:from>
    <xdr:to>
      <xdr:col>24</xdr:col>
      <xdr:colOff>3294528</xdr:colOff>
      <xdr:row>29</xdr:row>
      <xdr:rowOff>1959427</xdr:rowOff>
    </xdr:to>
    <xdr:graphicFrame macro="">
      <xdr:nvGraphicFramePr>
        <xdr:cNvPr id="69" name="Gráfico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24</xdr:col>
      <xdr:colOff>231321</xdr:colOff>
      <xdr:row>30</xdr:row>
      <xdr:rowOff>168089</xdr:rowOff>
    </xdr:from>
    <xdr:to>
      <xdr:col>24</xdr:col>
      <xdr:colOff>3294530</xdr:colOff>
      <xdr:row>30</xdr:row>
      <xdr:rowOff>1646465</xdr:rowOff>
    </xdr:to>
    <xdr:graphicFrame macro="">
      <xdr:nvGraphicFramePr>
        <xdr:cNvPr id="70" name="Gráfico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24</xdr:col>
      <xdr:colOff>244929</xdr:colOff>
      <xdr:row>31</xdr:row>
      <xdr:rowOff>78441</xdr:rowOff>
    </xdr:from>
    <xdr:to>
      <xdr:col>24</xdr:col>
      <xdr:colOff>3249706</xdr:colOff>
      <xdr:row>31</xdr:row>
      <xdr:rowOff>1578429</xdr:rowOff>
    </xdr:to>
    <xdr:graphicFrame macro="">
      <xdr:nvGraphicFramePr>
        <xdr:cNvPr id="71" name="Gráfico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24</xdr:col>
      <xdr:colOff>204107</xdr:colOff>
      <xdr:row>32</xdr:row>
      <xdr:rowOff>78440</xdr:rowOff>
    </xdr:from>
    <xdr:to>
      <xdr:col>24</xdr:col>
      <xdr:colOff>3272118</xdr:colOff>
      <xdr:row>32</xdr:row>
      <xdr:rowOff>1741713</xdr:rowOff>
    </xdr:to>
    <xdr:graphicFrame macro="">
      <xdr:nvGraphicFramePr>
        <xdr:cNvPr id="72" name="Gráfico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24</xdr:col>
      <xdr:colOff>204108</xdr:colOff>
      <xdr:row>33</xdr:row>
      <xdr:rowOff>134470</xdr:rowOff>
    </xdr:from>
    <xdr:to>
      <xdr:col>24</xdr:col>
      <xdr:colOff>3238500</xdr:colOff>
      <xdr:row>33</xdr:row>
      <xdr:rowOff>2027463</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24</xdr:col>
      <xdr:colOff>252130</xdr:colOff>
      <xdr:row>26</xdr:row>
      <xdr:rowOff>67233</xdr:rowOff>
    </xdr:from>
    <xdr:to>
      <xdr:col>24</xdr:col>
      <xdr:colOff>3350558</xdr:colOff>
      <xdr:row>26</xdr:row>
      <xdr:rowOff>1636058</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23</xdr:col>
      <xdr:colOff>47624</xdr:colOff>
      <xdr:row>4</xdr:row>
      <xdr:rowOff>47626</xdr:rowOff>
    </xdr:from>
    <xdr:to>
      <xdr:col>23</xdr:col>
      <xdr:colOff>3171825</xdr:colOff>
      <xdr:row>4</xdr:row>
      <xdr:rowOff>1543050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85725</xdr:colOff>
      <xdr:row>5</xdr:row>
      <xdr:rowOff>57150</xdr:rowOff>
    </xdr:from>
    <xdr:to>
      <xdr:col>23</xdr:col>
      <xdr:colOff>3162300</xdr:colOff>
      <xdr:row>5</xdr:row>
      <xdr:rowOff>1485900</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104775</xdr:colOff>
      <xdr:row>6</xdr:row>
      <xdr:rowOff>76200</xdr:rowOff>
    </xdr:from>
    <xdr:to>
      <xdr:col>23</xdr:col>
      <xdr:colOff>3190875</xdr:colOff>
      <xdr:row>6</xdr:row>
      <xdr:rowOff>1409700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123824</xdr:colOff>
      <xdr:row>7</xdr:row>
      <xdr:rowOff>66675</xdr:rowOff>
    </xdr:from>
    <xdr:to>
      <xdr:col>23</xdr:col>
      <xdr:colOff>3295649</xdr:colOff>
      <xdr:row>7</xdr:row>
      <xdr:rowOff>1419225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23</xdr:col>
      <xdr:colOff>133351</xdr:colOff>
      <xdr:row>8</xdr:row>
      <xdr:rowOff>123825</xdr:rowOff>
    </xdr:from>
    <xdr:to>
      <xdr:col>23</xdr:col>
      <xdr:colOff>3162301</xdr:colOff>
      <xdr:row>8</xdr:row>
      <xdr:rowOff>1533525</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23</xdr:col>
      <xdr:colOff>123825</xdr:colOff>
      <xdr:row>9</xdr:row>
      <xdr:rowOff>47624</xdr:rowOff>
    </xdr:from>
    <xdr:to>
      <xdr:col>23</xdr:col>
      <xdr:colOff>3209925</xdr:colOff>
      <xdr:row>9</xdr:row>
      <xdr:rowOff>1419225</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161926</xdr:colOff>
      <xdr:row>10</xdr:row>
      <xdr:rowOff>57149</xdr:rowOff>
    </xdr:from>
    <xdr:to>
      <xdr:col>23</xdr:col>
      <xdr:colOff>3200400</xdr:colOff>
      <xdr:row>10</xdr:row>
      <xdr:rowOff>1419224</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200025</xdr:colOff>
      <xdr:row>11</xdr:row>
      <xdr:rowOff>57149</xdr:rowOff>
    </xdr:from>
    <xdr:to>
      <xdr:col>23</xdr:col>
      <xdr:colOff>3181349</xdr:colOff>
      <xdr:row>11</xdr:row>
      <xdr:rowOff>1371600</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133351</xdr:colOff>
      <xdr:row>12</xdr:row>
      <xdr:rowOff>19050</xdr:rowOff>
    </xdr:from>
    <xdr:to>
      <xdr:col>23</xdr:col>
      <xdr:colOff>3238501</xdr:colOff>
      <xdr:row>12</xdr:row>
      <xdr:rowOff>1428750</xdr:rowOff>
    </xdr:to>
    <xdr:graphicFrame macro="">
      <xdr:nvGraphicFramePr>
        <xdr:cNvPr id="11" name="Gráfico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200024</xdr:colOff>
      <xdr:row>13</xdr:row>
      <xdr:rowOff>171450</xdr:rowOff>
    </xdr:from>
    <xdr:to>
      <xdr:col>23</xdr:col>
      <xdr:colOff>3181349</xdr:colOff>
      <xdr:row>13</xdr:row>
      <xdr:rowOff>1543050</xdr:rowOff>
    </xdr:to>
    <xdr:graphicFrame macro="">
      <xdr:nvGraphicFramePr>
        <xdr:cNvPr id="12" name="Gráfico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23</xdr:col>
      <xdr:colOff>209550</xdr:colOff>
      <xdr:row>14</xdr:row>
      <xdr:rowOff>47626</xdr:rowOff>
    </xdr:from>
    <xdr:to>
      <xdr:col>23</xdr:col>
      <xdr:colOff>3181350</xdr:colOff>
      <xdr:row>14</xdr:row>
      <xdr:rowOff>1619250</xdr:rowOff>
    </xdr:to>
    <xdr:graphicFrame macro="">
      <xdr:nvGraphicFramePr>
        <xdr:cNvPr id="13" name="Gráfico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23</xdr:col>
      <xdr:colOff>219076</xdr:colOff>
      <xdr:row>15</xdr:row>
      <xdr:rowOff>47625</xdr:rowOff>
    </xdr:from>
    <xdr:to>
      <xdr:col>23</xdr:col>
      <xdr:colOff>3228976</xdr:colOff>
      <xdr:row>15</xdr:row>
      <xdr:rowOff>1381125</xdr:rowOff>
    </xdr:to>
    <xdr:graphicFrame macro="">
      <xdr:nvGraphicFramePr>
        <xdr:cNvPr id="14" name="Gráfico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23</xdr:col>
      <xdr:colOff>219075</xdr:colOff>
      <xdr:row>16</xdr:row>
      <xdr:rowOff>104775</xdr:rowOff>
    </xdr:from>
    <xdr:to>
      <xdr:col>23</xdr:col>
      <xdr:colOff>3171825</xdr:colOff>
      <xdr:row>16</xdr:row>
      <xdr:rowOff>1524000</xdr:rowOff>
    </xdr:to>
    <xdr:graphicFrame macro="">
      <xdr:nvGraphicFramePr>
        <xdr:cNvPr id="15" name="Gráfico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23</xdr:col>
      <xdr:colOff>152400</xdr:colOff>
      <xdr:row>17</xdr:row>
      <xdr:rowOff>152400</xdr:rowOff>
    </xdr:from>
    <xdr:to>
      <xdr:col>23</xdr:col>
      <xdr:colOff>3219451</xdr:colOff>
      <xdr:row>17</xdr:row>
      <xdr:rowOff>1647825</xdr:rowOff>
    </xdr:to>
    <xdr:graphicFrame macro="">
      <xdr:nvGraphicFramePr>
        <xdr:cNvPr id="16" name="Gráfico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23</xdr:col>
      <xdr:colOff>161926</xdr:colOff>
      <xdr:row>18</xdr:row>
      <xdr:rowOff>47624</xdr:rowOff>
    </xdr:from>
    <xdr:to>
      <xdr:col>23</xdr:col>
      <xdr:colOff>3257550</xdr:colOff>
      <xdr:row>18</xdr:row>
      <xdr:rowOff>1504949</xdr:rowOff>
    </xdr:to>
    <xdr:graphicFrame macro="">
      <xdr:nvGraphicFramePr>
        <xdr:cNvPr id="17" name="Gráfico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23</xdr:col>
      <xdr:colOff>200025</xdr:colOff>
      <xdr:row>19</xdr:row>
      <xdr:rowOff>38100</xdr:rowOff>
    </xdr:from>
    <xdr:to>
      <xdr:col>23</xdr:col>
      <xdr:colOff>3219450</xdr:colOff>
      <xdr:row>19</xdr:row>
      <xdr:rowOff>1543050</xdr:rowOff>
    </xdr:to>
    <xdr:graphicFrame macro="">
      <xdr:nvGraphicFramePr>
        <xdr:cNvPr id="18" name="Gráfico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23</xdr:col>
      <xdr:colOff>219075</xdr:colOff>
      <xdr:row>20</xdr:row>
      <xdr:rowOff>19050</xdr:rowOff>
    </xdr:from>
    <xdr:to>
      <xdr:col>23</xdr:col>
      <xdr:colOff>3219450</xdr:colOff>
      <xdr:row>20</xdr:row>
      <xdr:rowOff>1466850</xdr:rowOff>
    </xdr:to>
    <xdr:graphicFrame macro="">
      <xdr:nvGraphicFramePr>
        <xdr:cNvPr id="19" name="Gráfico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23</xdr:col>
      <xdr:colOff>190500</xdr:colOff>
      <xdr:row>21</xdr:row>
      <xdr:rowOff>28574</xdr:rowOff>
    </xdr:from>
    <xdr:to>
      <xdr:col>23</xdr:col>
      <xdr:colOff>3238500</xdr:colOff>
      <xdr:row>21</xdr:row>
      <xdr:rowOff>1409700</xdr:rowOff>
    </xdr:to>
    <xdr:graphicFrame macro="">
      <xdr:nvGraphicFramePr>
        <xdr:cNvPr id="20" name="Gráfico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23</xdr:col>
      <xdr:colOff>161924</xdr:colOff>
      <xdr:row>22</xdr:row>
      <xdr:rowOff>28575</xdr:rowOff>
    </xdr:from>
    <xdr:to>
      <xdr:col>23</xdr:col>
      <xdr:colOff>3219449</xdr:colOff>
      <xdr:row>22</xdr:row>
      <xdr:rowOff>1362074</xdr:rowOff>
    </xdr:to>
    <xdr:graphicFrame macro="">
      <xdr:nvGraphicFramePr>
        <xdr:cNvPr id="21" name="Gráfico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23</xdr:col>
      <xdr:colOff>152399</xdr:colOff>
      <xdr:row>23</xdr:row>
      <xdr:rowOff>38101</xdr:rowOff>
    </xdr:from>
    <xdr:to>
      <xdr:col>23</xdr:col>
      <xdr:colOff>3248024</xdr:colOff>
      <xdr:row>23</xdr:row>
      <xdr:rowOff>1443037</xdr:rowOff>
    </xdr:to>
    <xdr:graphicFrame macro="">
      <xdr:nvGraphicFramePr>
        <xdr:cNvPr id="23" name="Gráfico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23</xdr:col>
      <xdr:colOff>142875</xdr:colOff>
      <xdr:row>24</xdr:row>
      <xdr:rowOff>66675</xdr:rowOff>
    </xdr:from>
    <xdr:to>
      <xdr:col>23</xdr:col>
      <xdr:colOff>3228975</xdr:colOff>
      <xdr:row>24</xdr:row>
      <xdr:rowOff>1462087</xdr:rowOff>
    </xdr:to>
    <xdr:graphicFrame macro="">
      <xdr:nvGraphicFramePr>
        <xdr:cNvPr id="24" name="Gráfico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23</xdr:col>
      <xdr:colOff>114300</xdr:colOff>
      <xdr:row>25</xdr:row>
      <xdr:rowOff>95249</xdr:rowOff>
    </xdr:from>
    <xdr:to>
      <xdr:col>23</xdr:col>
      <xdr:colOff>3219450</xdr:colOff>
      <xdr:row>25</xdr:row>
      <xdr:rowOff>1500186</xdr:rowOff>
    </xdr:to>
    <xdr:graphicFrame macro="">
      <xdr:nvGraphicFramePr>
        <xdr:cNvPr id="25" name="Gráfico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23</xdr:col>
      <xdr:colOff>38099</xdr:colOff>
      <xdr:row>26</xdr:row>
      <xdr:rowOff>76200</xdr:rowOff>
    </xdr:from>
    <xdr:to>
      <xdr:col>23</xdr:col>
      <xdr:colOff>3228974</xdr:colOff>
      <xdr:row>26</xdr:row>
      <xdr:rowOff>1524000</xdr:rowOff>
    </xdr:to>
    <xdr:graphicFrame macro="">
      <xdr:nvGraphicFramePr>
        <xdr:cNvPr id="26" name="Gráfico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23</xdr:col>
      <xdr:colOff>66675</xdr:colOff>
      <xdr:row>27</xdr:row>
      <xdr:rowOff>47624</xdr:rowOff>
    </xdr:from>
    <xdr:to>
      <xdr:col>23</xdr:col>
      <xdr:colOff>3238500</xdr:colOff>
      <xdr:row>27</xdr:row>
      <xdr:rowOff>1524000</xdr:rowOff>
    </xdr:to>
    <xdr:graphicFrame macro="">
      <xdr:nvGraphicFramePr>
        <xdr:cNvPr id="27" name="Gráfico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23</xdr:col>
      <xdr:colOff>95250</xdr:colOff>
      <xdr:row>28</xdr:row>
      <xdr:rowOff>57150</xdr:rowOff>
    </xdr:from>
    <xdr:to>
      <xdr:col>23</xdr:col>
      <xdr:colOff>3190875</xdr:colOff>
      <xdr:row>28</xdr:row>
      <xdr:rowOff>1471611</xdr:rowOff>
    </xdr:to>
    <xdr:graphicFrame macro="">
      <xdr:nvGraphicFramePr>
        <xdr:cNvPr id="28" name="Gráfico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171450</xdr:colOff>
      <xdr:row>5</xdr:row>
      <xdr:rowOff>95249</xdr:rowOff>
    </xdr:from>
    <xdr:to>
      <xdr:col>18</xdr:col>
      <xdr:colOff>2800349</xdr:colOff>
      <xdr:row>5</xdr:row>
      <xdr:rowOff>1743075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123824</xdr:colOff>
      <xdr:row>6</xdr:row>
      <xdr:rowOff>95250</xdr:rowOff>
    </xdr:from>
    <xdr:to>
      <xdr:col>18</xdr:col>
      <xdr:colOff>2686049</xdr:colOff>
      <xdr:row>6</xdr:row>
      <xdr:rowOff>1781174</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171450</xdr:colOff>
      <xdr:row>8</xdr:row>
      <xdr:rowOff>85724</xdr:rowOff>
    </xdr:from>
    <xdr:to>
      <xdr:col>18</xdr:col>
      <xdr:colOff>2657475</xdr:colOff>
      <xdr:row>8</xdr:row>
      <xdr:rowOff>1914525</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123825</xdr:colOff>
      <xdr:row>9</xdr:row>
      <xdr:rowOff>66674</xdr:rowOff>
    </xdr:from>
    <xdr:to>
      <xdr:col>18</xdr:col>
      <xdr:colOff>2733675</xdr:colOff>
      <xdr:row>9</xdr:row>
      <xdr:rowOff>1800225</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161925</xdr:colOff>
      <xdr:row>7</xdr:row>
      <xdr:rowOff>47624</xdr:rowOff>
    </xdr:from>
    <xdr:to>
      <xdr:col>18</xdr:col>
      <xdr:colOff>2686050</xdr:colOff>
      <xdr:row>7</xdr:row>
      <xdr:rowOff>1809750</xdr:rowOff>
    </xdr:to>
    <xdr:graphicFrame macro="">
      <xdr:nvGraphicFramePr>
        <xdr:cNvPr id="10" name="Gráfico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21</xdr:col>
      <xdr:colOff>161925</xdr:colOff>
      <xdr:row>4</xdr:row>
      <xdr:rowOff>95249</xdr:rowOff>
    </xdr:from>
    <xdr:to>
      <xdr:col>21</xdr:col>
      <xdr:colOff>2752725</xdr:colOff>
      <xdr:row>4</xdr:row>
      <xdr:rowOff>1552574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114299</xdr:colOff>
      <xdr:row>5</xdr:row>
      <xdr:rowOff>85725</xdr:rowOff>
    </xdr:from>
    <xdr:to>
      <xdr:col>21</xdr:col>
      <xdr:colOff>2724150</xdr:colOff>
      <xdr:row>5</xdr:row>
      <xdr:rowOff>1457325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133350</xdr:colOff>
      <xdr:row>6</xdr:row>
      <xdr:rowOff>76199</xdr:rowOff>
    </xdr:from>
    <xdr:to>
      <xdr:col>21</xdr:col>
      <xdr:colOff>2743200</xdr:colOff>
      <xdr:row>6</xdr:row>
      <xdr:rowOff>1400175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21</xdr:col>
      <xdr:colOff>171450</xdr:colOff>
      <xdr:row>7</xdr:row>
      <xdr:rowOff>57150</xdr:rowOff>
    </xdr:from>
    <xdr:to>
      <xdr:col>21</xdr:col>
      <xdr:colOff>2762250</xdr:colOff>
      <xdr:row>7</xdr:row>
      <xdr:rowOff>1428750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171449</xdr:colOff>
      <xdr:row>8</xdr:row>
      <xdr:rowOff>57150</xdr:rowOff>
    </xdr:from>
    <xdr:to>
      <xdr:col>21</xdr:col>
      <xdr:colOff>2695575</xdr:colOff>
      <xdr:row>8</xdr:row>
      <xdr:rowOff>1428750</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21</xdr:col>
      <xdr:colOff>133350</xdr:colOff>
      <xdr:row>9</xdr:row>
      <xdr:rowOff>38099</xdr:rowOff>
    </xdr:from>
    <xdr:to>
      <xdr:col>21</xdr:col>
      <xdr:colOff>2733675</xdr:colOff>
      <xdr:row>9</xdr:row>
      <xdr:rowOff>1476375</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21</xdr:col>
      <xdr:colOff>152401</xdr:colOff>
      <xdr:row>10</xdr:row>
      <xdr:rowOff>66675</xdr:rowOff>
    </xdr:from>
    <xdr:to>
      <xdr:col>21</xdr:col>
      <xdr:colOff>2714625</xdr:colOff>
      <xdr:row>10</xdr:row>
      <xdr:rowOff>1609725</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133351</xdr:colOff>
      <xdr:row>11</xdr:row>
      <xdr:rowOff>104775</xdr:rowOff>
    </xdr:from>
    <xdr:to>
      <xdr:col>21</xdr:col>
      <xdr:colOff>2705100</xdr:colOff>
      <xdr:row>11</xdr:row>
      <xdr:rowOff>1600200</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3</xdr:col>
      <xdr:colOff>638174</xdr:colOff>
      <xdr:row>26</xdr:row>
      <xdr:rowOff>130199</xdr:rowOff>
    </xdr:from>
    <xdr:to>
      <xdr:col>11</xdr:col>
      <xdr:colOff>28804</xdr:colOff>
      <xdr:row>26</xdr:row>
      <xdr:rowOff>2295525</xdr:rowOff>
    </xdr:to>
    <xdr:pic>
      <xdr:nvPicPr>
        <xdr:cNvPr id="11" name="Imagen 10"/>
        <xdr:cNvPicPr>
          <a:picLocks noChangeAspect="1"/>
        </xdr:cNvPicPr>
      </xdr:nvPicPr>
      <xdr:blipFill>
        <a:blip xmlns:r="http://schemas.openxmlformats.org/officeDocument/2006/relationships" r:embed="rId9"/>
        <a:stretch>
          <a:fillRect/>
        </a:stretch>
      </xdr:blipFill>
      <xdr:spPr>
        <a:xfrm>
          <a:off x="3495674" y="23428349"/>
          <a:ext cx="5953355" cy="216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104776</xdr:colOff>
      <xdr:row>4</xdr:row>
      <xdr:rowOff>123825</xdr:rowOff>
    </xdr:from>
    <xdr:to>
      <xdr:col>16</xdr:col>
      <xdr:colOff>3067050</xdr:colOff>
      <xdr:row>4</xdr:row>
      <xdr:rowOff>1562101</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114300</xdr:colOff>
      <xdr:row>5</xdr:row>
      <xdr:rowOff>47624</xdr:rowOff>
    </xdr:from>
    <xdr:to>
      <xdr:col>16</xdr:col>
      <xdr:colOff>3133725</xdr:colOff>
      <xdr:row>5</xdr:row>
      <xdr:rowOff>1371599</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16</xdr:col>
      <xdr:colOff>76200</xdr:colOff>
      <xdr:row>5</xdr:row>
      <xdr:rowOff>142874</xdr:rowOff>
    </xdr:from>
    <xdr:to>
      <xdr:col>16</xdr:col>
      <xdr:colOff>2724150</xdr:colOff>
      <xdr:row>5</xdr:row>
      <xdr:rowOff>1523999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104776</xdr:colOff>
      <xdr:row>6</xdr:row>
      <xdr:rowOff>95250</xdr:rowOff>
    </xdr:from>
    <xdr:to>
      <xdr:col>16</xdr:col>
      <xdr:colOff>2781300</xdr:colOff>
      <xdr:row>6</xdr:row>
      <xdr:rowOff>1524000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20</xdr:col>
      <xdr:colOff>123826</xdr:colOff>
      <xdr:row>5</xdr:row>
      <xdr:rowOff>114299</xdr:rowOff>
    </xdr:from>
    <xdr:to>
      <xdr:col>20</xdr:col>
      <xdr:colOff>2943226</xdr:colOff>
      <xdr:row>5</xdr:row>
      <xdr:rowOff>1762124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142876</xdr:colOff>
      <xdr:row>6</xdr:row>
      <xdr:rowOff>47624</xdr:rowOff>
    </xdr:from>
    <xdr:to>
      <xdr:col>20</xdr:col>
      <xdr:colOff>2990850</xdr:colOff>
      <xdr:row>6</xdr:row>
      <xdr:rowOff>1847849</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104775</xdr:colOff>
      <xdr:row>7</xdr:row>
      <xdr:rowOff>200025</xdr:rowOff>
    </xdr:from>
    <xdr:to>
      <xdr:col>20</xdr:col>
      <xdr:colOff>2952750</xdr:colOff>
      <xdr:row>7</xdr:row>
      <xdr:rowOff>1933575</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161925</xdr:colOff>
      <xdr:row>8</xdr:row>
      <xdr:rowOff>85725</xdr:rowOff>
    </xdr:from>
    <xdr:to>
      <xdr:col>20</xdr:col>
      <xdr:colOff>2990850</xdr:colOff>
      <xdr:row>8</xdr:row>
      <xdr:rowOff>1657350</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19</xdr:col>
      <xdr:colOff>95249</xdr:colOff>
      <xdr:row>5</xdr:row>
      <xdr:rowOff>95249</xdr:rowOff>
    </xdr:from>
    <xdr:to>
      <xdr:col>19</xdr:col>
      <xdr:colOff>2581274</xdr:colOff>
      <xdr:row>5</xdr:row>
      <xdr:rowOff>1714500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95250</xdr:colOff>
      <xdr:row>6</xdr:row>
      <xdr:rowOff>47624</xdr:rowOff>
    </xdr:from>
    <xdr:to>
      <xdr:col>19</xdr:col>
      <xdr:colOff>2600325</xdr:colOff>
      <xdr:row>6</xdr:row>
      <xdr:rowOff>1619250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133349</xdr:colOff>
      <xdr:row>7</xdr:row>
      <xdr:rowOff>47624</xdr:rowOff>
    </xdr:from>
    <xdr:to>
      <xdr:col>19</xdr:col>
      <xdr:colOff>2600324</xdr:colOff>
      <xdr:row>7</xdr:row>
      <xdr:rowOff>1609725</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142876</xdr:colOff>
      <xdr:row>8</xdr:row>
      <xdr:rowOff>47624</xdr:rowOff>
    </xdr:from>
    <xdr:to>
      <xdr:col>19</xdr:col>
      <xdr:colOff>2609850</xdr:colOff>
      <xdr:row>8</xdr:row>
      <xdr:rowOff>1609725</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19</xdr:col>
      <xdr:colOff>133350</xdr:colOff>
      <xdr:row>9</xdr:row>
      <xdr:rowOff>57149</xdr:rowOff>
    </xdr:from>
    <xdr:to>
      <xdr:col>19</xdr:col>
      <xdr:colOff>2647950</xdr:colOff>
      <xdr:row>9</xdr:row>
      <xdr:rowOff>1590674</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14</xdr:col>
      <xdr:colOff>114300</xdr:colOff>
      <xdr:row>4</xdr:row>
      <xdr:rowOff>38100</xdr:rowOff>
    </xdr:from>
    <xdr:to>
      <xdr:col>14</xdr:col>
      <xdr:colOff>2895600</xdr:colOff>
      <xdr:row>4</xdr:row>
      <xdr:rowOff>1485900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66675</xdr:colOff>
      <xdr:row>5</xdr:row>
      <xdr:rowOff>66675</xdr:rowOff>
    </xdr:from>
    <xdr:to>
      <xdr:col>14</xdr:col>
      <xdr:colOff>2476500</xdr:colOff>
      <xdr:row>5</xdr:row>
      <xdr:rowOff>1571625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190500</xdr:colOff>
      <xdr:row>5</xdr:row>
      <xdr:rowOff>47625</xdr:rowOff>
    </xdr:from>
    <xdr:to>
      <xdr:col>13</xdr:col>
      <xdr:colOff>2914649</xdr:colOff>
      <xdr:row>5</xdr:row>
      <xdr:rowOff>1562100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104775</xdr:colOff>
      <xdr:row>3</xdr:row>
      <xdr:rowOff>57149</xdr:rowOff>
    </xdr:from>
    <xdr:to>
      <xdr:col>17</xdr:col>
      <xdr:colOff>2495550</xdr:colOff>
      <xdr:row>3</xdr:row>
      <xdr:rowOff>1400174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16</xdr:col>
      <xdr:colOff>152400</xdr:colOff>
      <xdr:row>5</xdr:row>
      <xdr:rowOff>104775</xdr:rowOff>
    </xdr:from>
    <xdr:to>
      <xdr:col>16</xdr:col>
      <xdr:colOff>2714625</xdr:colOff>
      <xdr:row>5</xdr:row>
      <xdr:rowOff>1495425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219075</xdr:colOff>
      <xdr:row>6</xdr:row>
      <xdr:rowOff>114299</xdr:rowOff>
    </xdr:from>
    <xdr:to>
      <xdr:col>16</xdr:col>
      <xdr:colOff>2781300</xdr:colOff>
      <xdr:row>6</xdr:row>
      <xdr:rowOff>1457325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190501</xdr:colOff>
      <xdr:row>7</xdr:row>
      <xdr:rowOff>47624</xdr:rowOff>
    </xdr:from>
    <xdr:to>
      <xdr:col>16</xdr:col>
      <xdr:colOff>2790825</xdr:colOff>
      <xdr:row>7</xdr:row>
      <xdr:rowOff>1419225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190501</xdr:colOff>
      <xdr:row>8</xdr:row>
      <xdr:rowOff>85725</xdr:rowOff>
    </xdr:from>
    <xdr:to>
      <xdr:col>16</xdr:col>
      <xdr:colOff>2790825</xdr:colOff>
      <xdr:row>8</xdr:row>
      <xdr:rowOff>1466850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190500</xdr:colOff>
      <xdr:row>9</xdr:row>
      <xdr:rowOff>66674</xdr:rowOff>
    </xdr:from>
    <xdr:to>
      <xdr:col>16</xdr:col>
      <xdr:colOff>2771775</xdr:colOff>
      <xdr:row>9</xdr:row>
      <xdr:rowOff>1466849</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171450</xdr:colOff>
      <xdr:row>10</xdr:row>
      <xdr:rowOff>38100</xdr:rowOff>
    </xdr:from>
    <xdr:to>
      <xdr:col>16</xdr:col>
      <xdr:colOff>2876549</xdr:colOff>
      <xdr:row>10</xdr:row>
      <xdr:rowOff>1419226</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142875</xdr:colOff>
      <xdr:row>11</xdr:row>
      <xdr:rowOff>47624</xdr:rowOff>
    </xdr:from>
    <xdr:to>
      <xdr:col>16</xdr:col>
      <xdr:colOff>2838450</xdr:colOff>
      <xdr:row>11</xdr:row>
      <xdr:rowOff>1447799</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161925</xdr:colOff>
      <xdr:row>12</xdr:row>
      <xdr:rowOff>47625</xdr:rowOff>
    </xdr:from>
    <xdr:to>
      <xdr:col>16</xdr:col>
      <xdr:colOff>2838450</xdr:colOff>
      <xdr:row>12</xdr:row>
      <xdr:rowOff>1476375</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180975</xdr:colOff>
      <xdr:row>13</xdr:row>
      <xdr:rowOff>47624</xdr:rowOff>
    </xdr:from>
    <xdr:to>
      <xdr:col>16</xdr:col>
      <xdr:colOff>2800350</xdr:colOff>
      <xdr:row>13</xdr:row>
      <xdr:rowOff>1514475</xdr:rowOff>
    </xdr:to>
    <xdr:graphicFrame macro="">
      <xdr:nvGraphicFramePr>
        <xdr:cNvPr id="10" name="Gráfico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161925</xdr:colOff>
      <xdr:row>14</xdr:row>
      <xdr:rowOff>76200</xdr:rowOff>
    </xdr:from>
    <xdr:to>
      <xdr:col>16</xdr:col>
      <xdr:colOff>2809875</xdr:colOff>
      <xdr:row>14</xdr:row>
      <xdr:rowOff>1466850</xdr:rowOff>
    </xdr:to>
    <xdr:graphicFrame macro="">
      <xdr:nvGraphicFramePr>
        <xdr:cNvPr id="11" name="Gráfico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16</xdr:col>
      <xdr:colOff>171450</xdr:colOff>
      <xdr:row>15</xdr:row>
      <xdr:rowOff>66674</xdr:rowOff>
    </xdr:from>
    <xdr:to>
      <xdr:col>16</xdr:col>
      <xdr:colOff>2800349</xdr:colOff>
      <xdr:row>15</xdr:row>
      <xdr:rowOff>1438275</xdr:rowOff>
    </xdr:to>
    <xdr:graphicFrame macro="">
      <xdr:nvGraphicFramePr>
        <xdr:cNvPr id="12" name="Gráfico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16</xdr:col>
      <xdr:colOff>142875</xdr:colOff>
      <xdr:row>16</xdr:row>
      <xdr:rowOff>57149</xdr:rowOff>
    </xdr:from>
    <xdr:to>
      <xdr:col>16</xdr:col>
      <xdr:colOff>2771775</xdr:colOff>
      <xdr:row>16</xdr:row>
      <xdr:rowOff>1428750</xdr:rowOff>
    </xdr:to>
    <xdr:graphicFrame macro="">
      <xdr:nvGraphicFramePr>
        <xdr:cNvPr id="13" name="Gráfico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16</xdr:col>
      <xdr:colOff>161924</xdr:colOff>
      <xdr:row>17</xdr:row>
      <xdr:rowOff>47625</xdr:rowOff>
    </xdr:from>
    <xdr:to>
      <xdr:col>16</xdr:col>
      <xdr:colOff>2762249</xdr:colOff>
      <xdr:row>17</xdr:row>
      <xdr:rowOff>1666875</xdr:rowOff>
    </xdr:to>
    <xdr:graphicFrame macro="">
      <xdr:nvGraphicFramePr>
        <xdr:cNvPr id="14" name="Gráfico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16</xdr:col>
      <xdr:colOff>152400</xdr:colOff>
      <xdr:row>18</xdr:row>
      <xdr:rowOff>57150</xdr:rowOff>
    </xdr:from>
    <xdr:to>
      <xdr:col>16</xdr:col>
      <xdr:colOff>2762250</xdr:colOff>
      <xdr:row>18</xdr:row>
      <xdr:rowOff>1428750</xdr:rowOff>
    </xdr:to>
    <xdr:graphicFrame macro="">
      <xdr:nvGraphicFramePr>
        <xdr:cNvPr id="15" name="Gráfico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16</xdr:col>
      <xdr:colOff>171449</xdr:colOff>
      <xdr:row>19</xdr:row>
      <xdr:rowOff>38099</xdr:rowOff>
    </xdr:from>
    <xdr:to>
      <xdr:col>16</xdr:col>
      <xdr:colOff>2771774</xdr:colOff>
      <xdr:row>19</xdr:row>
      <xdr:rowOff>1476374</xdr:rowOff>
    </xdr:to>
    <xdr:graphicFrame macro="">
      <xdr:nvGraphicFramePr>
        <xdr:cNvPr id="16" name="Gráfico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16</xdr:col>
      <xdr:colOff>161925</xdr:colOff>
      <xdr:row>20</xdr:row>
      <xdr:rowOff>38099</xdr:rowOff>
    </xdr:from>
    <xdr:to>
      <xdr:col>16</xdr:col>
      <xdr:colOff>2781300</xdr:colOff>
      <xdr:row>20</xdr:row>
      <xdr:rowOff>1466850</xdr:rowOff>
    </xdr:to>
    <xdr:graphicFrame macro="">
      <xdr:nvGraphicFramePr>
        <xdr:cNvPr id="17" name="Gráfico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16</xdr:col>
      <xdr:colOff>180975</xdr:colOff>
      <xdr:row>21</xdr:row>
      <xdr:rowOff>47624</xdr:rowOff>
    </xdr:from>
    <xdr:to>
      <xdr:col>16</xdr:col>
      <xdr:colOff>2819400</xdr:colOff>
      <xdr:row>21</xdr:row>
      <xdr:rowOff>1419225</xdr:rowOff>
    </xdr:to>
    <xdr:graphicFrame macro="">
      <xdr:nvGraphicFramePr>
        <xdr:cNvPr id="18" name="Gráfico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16</xdr:col>
      <xdr:colOff>200025</xdr:colOff>
      <xdr:row>22</xdr:row>
      <xdr:rowOff>95250</xdr:rowOff>
    </xdr:from>
    <xdr:to>
      <xdr:col>16</xdr:col>
      <xdr:colOff>2847975</xdr:colOff>
      <xdr:row>22</xdr:row>
      <xdr:rowOff>1543049</xdr:rowOff>
    </xdr:to>
    <xdr:graphicFrame macro="">
      <xdr:nvGraphicFramePr>
        <xdr:cNvPr id="19" name="Gráfico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16</xdr:col>
      <xdr:colOff>190500</xdr:colOff>
      <xdr:row>23</xdr:row>
      <xdr:rowOff>66674</xdr:rowOff>
    </xdr:from>
    <xdr:to>
      <xdr:col>16</xdr:col>
      <xdr:colOff>2876550</xdr:colOff>
      <xdr:row>23</xdr:row>
      <xdr:rowOff>1466849</xdr:rowOff>
    </xdr:to>
    <xdr:graphicFrame macro="">
      <xdr:nvGraphicFramePr>
        <xdr:cNvPr id="20" name="Gráfico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16</xdr:col>
      <xdr:colOff>209550</xdr:colOff>
      <xdr:row>24</xdr:row>
      <xdr:rowOff>95249</xdr:rowOff>
    </xdr:from>
    <xdr:to>
      <xdr:col>16</xdr:col>
      <xdr:colOff>2828925</xdr:colOff>
      <xdr:row>24</xdr:row>
      <xdr:rowOff>1457324</xdr:rowOff>
    </xdr:to>
    <xdr:graphicFrame macro="">
      <xdr:nvGraphicFramePr>
        <xdr:cNvPr id="21" name="Gráfico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16</xdr:col>
      <xdr:colOff>219075</xdr:colOff>
      <xdr:row>25</xdr:row>
      <xdr:rowOff>47625</xdr:rowOff>
    </xdr:from>
    <xdr:to>
      <xdr:col>16</xdr:col>
      <xdr:colOff>2857500</xdr:colOff>
      <xdr:row>25</xdr:row>
      <xdr:rowOff>1485900</xdr:rowOff>
    </xdr:to>
    <xdr:graphicFrame macro="">
      <xdr:nvGraphicFramePr>
        <xdr:cNvPr id="22" name="Gráfico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16</xdr:col>
      <xdr:colOff>219075</xdr:colOff>
      <xdr:row>26</xdr:row>
      <xdr:rowOff>57150</xdr:rowOff>
    </xdr:from>
    <xdr:to>
      <xdr:col>16</xdr:col>
      <xdr:colOff>2828925</xdr:colOff>
      <xdr:row>26</xdr:row>
      <xdr:rowOff>1409700</xdr:rowOff>
    </xdr:to>
    <xdr:graphicFrame macro="">
      <xdr:nvGraphicFramePr>
        <xdr:cNvPr id="23" name="Gráfico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16</xdr:col>
      <xdr:colOff>238125</xdr:colOff>
      <xdr:row>27</xdr:row>
      <xdr:rowOff>47624</xdr:rowOff>
    </xdr:from>
    <xdr:to>
      <xdr:col>16</xdr:col>
      <xdr:colOff>2800350</xdr:colOff>
      <xdr:row>27</xdr:row>
      <xdr:rowOff>1581149</xdr:rowOff>
    </xdr:to>
    <xdr:graphicFrame macro="">
      <xdr:nvGraphicFramePr>
        <xdr:cNvPr id="24" name="Gráfico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16</xdr:col>
      <xdr:colOff>180976</xdr:colOff>
      <xdr:row>28</xdr:row>
      <xdr:rowOff>76200</xdr:rowOff>
    </xdr:from>
    <xdr:to>
      <xdr:col>16</xdr:col>
      <xdr:colOff>2800350</xdr:colOff>
      <xdr:row>28</xdr:row>
      <xdr:rowOff>1447800</xdr:rowOff>
    </xdr:to>
    <xdr:graphicFrame macro="">
      <xdr:nvGraphicFramePr>
        <xdr:cNvPr id="25" name="Gráfico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16</xdr:col>
      <xdr:colOff>190500</xdr:colOff>
      <xdr:row>29</xdr:row>
      <xdr:rowOff>28574</xdr:rowOff>
    </xdr:from>
    <xdr:to>
      <xdr:col>16</xdr:col>
      <xdr:colOff>2790825</xdr:colOff>
      <xdr:row>29</xdr:row>
      <xdr:rowOff>1495425</xdr:rowOff>
    </xdr:to>
    <xdr:graphicFrame macro="">
      <xdr:nvGraphicFramePr>
        <xdr:cNvPr id="26" name="Gráfico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16</xdr:col>
      <xdr:colOff>161925</xdr:colOff>
      <xdr:row>30</xdr:row>
      <xdr:rowOff>57149</xdr:rowOff>
    </xdr:from>
    <xdr:to>
      <xdr:col>16</xdr:col>
      <xdr:colOff>2771775</xdr:colOff>
      <xdr:row>30</xdr:row>
      <xdr:rowOff>1533524</xdr:rowOff>
    </xdr:to>
    <xdr:graphicFrame macro="">
      <xdr:nvGraphicFramePr>
        <xdr:cNvPr id="27" name="Gráfico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16</xdr:col>
      <xdr:colOff>171450</xdr:colOff>
      <xdr:row>31</xdr:row>
      <xdr:rowOff>47624</xdr:rowOff>
    </xdr:from>
    <xdr:to>
      <xdr:col>16</xdr:col>
      <xdr:colOff>2790825</xdr:colOff>
      <xdr:row>31</xdr:row>
      <xdr:rowOff>1466849</xdr:rowOff>
    </xdr:to>
    <xdr:graphicFrame macro="">
      <xdr:nvGraphicFramePr>
        <xdr:cNvPr id="28" name="Gráfico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16</xdr:col>
      <xdr:colOff>180976</xdr:colOff>
      <xdr:row>32</xdr:row>
      <xdr:rowOff>47625</xdr:rowOff>
    </xdr:from>
    <xdr:to>
      <xdr:col>16</xdr:col>
      <xdr:colOff>2800350</xdr:colOff>
      <xdr:row>32</xdr:row>
      <xdr:rowOff>1409700</xdr:rowOff>
    </xdr:to>
    <xdr:graphicFrame macro="">
      <xdr:nvGraphicFramePr>
        <xdr:cNvPr id="29" name="Gráfico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16</xdr:col>
      <xdr:colOff>171449</xdr:colOff>
      <xdr:row>33</xdr:row>
      <xdr:rowOff>38099</xdr:rowOff>
    </xdr:from>
    <xdr:to>
      <xdr:col>16</xdr:col>
      <xdr:colOff>2847974</xdr:colOff>
      <xdr:row>33</xdr:row>
      <xdr:rowOff>1438275</xdr:rowOff>
    </xdr:to>
    <xdr:graphicFrame macro="">
      <xdr:nvGraphicFramePr>
        <xdr:cNvPr id="30" name="Gráfico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16</xdr:col>
      <xdr:colOff>180974</xdr:colOff>
      <xdr:row>34</xdr:row>
      <xdr:rowOff>38100</xdr:rowOff>
    </xdr:from>
    <xdr:to>
      <xdr:col>16</xdr:col>
      <xdr:colOff>2819399</xdr:colOff>
      <xdr:row>34</xdr:row>
      <xdr:rowOff>1419226</xdr:rowOff>
    </xdr:to>
    <xdr:graphicFrame macro="">
      <xdr:nvGraphicFramePr>
        <xdr:cNvPr id="31" name="Gráfico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16</xdr:col>
      <xdr:colOff>209550</xdr:colOff>
      <xdr:row>35</xdr:row>
      <xdr:rowOff>38100</xdr:rowOff>
    </xdr:from>
    <xdr:to>
      <xdr:col>16</xdr:col>
      <xdr:colOff>2838449</xdr:colOff>
      <xdr:row>35</xdr:row>
      <xdr:rowOff>1457325</xdr:rowOff>
    </xdr:to>
    <xdr:graphicFrame macro="">
      <xdr:nvGraphicFramePr>
        <xdr:cNvPr id="32" name="Gráfico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16</xdr:col>
      <xdr:colOff>190500</xdr:colOff>
      <xdr:row>36</xdr:row>
      <xdr:rowOff>28574</xdr:rowOff>
    </xdr:from>
    <xdr:to>
      <xdr:col>16</xdr:col>
      <xdr:colOff>2838450</xdr:colOff>
      <xdr:row>36</xdr:row>
      <xdr:rowOff>1476375</xdr:rowOff>
    </xdr:to>
    <xdr:graphicFrame macro="">
      <xdr:nvGraphicFramePr>
        <xdr:cNvPr id="33" name="Gráfico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16</xdr:col>
      <xdr:colOff>133350</xdr:colOff>
      <xdr:row>37</xdr:row>
      <xdr:rowOff>76200</xdr:rowOff>
    </xdr:from>
    <xdr:to>
      <xdr:col>16</xdr:col>
      <xdr:colOff>2809875</xdr:colOff>
      <xdr:row>37</xdr:row>
      <xdr:rowOff>1447800</xdr:rowOff>
    </xdr:to>
    <xdr:graphicFrame macro="">
      <xdr:nvGraphicFramePr>
        <xdr:cNvPr id="34" name="Gráfico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16</xdr:col>
      <xdr:colOff>123825</xdr:colOff>
      <xdr:row>38</xdr:row>
      <xdr:rowOff>28574</xdr:rowOff>
    </xdr:from>
    <xdr:to>
      <xdr:col>16</xdr:col>
      <xdr:colOff>2828925</xdr:colOff>
      <xdr:row>38</xdr:row>
      <xdr:rowOff>1466850</xdr:rowOff>
    </xdr:to>
    <xdr:graphicFrame macro="">
      <xdr:nvGraphicFramePr>
        <xdr:cNvPr id="35" name="Gráfico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16</xdr:col>
      <xdr:colOff>152400</xdr:colOff>
      <xdr:row>39</xdr:row>
      <xdr:rowOff>85724</xdr:rowOff>
    </xdr:from>
    <xdr:to>
      <xdr:col>16</xdr:col>
      <xdr:colOff>2819400</xdr:colOff>
      <xdr:row>39</xdr:row>
      <xdr:rowOff>1447800</xdr:rowOff>
    </xdr:to>
    <xdr:graphicFrame macro="">
      <xdr:nvGraphicFramePr>
        <xdr:cNvPr id="36" name="Gráfico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16</xdr:col>
      <xdr:colOff>152400</xdr:colOff>
      <xdr:row>40</xdr:row>
      <xdr:rowOff>57149</xdr:rowOff>
    </xdr:from>
    <xdr:to>
      <xdr:col>16</xdr:col>
      <xdr:colOff>2857500</xdr:colOff>
      <xdr:row>40</xdr:row>
      <xdr:rowOff>1485900</xdr:rowOff>
    </xdr:to>
    <xdr:graphicFrame macro="">
      <xdr:nvGraphicFramePr>
        <xdr:cNvPr id="37" name="Gráfico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16</xdr:col>
      <xdr:colOff>171450</xdr:colOff>
      <xdr:row>41</xdr:row>
      <xdr:rowOff>47624</xdr:rowOff>
    </xdr:from>
    <xdr:to>
      <xdr:col>16</xdr:col>
      <xdr:colOff>2762250</xdr:colOff>
      <xdr:row>41</xdr:row>
      <xdr:rowOff>1476375</xdr:rowOff>
    </xdr:to>
    <xdr:graphicFrame macro="">
      <xdr:nvGraphicFramePr>
        <xdr:cNvPr id="38" name="Gráfico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16</xdr:col>
      <xdr:colOff>152399</xdr:colOff>
      <xdr:row>42</xdr:row>
      <xdr:rowOff>28574</xdr:rowOff>
    </xdr:from>
    <xdr:to>
      <xdr:col>16</xdr:col>
      <xdr:colOff>2809874</xdr:colOff>
      <xdr:row>42</xdr:row>
      <xdr:rowOff>1523999</xdr:rowOff>
    </xdr:to>
    <xdr:graphicFrame macro="">
      <xdr:nvGraphicFramePr>
        <xdr:cNvPr id="39" name="Gráfico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16</xdr:col>
      <xdr:colOff>152399</xdr:colOff>
      <xdr:row>43</xdr:row>
      <xdr:rowOff>57149</xdr:rowOff>
    </xdr:from>
    <xdr:to>
      <xdr:col>16</xdr:col>
      <xdr:colOff>2828924</xdr:colOff>
      <xdr:row>43</xdr:row>
      <xdr:rowOff>1438274</xdr:rowOff>
    </xdr:to>
    <xdr:graphicFrame macro="">
      <xdr:nvGraphicFramePr>
        <xdr:cNvPr id="40" name="Gráfico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16</xdr:col>
      <xdr:colOff>133350</xdr:colOff>
      <xdr:row>44</xdr:row>
      <xdr:rowOff>28574</xdr:rowOff>
    </xdr:from>
    <xdr:to>
      <xdr:col>16</xdr:col>
      <xdr:colOff>2771775</xdr:colOff>
      <xdr:row>44</xdr:row>
      <xdr:rowOff>1485900</xdr:rowOff>
    </xdr:to>
    <xdr:graphicFrame macro="">
      <xdr:nvGraphicFramePr>
        <xdr:cNvPr id="41" name="Gráfico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16</xdr:col>
      <xdr:colOff>133350</xdr:colOff>
      <xdr:row>45</xdr:row>
      <xdr:rowOff>66674</xdr:rowOff>
    </xdr:from>
    <xdr:to>
      <xdr:col>16</xdr:col>
      <xdr:colOff>2819400</xdr:colOff>
      <xdr:row>45</xdr:row>
      <xdr:rowOff>1485899</xdr:rowOff>
    </xdr:to>
    <xdr:graphicFrame macro="">
      <xdr:nvGraphicFramePr>
        <xdr:cNvPr id="42" name="Gráfico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16</xdr:col>
      <xdr:colOff>161925</xdr:colOff>
      <xdr:row>46</xdr:row>
      <xdr:rowOff>28574</xdr:rowOff>
    </xdr:from>
    <xdr:to>
      <xdr:col>16</xdr:col>
      <xdr:colOff>2771775</xdr:colOff>
      <xdr:row>46</xdr:row>
      <xdr:rowOff>1609725</xdr:rowOff>
    </xdr:to>
    <xdr:graphicFrame macro="">
      <xdr:nvGraphicFramePr>
        <xdr:cNvPr id="43" name="Gráfico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16</xdr:col>
      <xdr:colOff>123825</xdr:colOff>
      <xdr:row>47</xdr:row>
      <xdr:rowOff>57149</xdr:rowOff>
    </xdr:from>
    <xdr:to>
      <xdr:col>16</xdr:col>
      <xdr:colOff>2743200</xdr:colOff>
      <xdr:row>47</xdr:row>
      <xdr:rowOff>1666875</xdr:rowOff>
    </xdr:to>
    <xdr:graphicFrame macro="">
      <xdr:nvGraphicFramePr>
        <xdr:cNvPr id="44" name="Gráfico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16</xdr:col>
      <xdr:colOff>133350</xdr:colOff>
      <xdr:row>48</xdr:row>
      <xdr:rowOff>47625</xdr:rowOff>
    </xdr:from>
    <xdr:to>
      <xdr:col>16</xdr:col>
      <xdr:colOff>2800350</xdr:colOff>
      <xdr:row>48</xdr:row>
      <xdr:rowOff>1457325</xdr:rowOff>
    </xdr:to>
    <xdr:graphicFrame macro="">
      <xdr:nvGraphicFramePr>
        <xdr:cNvPr id="45" name="Gráfico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16</xdr:col>
      <xdr:colOff>123825</xdr:colOff>
      <xdr:row>49</xdr:row>
      <xdr:rowOff>66675</xdr:rowOff>
    </xdr:from>
    <xdr:to>
      <xdr:col>16</xdr:col>
      <xdr:colOff>2790825</xdr:colOff>
      <xdr:row>49</xdr:row>
      <xdr:rowOff>1666875</xdr:rowOff>
    </xdr:to>
    <xdr:graphicFrame macro="">
      <xdr:nvGraphicFramePr>
        <xdr:cNvPr id="46" name="Gráfico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16</xdr:col>
      <xdr:colOff>142875</xdr:colOff>
      <xdr:row>50</xdr:row>
      <xdr:rowOff>57150</xdr:rowOff>
    </xdr:from>
    <xdr:to>
      <xdr:col>16</xdr:col>
      <xdr:colOff>2762250</xdr:colOff>
      <xdr:row>50</xdr:row>
      <xdr:rowOff>1466850</xdr:rowOff>
    </xdr:to>
    <xdr:graphicFrame macro="">
      <xdr:nvGraphicFramePr>
        <xdr:cNvPr id="47" name="Gráfico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16</xdr:col>
      <xdr:colOff>142875</xdr:colOff>
      <xdr:row>51</xdr:row>
      <xdr:rowOff>28574</xdr:rowOff>
    </xdr:from>
    <xdr:to>
      <xdr:col>16</xdr:col>
      <xdr:colOff>2809875</xdr:colOff>
      <xdr:row>51</xdr:row>
      <xdr:rowOff>1485900</xdr:rowOff>
    </xdr:to>
    <xdr:graphicFrame macro="">
      <xdr:nvGraphicFramePr>
        <xdr:cNvPr id="48" name="Gráfico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16</xdr:col>
      <xdr:colOff>161925</xdr:colOff>
      <xdr:row>52</xdr:row>
      <xdr:rowOff>66674</xdr:rowOff>
    </xdr:from>
    <xdr:to>
      <xdr:col>16</xdr:col>
      <xdr:colOff>2790825</xdr:colOff>
      <xdr:row>52</xdr:row>
      <xdr:rowOff>1457325</xdr:rowOff>
    </xdr:to>
    <xdr:graphicFrame macro="">
      <xdr:nvGraphicFramePr>
        <xdr:cNvPr id="49" name="Gráfico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16</xdr:col>
      <xdr:colOff>171449</xdr:colOff>
      <xdr:row>53</xdr:row>
      <xdr:rowOff>66674</xdr:rowOff>
    </xdr:from>
    <xdr:to>
      <xdr:col>16</xdr:col>
      <xdr:colOff>2809874</xdr:colOff>
      <xdr:row>53</xdr:row>
      <xdr:rowOff>1466849</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16</xdr:col>
      <xdr:colOff>171450</xdr:colOff>
      <xdr:row>54</xdr:row>
      <xdr:rowOff>66675</xdr:rowOff>
    </xdr:from>
    <xdr:to>
      <xdr:col>16</xdr:col>
      <xdr:colOff>2771775</xdr:colOff>
      <xdr:row>54</xdr:row>
      <xdr:rowOff>1457325</xdr:rowOff>
    </xdr:to>
    <xdr:graphicFrame macro="">
      <xdr:nvGraphicFramePr>
        <xdr:cNvPr id="51" name="Gráfico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16</xdr:col>
      <xdr:colOff>190500</xdr:colOff>
      <xdr:row>55</xdr:row>
      <xdr:rowOff>38099</xdr:rowOff>
    </xdr:from>
    <xdr:to>
      <xdr:col>16</xdr:col>
      <xdr:colOff>2819400</xdr:colOff>
      <xdr:row>55</xdr:row>
      <xdr:rowOff>1419224</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16</xdr:col>
      <xdr:colOff>152400</xdr:colOff>
      <xdr:row>56</xdr:row>
      <xdr:rowOff>57149</xdr:rowOff>
    </xdr:from>
    <xdr:to>
      <xdr:col>16</xdr:col>
      <xdr:colOff>2867025</xdr:colOff>
      <xdr:row>56</xdr:row>
      <xdr:rowOff>1476374</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16</xdr:col>
      <xdr:colOff>171450</xdr:colOff>
      <xdr:row>57</xdr:row>
      <xdr:rowOff>76200</xdr:rowOff>
    </xdr:from>
    <xdr:to>
      <xdr:col>16</xdr:col>
      <xdr:colOff>2781300</xdr:colOff>
      <xdr:row>57</xdr:row>
      <xdr:rowOff>1466850</xdr:rowOff>
    </xdr:to>
    <xdr:graphicFrame macro="">
      <xdr:nvGraphicFramePr>
        <xdr:cNvPr id="54" name="Gráfico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16</xdr:col>
      <xdr:colOff>161925</xdr:colOff>
      <xdr:row>58</xdr:row>
      <xdr:rowOff>76200</xdr:rowOff>
    </xdr:from>
    <xdr:to>
      <xdr:col>16</xdr:col>
      <xdr:colOff>2790825</xdr:colOff>
      <xdr:row>58</xdr:row>
      <xdr:rowOff>1428749</xdr:rowOff>
    </xdr:to>
    <xdr:graphicFrame macro="">
      <xdr:nvGraphicFramePr>
        <xdr:cNvPr id="55" name="Gráfico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16</xdr:col>
      <xdr:colOff>161925</xdr:colOff>
      <xdr:row>59</xdr:row>
      <xdr:rowOff>66674</xdr:rowOff>
    </xdr:from>
    <xdr:to>
      <xdr:col>16</xdr:col>
      <xdr:colOff>2809875</xdr:colOff>
      <xdr:row>59</xdr:row>
      <xdr:rowOff>1457325</xdr:rowOff>
    </xdr:to>
    <xdr:graphicFrame macro="">
      <xdr:nvGraphicFramePr>
        <xdr:cNvPr id="59" name="Gráfico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16</xdr:col>
      <xdr:colOff>180974</xdr:colOff>
      <xdr:row>60</xdr:row>
      <xdr:rowOff>66674</xdr:rowOff>
    </xdr:from>
    <xdr:to>
      <xdr:col>16</xdr:col>
      <xdr:colOff>2838449</xdr:colOff>
      <xdr:row>60</xdr:row>
      <xdr:rowOff>1504949</xdr:rowOff>
    </xdr:to>
    <xdr:graphicFrame macro="">
      <xdr:nvGraphicFramePr>
        <xdr:cNvPr id="60" name="Gráfico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16</xdr:col>
      <xdr:colOff>180975</xdr:colOff>
      <xdr:row>61</xdr:row>
      <xdr:rowOff>28575</xdr:rowOff>
    </xdr:from>
    <xdr:to>
      <xdr:col>16</xdr:col>
      <xdr:colOff>2800350</xdr:colOff>
      <xdr:row>61</xdr:row>
      <xdr:rowOff>1514475</xdr:rowOff>
    </xdr:to>
    <xdr:graphicFrame macro="">
      <xdr:nvGraphicFramePr>
        <xdr:cNvPr id="61" name="Gráfico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16</xdr:col>
      <xdr:colOff>180975</xdr:colOff>
      <xdr:row>62</xdr:row>
      <xdr:rowOff>38099</xdr:rowOff>
    </xdr:from>
    <xdr:to>
      <xdr:col>16</xdr:col>
      <xdr:colOff>2781300</xdr:colOff>
      <xdr:row>62</xdr:row>
      <xdr:rowOff>1476375</xdr:rowOff>
    </xdr:to>
    <xdr:graphicFrame macro="">
      <xdr:nvGraphicFramePr>
        <xdr:cNvPr id="62" name="Gráfico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16</xdr:col>
      <xdr:colOff>171450</xdr:colOff>
      <xdr:row>63</xdr:row>
      <xdr:rowOff>38099</xdr:rowOff>
    </xdr:from>
    <xdr:to>
      <xdr:col>16</xdr:col>
      <xdr:colOff>2819400</xdr:colOff>
      <xdr:row>63</xdr:row>
      <xdr:rowOff>1495424</xdr:rowOff>
    </xdr:to>
    <xdr:graphicFrame macro="">
      <xdr:nvGraphicFramePr>
        <xdr:cNvPr id="63" name="Gráfico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16</xdr:col>
      <xdr:colOff>142875</xdr:colOff>
      <xdr:row>64</xdr:row>
      <xdr:rowOff>47625</xdr:rowOff>
    </xdr:from>
    <xdr:to>
      <xdr:col>16</xdr:col>
      <xdr:colOff>2886075</xdr:colOff>
      <xdr:row>64</xdr:row>
      <xdr:rowOff>1390650</xdr:rowOff>
    </xdr:to>
    <xdr:graphicFrame macro="">
      <xdr:nvGraphicFramePr>
        <xdr:cNvPr id="64" name="Gráfico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16</xdr:col>
      <xdr:colOff>161925</xdr:colOff>
      <xdr:row>65</xdr:row>
      <xdr:rowOff>57150</xdr:rowOff>
    </xdr:from>
    <xdr:to>
      <xdr:col>16</xdr:col>
      <xdr:colOff>2733675</xdr:colOff>
      <xdr:row>65</xdr:row>
      <xdr:rowOff>1495426</xdr:rowOff>
    </xdr:to>
    <xdr:graphicFrame macro="">
      <xdr:nvGraphicFramePr>
        <xdr:cNvPr id="65" name="Gráfico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16</xdr:col>
      <xdr:colOff>161924</xdr:colOff>
      <xdr:row>66</xdr:row>
      <xdr:rowOff>38100</xdr:rowOff>
    </xdr:from>
    <xdr:to>
      <xdr:col>16</xdr:col>
      <xdr:colOff>2819399</xdr:colOff>
      <xdr:row>66</xdr:row>
      <xdr:rowOff>1485900</xdr:rowOff>
    </xdr:to>
    <xdr:graphicFrame macro="">
      <xdr:nvGraphicFramePr>
        <xdr:cNvPr id="66" name="Gráfico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16</xdr:col>
      <xdr:colOff>171449</xdr:colOff>
      <xdr:row>67</xdr:row>
      <xdr:rowOff>57150</xdr:rowOff>
    </xdr:from>
    <xdr:to>
      <xdr:col>16</xdr:col>
      <xdr:colOff>2828924</xdr:colOff>
      <xdr:row>67</xdr:row>
      <xdr:rowOff>1504950</xdr:rowOff>
    </xdr:to>
    <xdr:graphicFrame macro="">
      <xdr:nvGraphicFramePr>
        <xdr:cNvPr id="67" name="Gráfico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219075</xdr:colOff>
      <xdr:row>4</xdr:row>
      <xdr:rowOff>47624</xdr:rowOff>
    </xdr:from>
    <xdr:to>
      <xdr:col>11</xdr:col>
      <xdr:colOff>3076575</xdr:colOff>
      <xdr:row>4</xdr:row>
      <xdr:rowOff>1466849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19</xdr:col>
      <xdr:colOff>142874</xdr:colOff>
      <xdr:row>4</xdr:row>
      <xdr:rowOff>57151</xdr:rowOff>
    </xdr:from>
    <xdr:to>
      <xdr:col>19</xdr:col>
      <xdr:colOff>2933699</xdr:colOff>
      <xdr:row>4</xdr:row>
      <xdr:rowOff>1571625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142875</xdr:colOff>
      <xdr:row>5</xdr:row>
      <xdr:rowOff>57149</xdr:rowOff>
    </xdr:from>
    <xdr:to>
      <xdr:col>19</xdr:col>
      <xdr:colOff>3038475</xdr:colOff>
      <xdr:row>5</xdr:row>
      <xdr:rowOff>1628774</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133350</xdr:colOff>
      <xdr:row>6</xdr:row>
      <xdr:rowOff>38099</xdr:rowOff>
    </xdr:from>
    <xdr:to>
      <xdr:col>19</xdr:col>
      <xdr:colOff>3028950</xdr:colOff>
      <xdr:row>6</xdr:row>
      <xdr:rowOff>1571624</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J39"/>
  <sheetViews>
    <sheetView zoomScale="85" zoomScaleNormal="85" workbookViewId="0">
      <selection activeCell="C11" sqref="C11"/>
    </sheetView>
  </sheetViews>
  <sheetFormatPr baseColWidth="10" defaultRowHeight="15" x14ac:dyDescent="0.25"/>
  <cols>
    <col min="1" max="1" width="5.5703125" customWidth="1"/>
    <col min="2" max="2" width="6.28515625" style="49" customWidth="1"/>
    <col min="3" max="3" width="27.85546875" style="93" customWidth="1"/>
    <col min="4" max="4" width="19" style="9" customWidth="1"/>
    <col min="5" max="5" width="14.42578125" style="9" customWidth="1"/>
    <col min="6" max="6" width="15.42578125" style="9" customWidth="1"/>
    <col min="7" max="10" width="14.42578125" style="9" customWidth="1"/>
    <col min="11" max="11" width="16.7109375" style="9" customWidth="1"/>
    <col min="12" max="15" width="14.42578125" style="9" customWidth="1"/>
    <col min="16" max="18" width="14.85546875" style="93" customWidth="1"/>
    <col min="19" max="19" width="19.140625" style="93" customWidth="1"/>
    <col min="20" max="20" width="18.5703125" style="93" customWidth="1"/>
    <col min="21" max="21" width="14.85546875" style="93" customWidth="1"/>
    <col min="22" max="22" width="16.5703125" style="93" customWidth="1"/>
    <col min="23" max="23" width="15.7109375" style="9" customWidth="1"/>
    <col min="24" max="24" width="16.5703125" style="9" customWidth="1"/>
    <col min="25" max="25" width="51.140625" customWidth="1"/>
    <col min="26" max="26" width="15.85546875" customWidth="1"/>
    <col min="27" max="36" width="13.85546875" style="9" customWidth="1"/>
  </cols>
  <sheetData>
    <row r="3" spans="2:36" ht="15" customHeight="1" x14ac:dyDescent="0.25">
      <c r="B3" s="144" t="s">
        <v>0</v>
      </c>
      <c r="C3" s="145"/>
      <c r="D3" s="145"/>
      <c r="E3" s="145"/>
      <c r="F3" s="145"/>
      <c r="G3" s="145"/>
      <c r="H3" s="145"/>
      <c r="I3" s="145"/>
      <c r="J3" s="145"/>
      <c r="K3" s="145"/>
      <c r="L3" s="145"/>
      <c r="M3" s="145"/>
      <c r="N3" s="145"/>
      <c r="O3" s="146"/>
      <c r="P3" s="151" t="s">
        <v>59</v>
      </c>
      <c r="Q3" s="152"/>
      <c r="R3" s="152"/>
      <c r="S3" s="152"/>
      <c r="T3" s="152"/>
      <c r="U3" s="153"/>
      <c r="V3" s="117"/>
      <c r="W3" s="89"/>
      <c r="X3" s="89"/>
      <c r="Y3" s="158" t="s">
        <v>162</v>
      </c>
      <c r="AA3" s="157" t="s">
        <v>312</v>
      </c>
      <c r="AB3" s="157"/>
      <c r="AC3" s="157"/>
      <c r="AD3" s="157"/>
      <c r="AE3" s="157"/>
      <c r="AF3" s="157"/>
      <c r="AG3" s="157"/>
      <c r="AH3" s="157"/>
      <c r="AI3" s="157"/>
      <c r="AJ3" s="157"/>
    </row>
    <row r="4" spans="2:36" ht="15" customHeight="1" x14ac:dyDescent="0.25">
      <c r="B4" s="147" t="s">
        <v>1</v>
      </c>
      <c r="C4" s="149" t="s">
        <v>299</v>
      </c>
      <c r="D4" s="147" t="s">
        <v>300</v>
      </c>
      <c r="E4" s="147" t="s">
        <v>4</v>
      </c>
      <c r="F4" s="147" t="s">
        <v>5</v>
      </c>
      <c r="G4" s="147" t="s">
        <v>7</v>
      </c>
      <c r="H4" s="147" t="s">
        <v>8</v>
      </c>
      <c r="I4" s="147" t="s">
        <v>9</v>
      </c>
      <c r="J4" s="147" t="s">
        <v>10</v>
      </c>
      <c r="K4" s="147" t="s">
        <v>11</v>
      </c>
      <c r="L4" s="147" t="s">
        <v>12</v>
      </c>
      <c r="M4" s="147" t="s">
        <v>13</v>
      </c>
      <c r="N4" s="147" t="s">
        <v>14</v>
      </c>
      <c r="O4" s="147" t="s">
        <v>301</v>
      </c>
      <c r="P4" s="141" t="s">
        <v>49</v>
      </c>
      <c r="Q4" s="142"/>
      <c r="R4" s="142"/>
      <c r="S4" s="142"/>
      <c r="T4" s="142"/>
      <c r="U4" s="143"/>
      <c r="V4" s="163" t="s">
        <v>50</v>
      </c>
      <c r="W4" s="158" t="s">
        <v>51</v>
      </c>
      <c r="X4" s="158" t="s">
        <v>52</v>
      </c>
      <c r="Y4" s="158"/>
      <c r="AA4" s="147" t="s">
        <v>4</v>
      </c>
      <c r="AB4" s="147" t="s">
        <v>5</v>
      </c>
      <c r="AC4" s="147" t="s">
        <v>7</v>
      </c>
      <c r="AD4" s="147" t="s">
        <v>8</v>
      </c>
      <c r="AE4" s="147" t="s">
        <v>9</v>
      </c>
      <c r="AF4" s="147" t="s">
        <v>10</v>
      </c>
      <c r="AG4" s="147" t="s">
        <v>11</v>
      </c>
      <c r="AH4" s="147" t="s">
        <v>12</v>
      </c>
      <c r="AI4" s="147" t="s">
        <v>13</v>
      </c>
      <c r="AJ4" s="147" t="s">
        <v>14</v>
      </c>
    </row>
    <row r="5" spans="2:36" ht="123" customHeight="1" x14ac:dyDescent="0.25">
      <c r="B5" s="148"/>
      <c r="C5" s="150"/>
      <c r="D5" s="148"/>
      <c r="E5" s="148"/>
      <c r="F5" s="148"/>
      <c r="G5" s="148"/>
      <c r="H5" s="148"/>
      <c r="I5" s="148"/>
      <c r="J5" s="148"/>
      <c r="K5" s="148"/>
      <c r="L5" s="148"/>
      <c r="M5" s="148"/>
      <c r="N5" s="148"/>
      <c r="O5" s="148"/>
      <c r="P5" s="118" t="s">
        <v>53</v>
      </c>
      <c r="Q5" s="118" t="s">
        <v>54</v>
      </c>
      <c r="R5" s="116" t="s">
        <v>55</v>
      </c>
      <c r="S5" s="116" t="s">
        <v>56</v>
      </c>
      <c r="T5" s="116" t="s">
        <v>57</v>
      </c>
      <c r="U5" s="116" t="s">
        <v>149</v>
      </c>
      <c r="V5" s="163"/>
      <c r="W5" s="158"/>
      <c r="X5" s="158"/>
      <c r="Y5" s="158"/>
      <c r="AA5" s="148"/>
      <c r="AB5" s="148"/>
      <c r="AC5" s="148"/>
      <c r="AD5" s="148"/>
      <c r="AE5" s="148"/>
      <c r="AF5" s="148"/>
      <c r="AG5" s="148"/>
      <c r="AH5" s="148"/>
      <c r="AI5" s="148"/>
      <c r="AJ5" s="148"/>
    </row>
    <row r="6" spans="2:36" ht="139.5" customHeight="1" x14ac:dyDescent="0.25">
      <c r="B6" s="83">
        <v>1</v>
      </c>
      <c r="C6" s="90" t="s">
        <v>2</v>
      </c>
      <c r="D6" s="91" t="s">
        <v>3</v>
      </c>
      <c r="E6" s="91">
        <v>0</v>
      </c>
      <c r="F6" s="91">
        <v>0</v>
      </c>
      <c r="G6" s="91">
        <v>0</v>
      </c>
      <c r="H6" s="91">
        <v>0</v>
      </c>
      <c r="I6" s="91">
        <v>0</v>
      </c>
      <c r="J6" s="91">
        <v>0</v>
      </c>
      <c r="K6" s="91">
        <v>0</v>
      </c>
      <c r="L6" s="91">
        <v>0</v>
      </c>
      <c r="M6" s="91">
        <v>8</v>
      </c>
      <c r="N6" s="91">
        <v>0</v>
      </c>
      <c r="O6" s="82">
        <f>SUM(E6:N6)</f>
        <v>8</v>
      </c>
      <c r="P6" s="48"/>
      <c r="Q6" s="48"/>
      <c r="R6" s="48"/>
      <c r="S6" s="48">
        <v>10472</v>
      </c>
      <c r="T6" s="48">
        <v>16755.2</v>
      </c>
      <c r="U6" s="92"/>
      <c r="V6" s="48"/>
      <c r="W6" s="12">
        <f>ROUND(GEOMEAN(P6:V6),0)</f>
        <v>13246</v>
      </c>
      <c r="X6" s="13">
        <f>+W6*O6</f>
        <v>105968</v>
      </c>
      <c r="Y6" s="13"/>
      <c r="AA6" s="12">
        <f>+W6*E6</f>
        <v>0</v>
      </c>
      <c r="AB6" s="12">
        <f>+W6*F6</f>
        <v>0</v>
      </c>
      <c r="AC6" s="12">
        <f>+W6*G6</f>
        <v>0</v>
      </c>
      <c r="AD6" s="12">
        <f>+W6*H6</f>
        <v>0</v>
      </c>
      <c r="AE6" s="12">
        <f>+W6*I6</f>
        <v>0</v>
      </c>
      <c r="AF6" s="12">
        <f>+W6*J6</f>
        <v>0</v>
      </c>
      <c r="AG6" s="12">
        <f>+W6*K6</f>
        <v>0</v>
      </c>
      <c r="AH6" s="12">
        <f>+W6*L6</f>
        <v>0</v>
      </c>
      <c r="AI6" s="12">
        <f>+W6*M6</f>
        <v>105968</v>
      </c>
      <c r="AJ6" s="12">
        <f>+W6*N6</f>
        <v>0</v>
      </c>
    </row>
    <row r="7" spans="2:36" ht="139.5" customHeight="1" x14ac:dyDescent="0.25">
      <c r="B7" s="83">
        <f>1+B6</f>
        <v>2</v>
      </c>
      <c r="C7" s="90" t="s">
        <v>16</v>
      </c>
      <c r="D7" s="91" t="s">
        <v>17</v>
      </c>
      <c r="E7" s="91">
        <v>0</v>
      </c>
      <c r="F7" s="91">
        <v>0</v>
      </c>
      <c r="G7" s="91">
        <v>0</v>
      </c>
      <c r="H7" s="91">
        <v>0</v>
      </c>
      <c r="I7" s="91">
        <v>2</v>
      </c>
      <c r="J7" s="91">
        <v>0</v>
      </c>
      <c r="K7" s="91">
        <v>0</v>
      </c>
      <c r="L7" s="91">
        <v>0</v>
      </c>
      <c r="M7" s="91">
        <v>10</v>
      </c>
      <c r="N7" s="91">
        <v>0</v>
      </c>
      <c r="O7" s="82">
        <f t="shared" ref="O7:O33" si="0">SUM(E7:N7)</f>
        <v>12</v>
      </c>
      <c r="P7" s="48">
        <v>27489</v>
      </c>
      <c r="Q7" s="48">
        <v>27251</v>
      </c>
      <c r="R7" s="48">
        <v>11644.15</v>
      </c>
      <c r="S7" s="48"/>
      <c r="T7" s="48">
        <v>4950.3999999999996</v>
      </c>
      <c r="U7" s="92"/>
      <c r="V7" s="48"/>
      <c r="W7" s="12">
        <f>ROUND(HARMEAN(P7:V7),0)</f>
        <v>11082</v>
      </c>
      <c r="X7" s="13">
        <f t="shared" ref="X7:X34" si="1">+W7*O7</f>
        <v>132984</v>
      </c>
      <c r="Y7" s="13"/>
      <c r="AA7" s="12">
        <f t="shared" ref="AA7:AA34" si="2">+W7*E7</f>
        <v>0</v>
      </c>
      <c r="AB7" s="12">
        <f t="shared" ref="AB7:AB34" si="3">+W7*F7</f>
        <v>0</v>
      </c>
      <c r="AC7" s="12">
        <f t="shared" ref="AC7:AC34" si="4">+W7*G7</f>
        <v>0</v>
      </c>
      <c r="AD7" s="12">
        <f t="shared" ref="AD7:AD34" si="5">+W7*H7</f>
        <v>0</v>
      </c>
      <c r="AE7" s="12">
        <f t="shared" ref="AE7:AE34" si="6">+W7*I7</f>
        <v>22164</v>
      </c>
      <c r="AF7" s="12">
        <f t="shared" ref="AF7:AF34" si="7">+W7*J7</f>
        <v>0</v>
      </c>
      <c r="AG7" s="12">
        <f t="shared" ref="AG7:AG34" si="8">+W7*K7</f>
        <v>0</v>
      </c>
      <c r="AH7" s="12">
        <f t="shared" ref="AH7:AH34" si="9">+W7*L7</f>
        <v>0</v>
      </c>
      <c r="AI7" s="12">
        <f t="shared" ref="AI7:AI34" si="10">+W7*M7</f>
        <v>110820</v>
      </c>
      <c r="AJ7" s="12">
        <f t="shared" ref="AJ7:AJ34" si="11">+W7*N7</f>
        <v>0</v>
      </c>
    </row>
    <row r="8" spans="2:36" ht="139.5" customHeight="1" x14ac:dyDescent="0.25">
      <c r="B8" s="83">
        <f t="shared" ref="B8:B34" si="12">1+B7</f>
        <v>3</v>
      </c>
      <c r="C8" s="90" t="s">
        <v>18</v>
      </c>
      <c r="D8" s="91" t="s">
        <v>19</v>
      </c>
      <c r="E8" s="91">
        <v>3</v>
      </c>
      <c r="F8" s="91">
        <v>0</v>
      </c>
      <c r="G8" s="91">
        <v>0</v>
      </c>
      <c r="H8" s="91">
        <v>0</v>
      </c>
      <c r="I8" s="91">
        <v>0</v>
      </c>
      <c r="J8" s="91">
        <v>0</v>
      </c>
      <c r="K8" s="91">
        <v>0</v>
      </c>
      <c r="L8" s="91">
        <v>0</v>
      </c>
      <c r="M8" s="91">
        <v>0</v>
      </c>
      <c r="N8" s="91">
        <v>0</v>
      </c>
      <c r="O8" s="82">
        <f t="shared" si="0"/>
        <v>3</v>
      </c>
      <c r="P8" s="48"/>
      <c r="Q8" s="48"/>
      <c r="R8" s="48"/>
      <c r="S8" s="48">
        <v>714000</v>
      </c>
      <c r="T8" s="48">
        <v>1166200</v>
      </c>
      <c r="U8" s="92"/>
      <c r="V8" s="48"/>
      <c r="W8" s="12">
        <f>ROUND(HARMEAN(P8:V8),0)</f>
        <v>885722</v>
      </c>
      <c r="X8" s="13">
        <f t="shared" si="1"/>
        <v>2657166</v>
      </c>
      <c r="Y8" s="13"/>
      <c r="AA8" s="12">
        <f t="shared" si="2"/>
        <v>2657166</v>
      </c>
      <c r="AB8" s="12">
        <f t="shared" si="3"/>
        <v>0</v>
      </c>
      <c r="AC8" s="12">
        <f t="shared" si="4"/>
        <v>0</v>
      </c>
      <c r="AD8" s="12">
        <f t="shared" si="5"/>
        <v>0</v>
      </c>
      <c r="AE8" s="12">
        <f t="shared" si="6"/>
        <v>0</v>
      </c>
      <c r="AF8" s="12">
        <f t="shared" si="7"/>
        <v>0</v>
      </c>
      <c r="AG8" s="12">
        <f t="shared" si="8"/>
        <v>0</v>
      </c>
      <c r="AH8" s="12">
        <f t="shared" si="9"/>
        <v>0</v>
      </c>
      <c r="AI8" s="12">
        <f t="shared" si="10"/>
        <v>0</v>
      </c>
      <c r="AJ8" s="12">
        <f t="shared" si="11"/>
        <v>0</v>
      </c>
    </row>
    <row r="9" spans="2:36" ht="131.25" customHeight="1" x14ac:dyDescent="0.25">
      <c r="B9" s="83">
        <f t="shared" si="12"/>
        <v>4</v>
      </c>
      <c r="C9" s="90" t="s">
        <v>20</v>
      </c>
      <c r="D9" s="91" t="s">
        <v>21</v>
      </c>
      <c r="E9" s="91">
        <v>13</v>
      </c>
      <c r="F9" s="91">
        <v>5</v>
      </c>
      <c r="G9" s="91">
        <v>6</v>
      </c>
      <c r="H9" s="91">
        <v>0</v>
      </c>
      <c r="I9" s="91">
        <v>11</v>
      </c>
      <c r="J9" s="91">
        <v>0</v>
      </c>
      <c r="K9" s="91">
        <v>0</v>
      </c>
      <c r="L9" s="91">
        <v>0</v>
      </c>
      <c r="M9" s="91">
        <v>2</v>
      </c>
      <c r="N9" s="91">
        <v>4</v>
      </c>
      <c r="O9" s="82">
        <f t="shared" si="0"/>
        <v>41</v>
      </c>
      <c r="P9" s="48"/>
      <c r="Q9" s="48"/>
      <c r="R9" s="48"/>
      <c r="S9" s="48">
        <v>55930</v>
      </c>
      <c r="T9" s="48">
        <v>89488</v>
      </c>
      <c r="U9" s="92"/>
      <c r="V9" s="48"/>
      <c r="W9" s="12">
        <f>ROUND(HARMEAN(P9:V9),0)</f>
        <v>68837</v>
      </c>
      <c r="X9" s="13">
        <f t="shared" si="1"/>
        <v>2822317</v>
      </c>
      <c r="Y9" s="13"/>
      <c r="AA9" s="12">
        <f t="shared" si="2"/>
        <v>894881</v>
      </c>
      <c r="AB9" s="12">
        <f t="shared" si="3"/>
        <v>344185</v>
      </c>
      <c r="AC9" s="12">
        <f t="shared" si="4"/>
        <v>413022</v>
      </c>
      <c r="AD9" s="12">
        <f t="shared" si="5"/>
        <v>0</v>
      </c>
      <c r="AE9" s="12">
        <f t="shared" si="6"/>
        <v>757207</v>
      </c>
      <c r="AF9" s="12">
        <f t="shared" si="7"/>
        <v>0</v>
      </c>
      <c r="AG9" s="12">
        <f t="shared" si="8"/>
        <v>0</v>
      </c>
      <c r="AH9" s="12">
        <f t="shared" si="9"/>
        <v>0</v>
      </c>
      <c r="AI9" s="12">
        <f t="shared" si="10"/>
        <v>137674</v>
      </c>
      <c r="AJ9" s="12">
        <f t="shared" si="11"/>
        <v>275348</v>
      </c>
    </row>
    <row r="10" spans="2:36" ht="139.5" customHeight="1" x14ac:dyDescent="0.25">
      <c r="B10" s="83">
        <f t="shared" si="12"/>
        <v>5</v>
      </c>
      <c r="C10" s="90" t="s">
        <v>22</v>
      </c>
      <c r="D10" s="91" t="s">
        <v>17</v>
      </c>
      <c r="E10" s="91">
        <v>0</v>
      </c>
      <c r="F10" s="91">
        <v>0</v>
      </c>
      <c r="G10" s="91">
        <v>0</v>
      </c>
      <c r="H10" s="91">
        <v>0</v>
      </c>
      <c r="I10" s="91">
        <v>3</v>
      </c>
      <c r="J10" s="91">
        <v>0</v>
      </c>
      <c r="K10" s="91">
        <v>0</v>
      </c>
      <c r="L10" s="91">
        <v>0</v>
      </c>
      <c r="M10" s="91">
        <v>3</v>
      </c>
      <c r="N10" s="91">
        <v>0</v>
      </c>
      <c r="O10" s="82">
        <f t="shared" si="0"/>
        <v>6</v>
      </c>
      <c r="P10" s="48"/>
      <c r="Q10" s="48"/>
      <c r="R10" s="48"/>
      <c r="S10" s="48">
        <v>64260</v>
      </c>
      <c r="T10" s="48"/>
      <c r="U10" s="92"/>
      <c r="V10" s="48"/>
      <c r="W10" s="12">
        <f t="shared" ref="W10:W17" si="13">ROUND(GEOMEAN(P10:V10),0)</f>
        <v>64260</v>
      </c>
      <c r="X10" s="13">
        <f t="shared" si="1"/>
        <v>385560</v>
      </c>
      <c r="Y10" s="13"/>
      <c r="AA10" s="12">
        <f t="shared" si="2"/>
        <v>0</v>
      </c>
      <c r="AB10" s="12">
        <f t="shared" si="3"/>
        <v>0</v>
      </c>
      <c r="AC10" s="12">
        <f t="shared" si="4"/>
        <v>0</v>
      </c>
      <c r="AD10" s="12">
        <f t="shared" si="5"/>
        <v>0</v>
      </c>
      <c r="AE10" s="12">
        <f t="shared" si="6"/>
        <v>192780</v>
      </c>
      <c r="AF10" s="12">
        <f t="shared" si="7"/>
        <v>0</v>
      </c>
      <c r="AG10" s="12">
        <f t="shared" si="8"/>
        <v>0</v>
      </c>
      <c r="AH10" s="12">
        <f t="shared" si="9"/>
        <v>0</v>
      </c>
      <c r="AI10" s="12">
        <f t="shared" si="10"/>
        <v>192780</v>
      </c>
      <c r="AJ10" s="12">
        <f t="shared" si="11"/>
        <v>0</v>
      </c>
    </row>
    <row r="11" spans="2:36" ht="139.5" customHeight="1" x14ac:dyDescent="0.25">
      <c r="B11" s="83">
        <f t="shared" si="12"/>
        <v>6</v>
      </c>
      <c r="C11" s="90" t="s">
        <v>346</v>
      </c>
      <c r="D11" s="91" t="s">
        <v>17</v>
      </c>
      <c r="E11" s="91">
        <v>0</v>
      </c>
      <c r="F11" s="91">
        <v>0</v>
      </c>
      <c r="G11" s="91">
        <v>0</v>
      </c>
      <c r="H11" s="91">
        <v>0</v>
      </c>
      <c r="I11" s="91">
        <v>0</v>
      </c>
      <c r="J11" s="91">
        <v>0</v>
      </c>
      <c r="K11" s="91">
        <v>0</v>
      </c>
      <c r="L11" s="91">
        <v>0</v>
      </c>
      <c r="M11" s="91">
        <v>5</v>
      </c>
      <c r="N11" s="91">
        <v>0</v>
      </c>
      <c r="O11" s="82">
        <f t="shared" si="0"/>
        <v>5</v>
      </c>
      <c r="P11" s="48"/>
      <c r="Q11" s="48"/>
      <c r="R11" s="48"/>
      <c r="S11" s="48">
        <v>52360</v>
      </c>
      <c r="T11" s="48"/>
      <c r="U11" s="92"/>
      <c r="V11" s="48"/>
      <c r="W11" s="12">
        <f t="shared" si="13"/>
        <v>52360</v>
      </c>
      <c r="X11" s="13">
        <f t="shared" si="1"/>
        <v>261800</v>
      </c>
      <c r="Y11" s="13"/>
      <c r="AA11" s="12">
        <f t="shared" si="2"/>
        <v>0</v>
      </c>
      <c r="AB11" s="12">
        <f t="shared" si="3"/>
        <v>0</v>
      </c>
      <c r="AC11" s="12">
        <f t="shared" si="4"/>
        <v>0</v>
      </c>
      <c r="AD11" s="12">
        <f t="shared" si="5"/>
        <v>0</v>
      </c>
      <c r="AE11" s="12">
        <f t="shared" si="6"/>
        <v>0</v>
      </c>
      <c r="AF11" s="12">
        <f t="shared" si="7"/>
        <v>0</v>
      </c>
      <c r="AG11" s="12">
        <f t="shared" si="8"/>
        <v>0</v>
      </c>
      <c r="AH11" s="12">
        <f t="shared" si="9"/>
        <v>0</v>
      </c>
      <c r="AI11" s="12">
        <f t="shared" si="10"/>
        <v>261800</v>
      </c>
      <c r="AJ11" s="12">
        <f t="shared" si="11"/>
        <v>0</v>
      </c>
    </row>
    <row r="12" spans="2:36" ht="139.5" customHeight="1" x14ac:dyDescent="0.25">
      <c r="B12" s="83">
        <f t="shared" si="12"/>
        <v>7</v>
      </c>
      <c r="C12" s="90" t="s">
        <v>23</v>
      </c>
      <c r="D12" s="91" t="s">
        <v>24</v>
      </c>
      <c r="E12" s="91">
        <v>0</v>
      </c>
      <c r="F12" s="91">
        <v>0</v>
      </c>
      <c r="G12" s="91">
        <v>0</v>
      </c>
      <c r="H12" s="91">
        <v>0</v>
      </c>
      <c r="I12" s="91">
        <v>0</v>
      </c>
      <c r="J12" s="91">
        <v>6</v>
      </c>
      <c r="K12" s="91">
        <v>26</v>
      </c>
      <c r="L12" s="91">
        <v>1</v>
      </c>
      <c r="M12" s="91">
        <v>0</v>
      </c>
      <c r="N12" s="91">
        <v>5</v>
      </c>
      <c r="O12" s="82">
        <f t="shared" si="0"/>
        <v>38</v>
      </c>
      <c r="P12" s="48"/>
      <c r="Q12" s="48"/>
      <c r="R12" s="48"/>
      <c r="S12" s="48"/>
      <c r="T12" s="48">
        <v>13328</v>
      </c>
      <c r="U12" s="92"/>
      <c r="V12" s="48"/>
      <c r="W12" s="12">
        <f t="shared" si="13"/>
        <v>13328</v>
      </c>
      <c r="X12" s="13">
        <f t="shared" si="1"/>
        <v>506464</v>
      </c>
      <c r="Y12" s="13"/>
      <c r="AA12" s="12">
        <f t="shared" si="2"/>
        <v>0</v>
      </c>
      <c r="AB12" s="12">
        <f t="shared" si="3"/>
        <v>0</v>
      </c>
      <c r="AC12" s="12">
        <f t="shared" si="4"/>
        <v>0</v>
      </c>
      <c r="AD12" s="12">
        <f t="shared" si="5"/>
        <v>0</v>
      </c>
      <c r="AE12" s="12">
        <f t="shared" si="6"/>
        <v>0</v>
      </c>
      <c r="AF12" s="12">
        <f t="shared" si="7"/>
        <v>79968</v>
      </c>
      <c r="AG12" s="12">
        <f t="shared" si="8"/>
        <v>346528</v>
      </c>
      <c r="AH12" s="12">
        <f t="shared" si="9"/>
        <v>13328</v>
      </c>
      <c r="AI12" s="12">
        <f t="shared" si="10"/>
        <v>0</v>
      </c>
      <c r="AJ12" s="12">
        <f t="shared" si="11"/>
        <v>66640</v>
      </c>
    </row>
    <row r="13" spans="2:36" ht="139.5" customHeight="1" x14ac:dyDescent="0.25">
      <c r="B13" s="83">
        <f t="shared" si="12"/>
        <v>8</v>
      </c>
      <c r="C13" s="90" t="s">
        <v>25</v>
      </c>
      <c r="D13" s="91" t="s">
        <v>17</v>
      </c>
      <c r="E13" s="91">
        <v>0</v>
      </c>
      <c r="F13" s="91">
        <v>0</v>
      </c>
      <c r="G13" s="91">
        <v>5</v>
      </c>
      <c r="H13" s="91">
        <v>0</v>
      </c>
      <c r="I13" s="91">
        <v>0</v>
      </c>
      <c r="J13" s="91">
        <v>6</v>
      </c>
      <c r="K13" s="91">
        <v>6</v>
      </c>
      <c r="L13" s="91">
        <v>1</v>
      </c>
      <c r="M13" s="91">
        <v>4</v>
      </c>
      <c r="N13" s="91">
        <v>5</v>
      </c>
      <c r="O13" s="82">
        <f t="shared" si="0"/>
        <v>27</v>
      </c>
      <c r="P13" s="48"/>
      <c r="Q13" s="48"/>
      <c r="R13" s="48"/>
      <c r="S13" s="48"/>
      <c r="T13" s="48">
        <v>11424</v>
      </c>
      <c r="U13" s="92"/>
      <c r="V13" s="48"/>
      <c r="W13" s="12">
        <f t="shared" si="13"/>
        <v>11424</v>
      </c>
      <c r="X13" s="13">
        <f t="shared" si="1"/>
        <v>308448</v>
      </c>
      <c r="Y13" s="13"/>
      <c r="AA13" s="12">
        <f t="shared" si="2"/>
        <v>0</v>
      </c>
      <c r="AB13" s="12">
        <f t="shared" si="3"/>
        <v>0</v>
      </c>
      <c r="AC13" s="12">
        <f t="shared" si="4"/>
        <v>57120</v>
      </c>
      <c r="AD13" s="12">
        <f t="shared" si="5"/>
        <v>0</v>
      </c>
      <c r="AE13" s="12">
        <f t="shared" si="6"/>
        <v>0</v>
      </c>
      <c r="AF13" s="12">
        <f t="shared" si="7"/>
        <v>68544</v>
      </c>
      <c r="AG13" s="12">
        <f t="shared" si="8"/>
        <v>68544</v>
      </c>
      <c r="AH13" s="12">
        <f t="shared" si="9"/>
        <v>11424</v>
      </c>
      <c r="AI13" s="12">
        <f t="shared" si="10"/>
        <v>45696</v>
      </c>
      <c r="AJ13" s="12">
        <f t="shared" si="11"/>
        <v>57120</v>
      </c>
    </row>
    <row r="14" spans="2:36" ht="139.5" customHeight="1" x14ac:dyDescent="0.25">
      <c r="B14" s="83">
        <f t="shared" si="12"/>
        <v>9</v>
      </c>
      <c r="C14" s="90" t="s">
        <v>26</v>
      </c>
      <c r="D14" s="91" t="s">
        <v>17</v>
      </c>
      <c r="E14" s="91">
        <v>0</v>
      </c>
      <c r="F14" s="91">
        <v>0</v>
      </c>
      <c r="G14" s="91">
        <v>0</v>
      </c>
      <c r="H14" s="91">
        <v>0</v>
      </c>
      <c r="I14" s="91">
        <v>0</v>
      </c>
      <c r="J14" s="91">
        <v>6</v>
      </c>
      <c r="K14" s="91">
        <v>6</v>
      </c>
      <c r="L14" s="91">
        <v>1</v>
      </c>
      <c r="M14" s="91">
        <v>4</v>
      </c>
      <c r="N14" s="91">
        <v>5</v>
      </c>
      <c r="O14" s="82">
        <f t="shared" si="0"/>
        <v>22</v>
      </c>
      <c r="P14" s="48"/>
      <c r="Q14" s="48">
        <v>297500</v>
      </c>
      <c r="R14" s="48"/>
      <c r="S14" s="48"/>
      <c r="T14" s="48"/>
      <c r="U14" s="92"/>
      <c r="V14" s="48"/>
      <c r="W14" s="12">
        <f t="shared" si="13"/>
        <v>297500</v>
      </c>
      <c r="X14" s="13">
        <f t="shared" si="1"/>
        <v>6545000</v>
      </c>
      <c r="Y14" s="13"/>
      <c r="AA14" s="12">
        <f t="shared" si="2"/>
        <v>0</v>
      </c>
      <c r="AB14" s="12">
        <f t="shared" si="3"/>
        <v>0</v>
      </c>
      <c r="AC14" s="12">
        <f t="shared" si="4"/>
        <v>0</v>
      </c>
      <c r="AD14" s="12">
        <f t="shared" si="5"/>
        <v>0</v>
      </c>
      <c r="AE14" s="12">
        <f t="shared" si="6"/>
        <v>0</v>
      </c>
      <c r="AF14" s="12">
        <f t="shared" si="7"/>
        <v>1785000</v>
      </c>
      <c r="AG14" s="12">
        <f t="shared" si="8"/>
        <v>1785000</v>
      </c>
      <c r="AH14" s="12">
        <f t="shared" si="9"/>
        <v>297500</v>
      </c>
      <c r="AI14" s="12">
        <f t="shared" si="10"/>
        <v>1190000</v>
      </c>
      <c r="AJ14" s="12">
        <f t="shared" si="11"/>
        <v>1487500</v>
      </c>
    </row>
    <row r="15" spans="2:36" ht="139.5" customHeight="1" x14ac:dyDescent="0.25">
      <c r="B15" s="83">
        <f t="shared" si="12"/>
        <v>10</v>
      </c>
      <c r="C15" s="90" t="s">
        <v>27</v>
      </c>
      <c r="D15" s="91" t="s">
        <v>17</v>
      </c>
      <c r="E15" s="91">
        <v>18</v>
      </c>
      <c r="F15" s="91">
        <v>2</v>
      </c>
      <c r="G15" s="91">
        <v>0</v>
      </c>
      <c r="H15" s="91">
        <v>5</v>
      </c>
      <c r="I15" s="91">
        <v>6</v>
      </c>
      <c r="J15" s="91">
        <v>0</v>
      </c>
      <c r="K15" s="91">
        <v>10</v>
      </c>
      <c r="L15" s="91">
        <v>0</v>
      </c>
      <c r="M15" s="91">
        <v>10</v>
      </c>
      <c r="N15" s="91">
        <v>2</v>
      </c>
      <c r="O15" s="82">
        <f t="shared" si="0"/>
        <v>53</v>
      </c>
      <c r="P15" s="48"/>
      <c r="Q15" s="48"/>
      <c r="R15" s="48"/>
      <c r="S15" s="48">
        <v>48790</v>
      </c>
      <c r="T15" s="48">
        <v>66640</v>
      </c>
      <c r="U15" s="92"/>
      <c r="V15" s="48"/>
      <c r="W15" s="12">
        <f t="shared" si="13"/>
        <v>57021</v>
      </c>
      <c r="X15" s="13">
        <f t="shared" si="1"/>
        <v>3022113</v>
      </c>
      <c r="Y15" s="13"/>
      <c r="AA15" s="12">
        <f t="shared" si="2"/>
        <v>1026378</v>
      </c>
      <c r="AB15" s="12">
        <f t="shared" si="3"/>
        <v>114042</v>
      </c>
      <c r="AC15" s="12">
        <f t="shared" si="4"/>
        <v>0</v>
      </c>
      <c r="AD15" s="12">
        <f t="shared" si="5"/>
        <v>285105</v>
      </c>
      <c r="AE15" s="12">
        <f t="shared" si="6"/>
        <v>342126</v>
      </c>
      <c r="AF15" s="12">
        <f t="shared" si="7"/>
        <v>0</v>
      </c>
      <c r="AG15" s="12">
        <f t="shared" si="8"/>
        <v>570210</v>
      </c>
      <c r="AH15" s="12">
        <f t="shared" si="9"/>
        <v>0</v>
      </c>
      <c r="AI15" s="12">
        <f t="shared" si="10"/>
        <v>570210</v>
      </c>
      <c r="AJ15" s="12">
        <f t="shared" si="11"/>
        <v>114042</v>
      </c>
    </row>
    <row r="16" spans="2:36" ht="139.5" customHeight="1" x14ac:dyDescent="0.25">
      <c r="B16" s="83">
        <f t="shared" si="12"/>
        <v>11</v>
      </c>
      <c r="C16" s="90" t="s">
        <v>28</v>
      </c>
      <c r="D16" s="91" t="s">
        <v>17</v>
      </c>
      <c r="E16" s="91">
        <v>12</v>
      </c>
      <c r="F16" s="91">
        <v>0</v>
      </c>
      <c r="G16" s="91">
        <v>0</v>
      </c>
      <c r="H16" s="91">
        <v>0</v>
      </c>
      <c r="I16" s="91">
        <v>0</v>
      </c>
      <c r="J16" s="91">
        <v>0</v>
      </c>
      <c r="K16" s="91">
        <v>0</v>
      </c>
      <c r="L16" s="91">
        <v>0</v>
      </c>
      <c r="M16" s="91">
        <v>5</v>
      </c>
      <c r="N16" s="91">
        <v>0</v>
      </c>
      <c r="O16" s="82">
        <f t="shared" si="0"/>
        <v>17</v>
      </c>
      <c r="P16" s="48"/>
      <c r="Q16" s="48"/>
      <c r="R16" s="48"/>
      <c r="S16" s="48">
        <v>46410</v>
      </c>
      <c r="T16" s="48"/>
      <c r="U16" s="92"/>
      <c r="V16" s="48"/>
      <c r="W16" s="12">
        <f t="shared" si="13"/>
        <v>46410</v>
      </c>
      <c r="X16" s="13">
        <f t="shared" si="1"/>
        <v>788970</v>
      </c>
      <c r="Y16" s="13"/>
      <c r="AA16" s="12">
        <f t="shared" si="2"/>
        <v>556920</v>
      </c>
      <c r="AB16" s="12">
        <f t="shared" si="3"/>
        <v>0</v>
      </c>
      <c r="AC16" s="12">
        <f t="shared" si="4"/>
        <v>0</v>
      </c>
      <c r="AD16" s="12">
        <f t="shared" si="5"/>
        <v>0</v>
      </c>
      <c r="AE16" s="12">
        <f t="shared" si="6"/>
        <v>0</v>
      </c>
      <c r="AF16" s="12">
        <f t="shared" si="7"/>
        <v>0</v>
      </c>
      <c r="AG16" s="12">
        <f t="shared" si="8"/>
        <v>0</v>
      </c>
      <c r="AH16" s="12">
        <f t="shared" si="9"/>
        <v>0</v>
      </c>
      <c r="AI16" s="12">
        <f t="shared" si="10"/>
        <v>232050</v>
      </c>
      <c r="AJ16" s="12">
        <f t="shared" si="11"/>
        <v>0</v>
      </c>
    </row>
    <row r="17" spans="2:36" ht="139.5" customHeight="1" x14ac:dyDescent="0.25">
      <c r="B17" s="83">
        <f t="shared" si="12"/>
        <v>12</v>
      </c>
      <c r="C17" s="90" t="s">
        <v>29</v>
      </c>
      <c r="D17" s="91" t="s">
        <v>17</v>
      </c>
      <c r="E17" s="91">
        <v>0</v>
      </c>
      <c r="F17" s="91">
        <v>0</v>
      </c>
      <c r="G17" s="91">
        <v>0</v>
      </c>
      <c r="H17" s="91">
        <v>0</v>
      </c>
      <c r="I17" s="91">
        <v>6</v>
      </c>
      <c r="J17" s="91">
        <v>0</v>
      </c>
      <c r="K17" s="91">
        <v>0</v>
      </c>
      <c r="L17" s="91">
        <v>0</v>
      </c>
      <c r="M17" s="91">
        <v>5</v>
      </c>
      <c r="N17" s="91">
        <v>0</v>
      </c>
      <c r="O17" s="82">
        <f t="shared" si="0"/>
        <v>11</v>
      </c>
      <c r="P17" s="48"/>
      <c r="Q17" s="48"/>
      <c r="R17" s="48"/>
      <c r="S17" s="48">
        <v>52360</v>
      </c>
      <c r="T17" s="48">
        <v>73780</v>
      </c>
      <c r="U17" s="92"/>
      <c r="V17" s="48"/>
      <c r="W17" s="12">
        <f t="shared" si="13"/>
        <v>62154</v>
      </c>
      <c r="X17" s="13">
        <f t="shared" si="1"/>
        <v>683694</v>
      </c>
      <c r="Y17" s="13"/>
      <c r="AA17" s="12">
        <f t="shared" si="2"/>
        <v>0</v>
      </c>
      <c r="AB17" s="12">
        <f t="shared" si="3"/>
        <v>0</v>
      </c>
      <c r="AC17" s="12">
        <f t="shared" si="4"/>
        <v>0</v>
      </c>
      <c r="AD17" s="12">
        <f t="shared" si="5"/>
        <v>0</v>
      </c>
      <c r="AE17" s="12">
        <f t="shared" si="6"/>
        <v>372924</v>
      </c>
      <c r="AF17" s="12">
        <f t="shared" si="7"/>
        <v>0</v>
      </c>
      <c r="AG17" s="12">
        <f t="shared" si="8"/>
        <v>0</v>
      </c>
      <c r="AH17" s="12">
        <f t="shared" si="9"/>
        <v>0</v>
      </c>
      <c r="AI17" s="12">
        <f t="shared" si="10"/>
        <v>310770</v>
      </c>
      <c r="AJ17" s="12">
        <f t="shared" si="11"/>
        <v>0</v>
      </c>
    </row>
    <row r="18" spans="2:36" ht="139.5" customHeight="1" x14ac:dyDescent="0.25">
      <c r="B18" s="109">
        <f t="shared" si="12"/>
        <v>13</v>
      </c>
      <c r="C18" s="90" t="s">
        <v>30</v>
      </c>
      <c r="D18" s="91" t="s">
        <v>17</v>
      </c>
      <c r="E18" s="91">
        <v>5</v>
      </c>
      <c r="F18" s="91">
        <v>0</v>
      </c>
      <c r="G18" s="91">
        <v>0</v>
      </c>
      <c r="H18" s="91">
        <v>0</v>
      </c>
      <c r="I18" s="91">
        <v>0</v>
      </c>
      <c r="J18" s="91">
        <v>0</v>
      </c>
      <c r="K18" s="91">
        <v>5</v>
      </c>
      <c r="L18" s="91">
        <v>0</v>
      </c>
      <c r="M18" s="91">
        <v>6</v>
      </c>
      <c r="N18" s="91">
        <v>0</v>
      </c>
      <c r="O18" s="82">
        <f t="shared" si="0"/>
        <v>16</v>
      </c>
      <c r="P18" s="48"/>
      <c r="Q18" s="48">
        <v>15827</v>
      </c>
      <c r="R18" s="48"/>
      <c r="S18" s="48"/>
      <c r="T18" s="48"/>
      <c r="U18" s="92"/>
      <c r="V18" s="48"/>
      <c r="W18" s="12">
        <f>ROUND(GEOMEAN(P18:V18),0)</f>
        <v>15827</v>
      </c>
      <c r="X18" s="13">
        <f t="shared" si="1"/>
        <v>253232</v>
      </c>
      <c r="Y18" s="13"/>
      <c r="AA18" s="12">
        <f t="shared" si="2"/>
        <v>79135</v>
      </c>
      <c r="AB18" s="12">
        <f t="shared" si="3"/>
        <v>0</v>
      </c>
      <c r="AC18" s="12">
        <f t="shared" si="4"/>
        <v>0</v>
      </c>
      <c r="AD18" s="12">
        <f t="shared" si="5"/>
        <v>0</v>
      </c>
      <c r="AE18" s="12">
        <f t="shared" si="6"/>
        <v>0</v>
      </c>
      <c r="AF18" s="12">
        <f t="shared" si="7"/>
        <v>0</v>
      </c>
      <c r="AG18" s="12">
        <f t="shared" si="8"/>
        <v>79135</v>
      </c>
      <c r="AH18" s="12">
        <f t="shared" si="9"/>
        <v>0</v>
      </c>
      <c r="AI18" s="12">
        <f t="shared" si="10"/>
        <v>94962</v>
      </c>
      <c r="AJ18" s="12">
        <f t="shared" si="11"/>
        <v>0</v>
      </c>
    </row>
    <row r="19" spans="2:36" ht="139.5" customHeight="1" x14ac:dyDescent="0.25">
      <c r="B19" s="109">
        <f t="shared" si="12"/>
        <v>14</v>
      </c>
      <c r="C19" s="90" t="s">
        <v>31</v>
      </c>
      <c r="D19" s="91" t="s">
        <v>17</v>
      </c>
      <c r="E19" s="91">
        <v>11</v>
      </c>
      <c r="F19" s="91">
        <v>0</v>
      </c>
      <c r="G19" s="91">
        <v>0</v>
      </c>
      <c r="H19" s="91">
        <v>0</v>
      </c>
      <c r="I19" s="91">
        <v>0</v>
      </c>
      <c r="J19" s="91">
        <v>0</v>
      </c>
      <c r="K19" s="91">
        <v>10</v>
      </c>
      <c r="L19" s="91">
        <v>0</v>
      </c>
      <c r="M19" s="91">
        <v>10</v>
      </c>
      <c r="N19" s="91">
        <v>1</v>
      </c>
      <c r="O19" s="82">
        <f t="shared" si="0"/>
        <v>32</v>
      </c>
      <c r="P19" s="48"/>
      <c r="Q19" s="48"/>
      <c r="R19" s="48">
        <f>44677*1.19</f>
        <v>53165.63</v>
      </c>
      <c r="S19" s="48"/>
      <c r="T19" s="48">
        <v>9520</v>
      </c>
      <c r="U19" s="92"/>
      <c r="V19" s="48"/>
      <c r="W19" s="12">
        <f>ROUND(GEOMEAN(P19:V19),0)</f>
        <v>22497</v>
      </c>
      <c r="X19" s="13">
        <f t="shared" si="1"/>
        <v>719904</v>
      </c>
      <c r="Y19" s="13"/>
      <c r="AA19" s="12">
        <f t="shared" si="2"/>
        <v>247467</v>
      </c>
      <c r="AB19" s="12">
        <f t="shared" si="3"/>
        <v>0</v>
      </c>
      <c r="AC19" s="12">
        <f t="shared" si="4"/>
        <v>0</v>
      </c>
      <c r="AD19" s="12">
        <f t="shared" si="5"/>
        <v>0</v>
      </c>
      <c r="AE19" s="12">
        <f t="shared" si="6"/>
        <v>0</v>
      </c>
      <c r="AF19" s="12">
        <f t="shared" si="7"/>
        <v>0</v>
      </c>
      <c r="AG19" s="12">
        <f t="shared" si="8"/>
        <v>224970</v>
      </c>
      <c r="AH19" s="12">
        <f t="shared" si="9"/>
        <v>0</v>
      </c>
      <c r="AI19" s="12">
        <f t="shared" si="10"/>
        <v>224970</v>
      </c>
      <c r="AJ19" s="12">
        <f t="shared" si="11"/>
        <v>22497</v>
      </c>
    </row>
    <row r="20" spans="2:36" ht="139.5" customHeight="1" x14ac:dyDescent="0.25">
      <c r="B20" s="109">
        <f t="shared" si="12"/>
        <v>15</v>
      </c>
      <c r="C20" s="90" t="s">
        <v>32</v>
      </c>
      <c r="D20" s="91" t="s">
        <v>17</v>
      </c>
      <c r="E20" s="91">
        <v>1</v>
      </c>
      <c r="F20" s="91">
        <v>0</v>
      </c>
      <c r="G20" s="91">
        <v>0</v>
      </c>
      <c r="H20" s="91">
        <v>0</v>
      </c>
      <c r="I20" s="91">
        <v>0</v>
      </c>
      <c r="J20" s="91">
        <v>0</v>
      </c>
      <c r="K20" s="91"/>
      <c r="L20" s="91">
        <v>0</v>
      </c>
      <c r="M20" s="91">
        <v>0</v>
      </c>
      <c r="N20" s="91">
        <v>0</v>
      </c>
      <c r="O20" s="82">
        <f t="shared" si="0"/>
        <v>1</v>
      </c>
      <c r="P20" s="48"/>
      <c r="Q20" s="48"/>
      <c r="R20" s="48"/>
      <c r="S20" s="48"/>
      <c r="T20" s="48"/>
      <c r="U20" s="48">
        <f>35000*1.19</f>
        <v>41650</v>
      </c>
      <c r="V20" s="48"/>
      <c r="W20" s="12">
        <f>ROUND(GEOMEAN(P20:V20),0)</f>
        <v>41650</v>
      </c>
      <c r="X20" s="13">
        <f t="shared" si="1"/>
        <v>41650</v>
      </c>
      <c r="Y20" s="13"/>
      <c r="AA20" s="12">
        <f t="shared" si="2"/>
        <v>41650</v>
      </c>
      <c r="AB20" s="12">
        <f t="shared" si="3"/>
        <v>0</v>
      </c>
      <c r="AC20" s="12">
        <f t="shared" si="4"/>
        <v>0</v>
      </c>
      <c r="AD20" s="12">
        <f t="shared" si="5"/>
        <v>0</v>
      </c>
      <c r="AE20" s="12">
        <f t="shared" si="6"/>
        <v>0</v>
      </c>
      <c r="AF20" s="12">
        <f t="shared" si="7"/>
        <v>0</v>
      </c>
      <c r="AG20" s="12">
        <f t="shared" si="8"/>
        <v>0</v>
      </c>
      <c r="AH20" s="12">
        <f t="shared" si="9"/>
        <v>0</v>
      </c>
      <c r="AI20" s="12">
        <f t="shared" si="10"/>
        <v>0</v>
      </c>
      <c r="AJ20" s="12">
        <f t="shared" si="11"/>
        <v>0</v>
      </c>
    </row>
    <row r="21" spans="2:36" ht="139.5" customHeight="1" x14ac:dyDescent="0.25">
      <c r="B21" s="109">
        <f t="shared" si="12"/>
        <v>16</v>
      </c>
      <c r="C21" s="90" t="s">
        <v>33</v>
      </c>
      <c r="D21" s="91" t="s">
        <v>17</v>
      </c>
      <c r="E21" s="91">
        <v>10</v>
      </c>
      <c r="F21" s="91">
        <v>0</v>
      </c>
      <c r="G21" s="91">
        <v>0</v>
      </c>
      <c r="H21" s="91">
        <v>0</v>
      </c>
      <c r="I21" s="91">
        <v>2</v>
      </c>
      <c r="J21" s="91">
        <v>0</v>
      </c>
      <c r="K21" s="91">
        <v>20</v>
      </c>
      <c r="L21" s="91">
        <v>0</v>
      </c>
      <c r="M21" s="91">
        <v>12</v>
      </c>
      <c r="N21" s="91">
        <v>0</v>
      </c>
      <c r="O21" s="82">
        <f t="shared" si="0"/>
        <v>44</v>
      </c>
      <c r="P21" s="48"/>
      <c r="Q21" s="48"/>
      <c r="R21" s="48">
        <v>18215.329999999998</v>
      </c>
      <c r="S21" s="48"/>
      <c r="T21" s="48">
        <v>24942.399999999998</v>
      </c>
      <c r="U21" s="92"/>
      <c r="V21" s="48"/>
      <c r="W21" s="12">
        <f>ROUND(HARMEAN(P21:V21),0)</f>
        <v>21055</v>
      </c>
      <c r="X21" s="13">
        <f t="shared" si="1"/>
        <v>926420</v>
      </c>
      <c r="Y21" s="13"/>
      <c r="AA21" s="12">
        <f t="shared" si="2"/>
        <v>210550</v>
      </c>
      <c r="AB21" s="12">
        <f t="shared" si="3"/>
        <v>0</v>
      </c>
      <c r="AC21" s="12">
        <f t="shared" si="4"/>
        <v>0</v>
      </c>
      <c r="AD21" s="12">
        <f t="shared" si="5"/>
        <v>0</v>
      </c>
      <c r="AE21" s="12">
        <f t="shared" si="6"/>
        <v>42110</v>
      </c>
      <c r="AF21" s="12">
        <f t="shared" si="7"/>
        <v>0</v>
      </c>
      <c r="AG21" s="12">
        <f t="shared" si="8"/>
        <v>421100</v>
      </c>
      <c r="AH21" s="12">
        <f t="shared" si="9"/>
        <v>0</v>
      </c>
      <c r="AI21" s="12">
        <f t="shared" si="10"/>
        <v>252660</v>
      </c>
      <c r="AJ21" s="12">
        <f t="shared" si="11"/>
        <v>0</v>
      </c>
    </row>
    <row r="22" spans="2:36" ht="139.5" customHeight="1" x14ac:dyDescent="0.25">
      <c r="B22" s="109">
        <f t="shared" si="12"/>
        <v>17</v>
      </c>
      <c r="C22" s="90" t="s">
        <v>34</v>
      </c>
      <c r="D22" s="91" t="s">
        <v>17</v>
      </c>
      <c r="E22" s="91">
        <v>0</v>
      </c>
      <c r="F22" s="91">
        <v>0</v>
      </c>
      <c r="G22" s="91">
        <v>0</v>
      </c>
      <c r="H22" s="91">
        <v>2</v>
      </c>
      <c r="I22" s="91">
        <v>6</v>
      </c>
      <c r="J22" s="91">
        <v>0</v>
      </c>
      <c r="K22" s="91">
        <v>0</v>
      </c>
      <c r="L22" s="91">
        <v>12</v>
      </c>
      <c r="M22" s="91">
        <v>0</v>
      </c>
      <c r="N22" s="91">
        <v>1</v>
      </c>
      <c r="O22" s="82">
        <f t="shared" si="0"/>
        <v>21</v>
      </c>
      <c r="P22" s="48"/>
      <c r="Q22" s="48">
        <v>220031</v>
      </c>
      <c r="R22" s="48"/>
      <c r="S22" s="48"/>
      <c r="T22" s="48">
        <v>304640</v>
      </c>
      <c r="U22" s="92"/>
      <c r="V22" s="48"/>
      <c r="W22" s="12">
        <f>ROUND(HARMEAN(P22:V22),0)</f>
        <v>255513</v>
      </c>
      <c r="X22" s="13">
        <f t="shared" si="1"/>
        <v>5365773</v>
      </c>
      <c r="Y22" s="13"/>
      <c r="AA22" s="12">
        <f t="shared" si="2"/>
        <v>0</v>
      </c>
      <c r="AB22" s="12">
        <f t="shared" si="3"/>
        <v>0</v>
      </c>
      <c r="AC22" s="12">
        <f t="shared" si="4"/>
        <v>0</v>
      </c>
      <c r="AD22" s="12">
        <f t="shared" si="5"/>
        <v>511026</v>
      </c>
      <c r="AE22" s="12">
        <f t="shared" si="6"/>
        <v>1533078</v>
      </c>
      <c r="AF22" s="12">
        <f t="shared" si="7"/>
        <v>0</v>
      </c>
      <c r="AG22" s="12">
        <f t="shared" si="8"/>
        <v>0</v>
      </c>
      <c r="AH22" s="12">
        <f t="shared" si="9"/>
        <v>3066156</v>
      </c>
      <c r="AI22" s="12">
        <f t="shared" si="10"/>
        <v>0</v>
      </c>
      <c r="AJ22" s="12">
        <f t="shared" si="11"/>
        <v>255513</v>
      </c>
    </row>
    <row r="23" spans="2:36" ht="139.5" customHeight="1" x14ac:dyDescent="0.25">
      <c r="B23" s="109">
        <f t="shared" si="12"/>
        <v>18</v>
      </c>
      <c r="C23" s="90" t="s">
        <v>35</v>
      </c>
      <c r="D23" s="91" t="s">
        <v>21</v>
      </c>
      <c r="E23" s="91">
        <v>13</v>
      </c>
      <c r="F23" s="91">
        <v>2</v>
      </c>
      <c r="G23" s="91">
        <v>0</v>
      </c>
      <c r="H23" s="91">
        <v>0</v>
      </c>
      <c r="I23" s="91">
        <v>2</v>
      </c>
      <c r="J23" s="91">
        <v>1</v>
      </c>
      <c r="K23" s="91">
        <v>2</v>
      </c>
      <c r="L23" s="91">
        <v>2</v>
      </c>
      <c r="M23" s="91">
        <v>6</v>
      </c>
      <c r="N23" s="91">
        <v>0</v>
      </c>
      <c r="O23" s="82">
        <f t="shared" si="0"/>
        <v>28</v>
      </c>
      <c r="P23" s="48"/>
      <c r="Q23" s="48"/>
      <c r="R23" s="48"/>
      <c r="S23" s="48">
        <v>221340</v>
      </c>
      <c r="T23" s="48">
        <v>283696</v>
      </c>
      <c r="U23" s="92"/>
      <c r="V23" s="48"/>
      <c r="W23" s="12">
        <f t="shared" ref="W23:W34" si="14">ROUND(GEOMEAN(P23:V23),0)</f>
        <v>250586</v>
      </c>
      <c r="X23" s="13">
        <f t="shared" si="1"/>
        <v>7016408</v>
      </c>
      <c r="Y23" s="13"/>
      <c r="AA23" s="12">
        <f t="shared" si="2"/>
        <v>3257618</v>
      </c>
      <c r="AB23" s="12">
        <f t="shared" si="3"/>
        <v>501172</v>
      </c>
      <c r="AC23" s="12">
        <f t="shared" si="4"/>
        <v>0</v>
      </c>
      <c r="AD23" s="12">
        <f t="shared" si="5"/>
        <v>0</v>
      </c>
      <c r="AE23" s="12">
        <f t="shared" si="6"/>
        <v>501172</v>
      </c>
      <c r="AF23" s="12">
        <f t="shared" si="7"/>
        <v>250586</v>
      </c>
      <c r="AG23" s="12">
        <f t="shared" si="8"/>
        <v>501172</v>
      </c>
      <c r="AH23" s="12">
        <f t="shared" si="9"/>
        <v>501172</v>
      </c>
      <c r="AI23" s="12">
        <f t="shared" si="10"/>
        <v>1503516</v>
      </c>
      <c r="AJ23" s="12">
        <f t="shared" si="11"/>
        <v>0</v>
      </c>
    </row>
    <row r="24" spans="2:36" ht="139.5" customHeight="1" x14ac:dyDescent="0.25">
      <c r="B24" s="109">
        <f t="shared" si="12"/>
        <v>19</v>
      </c>
      <c r="C24" s="90" t="s">
        <v>36</v>
      </c>
      <c r="D24" s="91" t="s">
        <v>37</v>
      </c>
      <c r="E24" s="91">
        <v>11</v>
      </c>
      <c r="F24" s="91">
        <v>0</v>
      </c>
      <c r="G24" s="91">
        <v>0</v>
      </c>
      <c r="H24" s="91">
        <v>3</v>
      </c>
      <c r="I24" s="91">
        <v>0</v>
      </c>
      <c r="J24" s="91">
        <v>0</v>
      </c>
      <c r="K24" s="91">
        <v>3</v>
      </c>
      <c r="L24" s="91">
        <v>1</v>
      </c>
      <c r="M24" s="91">
        <v>10</v>
      </c>
      <c r="N24" s="91">
        <v>0</v>
      </c>
      <c r="O24" s="82">
        <f t="shared" si="0"/>
        <v>28</v>
      </c>
      <c r="P24" s="48"/>
      <c r="Q24" s="48"/>
      <c r="R24" s="48"/>
      <c r="S24" s="48">
        <v>14994</v>
      </c>
      <c r="T24" s="48"/>
      <c r="U24" s="92"/>
      <c r="V24" s="48"/>
      <c r="W24" s="12">
        <f t="shared" si="14"/>
        <v>14994</v>
      </c>
      <c r="X24" s="13">
        <f t="shared" si="1"/>
        <v>419832</v>
      </c>
      <c r="Y24" s="13"/>
      <c r="AA24" s="12">
        <f t="shared" si="2"/>
        <v>164934</v>
      </c>
      <c r="AB24" s="12">
        <f t="shared" si="3"/>
        <v>0</v>
      </c>
      <c r="AC24" s="12">
        <f t="shared" si="4"/>
        <v>0</v>
      </c>
      <c r="AD24" s="12">
        <f t="shared" si="5"/>
        <v>44982</v>
      </c>
      <c r="AE24" s="12">
        <f t="shared" si="6"/>
        <v>0</v>
      </c>
      <c r="AF24" s="12">
        <f t="shared" si="7"/>
        <v>0</v>
      </c>
      <c r="AG24" s="12">
        <f t="shared" si="8"/>
        <v>44982</v>
      </c>
      <c r="AH24" s="12">
        <f t="shared" si="9"/>
        <v>14994</v>
      </c>
      <c r="AI24" s="12">
        <f t="shared" si="10"/>
        <v>149940</v>
      </c>
      <c r="AJ24" s="12">
        <f t="shared" si="11"/>
        <v>0</v>
      </c>
    </row>
    <row r="25" spans="2:36" ht="139.5" customHeight="1" x14ac:dyDescent="0.25">
      <c r="B25" s="109">
        <f t="shared" si="12"/>
        <v>20</v>
      </c>
      <c r="C25" s="90" t="s">
        <v>38</v>
      </c>
      <c r="D25" s="91" t="s">
        <v>39</v>
      </c>
      <c r="E25" s="91">
        <v>15</v>
      </c>
      <c r="F25" s="91">
        <v>0</v>
      </c>
      <c r="G25" s="91">
        <v>0</v>
      </c>
      <c r="H25" s="91">
        <v>3</v>
      </c>
      <c r="I25" s="91">
        <v>0</v>
      </c>
      <c r="J25" s="91">
        <v>0</v>
      </c>
      <c r="K25" s="91">
        <v>0</v>
      </c>
      <c r="L25" s="91">
        <v>1</v>
      </c>
      <c r="M25" s="91">
        <v>0</v>
      </c>
      <c r="N25" s="91">
        <v>0</v>
      </c>
      <c r="O25" s="82">
        <f t="shared" si="0"/>
        <v>19</v>
      </c>
      <c r="P25" s="48"/>
      <c r="Q25" s="48">
        <v>740180</v>
      </c>
      <c r="R25" s="48"/>
      <c r="S25" s="48">
        <v>565250</v>
      </c>
      <c r="T25" s="48"/>
      <c r="U25" s="92"/>
      <c r="V25" s="48"/>
      <c r="W25" s="12">
        <f t="shared" si="14"/>
        <v>646828</v>
      </c>
      <c r="X25" s="13">
        <f t="shared" si="1"/>
        <v>12289732</v>
      </c>
      <c r="Y25" s="13"/>
      <c r="AA25" s="12">
        <f t="shared" si="2"/>
        <v>9702420</v>
      </c>
      <c r="AB25" s="12">
        <f t="shared" si="3"/>
        <v>0</v>
      </c>
      <c r="AC25" s="12">
        <f t="shared" si="4"/>
        <v>0</v>
      </c>
      <c r="AD25" s="12">
        <f t="shared" si="5"/>
        <v>1940484</v>
      </c>
      <c r="AE25" s="12">
        <f t="shared" si="6"/>
        <v>0</v>
      </c>
      <c r="AF25" s="12">
        <f t="shared" si="7"/>
        <v>0</v>
      </c>
      <c r="AG25" s="12">
        <f t="shared" si="8"/>
        <v>0</v>
      </c>
      <c r="AH25" s="12">
        <f t="shared" si="9"/>
        <v>646828</v>
      </c>
      <c r="AI25" s="12">
        <f t="shared" si="10"/>
        <v>0</v>
      </c>
      <c r="AJ25" s="12">
        <f t="shared" si="11"/>
        <v>0</v>
      </c>
    </row>
    <row r="26" spans="2:36" ht="139.5" customHeight="1" x14ac:dyDescent="0.25">
      <c r="B26" s="109">
        <f t="shared" si="12"/>
        <v>21</v>
      </c>
      <c r="C26" s="90" t="s">
        <v>40</v>
      </c>
      <c r="D26" s="91" t="s">
        <v>39</v>
      </c>
      <c r="E26" s="91">
        <v>7</v>
      </c>
      <c r="F26" s="91">
        <v>1</v>
      </c>
      <c r="G26" s="91">
        <v>0</v>
      </c>
      <c r="H26" s="91">
        <v>0</v>
      </c>
      <c r="I26" s="91">
        <v>0</v>
      </c>
      <c r="J26" s="91">
        <v>0</v>
      </c>
      <c r="K26" s="91">
        <v>0</v>
      </c>
      <c r="L26" s="91">
        <v>1</v>
      </c>
      <c r="M26" s="91">
        <v>0</v>
      </c>
      <c r="N26" s="91">
        <v>0</v>
      </c>
      <c r="O26" s="82">
        <f t="shared" si="0"/>
        <v>9</v>
      </c>
      <c r="P26" s="48"/>
      <c r="Q26" s="48"/>
      <c r="R26" s="48"/>
      <c r="S26" s="48">
        <v>910350</v>
      </c>
      <c r="T26" s="48"/>
      <c r="U26" s="92"/>
      <c r="V26" s="48"/>
      <c r="W26" s="12">
        <f t="shared" si="14"/>
        <v>910350</v>
      </c>
      <c r="X26" s="13">
        <f t="shared" si="1"/>
        <v>8193150</v>
      </c>
      <c r="Y26" s="13"/>
      <c r="AA26" s="12">
        <f t="shared" si="2"/>
        <v>6372450</v>
      </c>
      <c r="AB26" s="12">
        <f t="shared" si="3"/>
        <v>910350</v>
      </c>
      <c r="AC26" s="12">
        <f t="shared" si="4"/>
        <v>0</v>
      </c>
      <c r="AD26" s="12">
        <f t="shared" si="5"/>
        <v>0</v>
      </c>
      <c r="AE26" s="12">
        <f t="shared" si="6"/>
        <v>0</v>
      </c>
      <c r="AF26" s="12">
        <f t="shared" si="7"/>
        <v>0</v>
      </c>
      <c r="AG26" s="12">
        <f t="shared" si="8"/>
        <v>0</v>
      </c>
      <c r="AH26" s="12">
        <f t="shared" si="9"/>
        <v>910350</v>
      </c>
      <c r="AI26" s="12">
        <f t="shared" si="10"/>
        <v>0</v>
      </c>
      <c r="AJ26" s="12">
        <f t="shared" si="11"/>
        <v>0</v>
      </c>
    </row>
    <row r="27" spans="2:36" ht="139.5" customHeight="1" x14ac:dyDescent="0.25">
      <c r="B27" s="109">
        <f t="shared" si="12"/>
        <v>22</v>
      </c>
      <c r="C27" s="90" t="s">
        <v>41</v>
      </c>
      <c r="D27" s="91" t="s">
        <v>39</v>
      </c>
      <c r="E27" s="91">
        <v>0</v>
      </c>
      <c r="F27" s="91">
        <v>0</v>
      </c>
      <c r="G27" s="91">
        <v>0</v>
      </c>
      <c r="H27" s="91">
        <v>3</v>
      </c>
      <c r="I27" s="91">
        <v>0</v>
      </c>
      <c r="J27" s="91">
        <v>0</v>
      </c>
      <c r="K27" s="91">
        <v>0</v>
      </c>
      <c r="L27" s="91">
        <v>1</v>
      </c>
      <c r="M27" s="91">
        <v>5</v>
      </c>
      <c r="N27" s="91">
        <v>0</v>
      </c>
      <c r="O27" s="82">
        <f t="shared" si="0"/>
        <v>9</v>
      </c>
      <c r="P27" s="48"/>
      <c r="Q27" s="48"/>
      <c r="R27" s="48"/>
      <c r="S27" s="48">
        <v>327250</v>
      </c>
      <c r="T27" s="48"/>
      <c r="U27" s="92"/>
      <c r="V27" s="48"/>
      <c r="W27" s="12">
        <f t="shared" si="14"/>
        <v>327250</v>
      </c>
      <c r="X27" s="13">
        <f t="shared" si="1"/>
        <v>2945250</v>
      </c>
      <c r="Y27" s="13"/>
      <c r="AA27" s="12">
        <f t="shared" si="2"/>
        <v>0</v>
      </c>
      <c r="AB27" s="12">
        <f t="shared" si="3"/>
        <v>0</v>
      </c>
      <c r="AC27" s="12">
        <f t="shared" si="4"/>
        <v>0</v>
      </c>
      <c r="AD27" s="12">
        <f t="shared" si="5"/>
        <v>981750</v>
      </c>
      <c r="AE27" s="12">
        <f t="shared" si="6"/>
        <v>0</v>
      </c>
      <c r="AF27" s="12">
        <f t="shared" si="7"/>
        <v>0</v>
      </c>
      <c r="AG27" s="12">
        <f t="shared" si="8"/>
        <v>0</v>
      </c>
      <c r="AH27" s="12">
        <f t="shared" si="9"/>
        <v>327250</v>
      </c>
      <c r="AI27" s="12">
        <f t="shared" si="10"/>
        <v>1636250</v>
      </c>
      <c r="AJ27" s="12">
        <f t="shared" si="11"/>
        <v>0</v>
      </c>
    </row>
    <row r="28" spans="2:36" ht="139.5" customHeight="1" x14ac:dyDescent="0.25">
      <c r="B28" s="109">
        <f t="shared" si="12"/>
        <v>23</v>
      </c>
      <c r="C28" s="90" t="s">
        <v>42</v>
      </c>
      <c r="D28" s="91" t="s">
        <v>17</v>
      </c>
      <c r="E28" s="91">
        <v>0</v>
      </c>
      <c r="F28" s="91">
        <v>6</v>
      </c>
      <c r="G28" s="91">
        <v>0</v>
      </c>
      <c r="H28" s="91">
        <v>60</v>
      </c>
      <c r="I28" s="91">
        <v>3</v>
      </c>
      <c r="J28" s="91">
        <v>0</v>
      </c>
      <c r="K28" s="91">
        <v>0</v>
      </c>
      <c r="L28" s="91">
        <v>0</v>
      </c>
      <c r="M28" s="91">
        <v>2</v>
      </c>
      <c r="N28" s="91">
        <v>6</v>
      </c>
      <c r="O28" s="82">
        <f t="shared" si="0"/>
        <v>77</v>
      </c>
      <c r="P28" s="48"/>
      <c r="Q28" s="48">
        <v>49028</v>
      </c>
      <c r="R28" s="48"/>
      <c r="S28" s="48"/>
      <c r="T28" s="48"/>
      <c r="U28" s="92"/>
      <c r="V28" s="48"/>
      <c r="W28" s="12">
        <f t="shared" si="14"/>
        <v>49028</v>
      </c>
      <c r="X28" s="13">
        <f t="shared" si="1"/>
        <v>3775156</v>
      </c>
      <c r="Y28" s="13"/>
      <c r="AA28" s="12">
        <f t="shared" si="2"/>
        <v>0</v>
      </c>
      <c r="AB28" s="12">
        <f t="shared" si="3"/>
        <v>294168</v>
      </c>
      <c r="AC28" s="12">
        <f t="shared" si="4"/>
        <v>0</v>
      </c>
      <c r="AD28" s="12">
        <f t="shared" si="5"/>
        <v>2941680</v>
      </c>
      <c r="AE28" s="12">
        <f t="shared" si="6"/>
        <v>147084</v>
      </c>
      <c r="AF28" s="12">
        <f t="shared" si="7"/>
        <v>0</v>
      </c>
      <c r="AG28" s="12">
        <f t="shared" si="8"/>
        <v>0</v>
      </c>
      <c r="AH28" s="12">
        <f t="shared" si="9"/>
        <v>0</v>
      </c>
      <c r="AI28" s="12">
        <f t="shared" si="10"/>
        <v>98056</v>
      </c>
      <c r="AJ28" s="12">
        <f t="shared" si="11"/>
        <v>294168</v>
      </c>
    </row>
    <row r="29" spans="2:36" ht="139.5" customHeight="1" x14ac:dyDescent="0.25">
      <c r="B29" s="109">
        <f t="shared" si="12"/>
        <v>24</v>
      </c>
      <c r="C29" s="90" t="s">
        <v>43</v>
      </c>
      <c r="D29" s="91" t="s">
        <v>17</v>
      </c>
      <c r="E29" s="91">
        <v>0</v>
      </c>
      <c r="F29" s="91">
        <v>6</v>
      </c>
      <c r="G29" s="91">
        <v>0</v>
      </c>
      <c r="H29" s="91">
        <v>65</v>
      </c>
      <c r="I29" s="91">
        <v>6</v>
      </c>
      <c r="J29" s="91">
        <v>0</v>
      </c>
      <c r="K29" s="91">
        <v>0</v>
      </c>
      <c r="L29" s="91">
        <v>0</v>
      </c>
      <c r="M29" s="91">
        <v>0</v>
      </c>
      <c r="N29" s="91">
        <v>6</v>
      </c>
      <c r="O29" s="82">
        <f t="shared" si="0"/>
        <v>83</v>
      </c>
      <c r="P29" s="48"/>
      <c r="Q29" s="48">
        <v>11662</v>
      </c>
      <c r="R29" s="48"/>
      <c r="S29" s="48"/>
      <c r="T29" s="48"/>
      <c r="U29" s="92"/>
      <c r="V29" s="48"/>
      <c r="W29" s="12">
        <f t="shared" si="14"/>
        <v>11662</v>
      </c>
      <c r="X29" s="13">
        <f t="shared" si="1"/>
        <v>967946</v>
      </c>
      <c r="Y29" s="13"/>
      <c r="AA29" s="12">
        <f t="shared" si="2"/>
        <v>0</v>
      </c>
      <c r="AB29" s="12">
        <f t="shared" si="3"/>
        <v>69972</v>
      </c>
      <c r="AC29" s="12">
        <f t="shared" si="4"/>
        <v>0</v>
      </c>
      <c r="AD29" s="12">
        <f t="shared" si="5"/>
        <v>758030</v>
      </c>
      <c r="AE29" s="12">
        <f t="shared" si="6"/>
        <v>69972</v>
      </c>
      <c r="AF29" s="12">
        <f t="shared" si="7"/>
        <v>0</v>
      </c>
      <c r="AG29" s="12">
        <f t="shared" si="8"/>
        <v>0</v>
      </c>
      <c r="AH29" s="12">
        <f t="shared" si="9"/>
        <v>0</v>
      </c>
      <c r="AI29" s="12">
        <f t="shared" si="10"/>
        <v>0</v>
      </c>
      <c r="AJ29" s="12">
        <f t="shared" si="11"/>
        <v>69972</v>
      </c>
    </row>
    <row r="30" spans="2:36" ht="177.75" customHeight="1" x14ac:dyDescent="0.25">
      <c r="B30" s="109">
        <f t="shared" si="12"/>
        <v>25</v>
      </c>
      <c r="C30" s="90" t="s">
        <v>44</v>
      </c>
      <c r="D30" s="91" t="s">
        <v>17</v>
      </c>
      <c r="E30" s="91">
        <v>2</v>
      </c>
      <c r="F30" s="91">
        <v>0</v>
      </c>
      <c r="G30" s="91">
        <v>0</v>
      </c>
      <c r="H30" s="91">
        <v>0</v>
      </c>
      <c r="I30" s="91">
        <v>0</v>
      </c>
      <c r="J30" s="91">
        <v>0</v>
      </c>
      <c r="K30" s="91">
        <v>0</v>
      </c>
      <c r="L30" s="91">
        <v>2</v>
      </c>
      <c r="M30" s="91">
        <v>3</v>
      </c>
      <c r="N30" s="91">
        <v>0</v>
      </c>
      <c r="O30" s="82">
        <f t="shared" si="0"/>
        <v>7</v>
      </c>
      <c r="P30" s="48"/>
      <c r="Q30" s="48">
        <v>679728</v>
      </c>
      <c r="R30" s="48"/>
      <c r="S30" s="48"/>
      <c r="T30" s="48"/>
      <c r="U30" s="92"/>
      <c r="V30" s="48"/>
      <c r="W30" s="12">
        <f t="shared" si="14"/>
        <v>679728</v>
      </c>
      <c r="X30" s="13">
        <f t="shared" si="1"/>
        <v>4758096</v>
      </c>
      <c r="Y30" s="13"/>
      <c r="AA30" s="12">
        <f t="shared" si="2"/>
        <v>1359456</v>
      </c>
      <c r="AB30" s="12">
        <f t="shared" si="3"/>
        <v>0</v>
      </c>
      <c r="AC30" s="12">
        <f t="shared" si="4"/>
        <v>0</v>
      </c>
      <c r="AD30" s="12">
        <f t="shared" si="5"/>
        <v>0</v>
      </c>
      <c r="AE30" s="12">
        <f t="shared" si="6"/>
        <v>0</v>
      </c>
      <c r="AF30" s="12">
        <f t="shared" si="7"/>
        <v>0</v>
      </c>
      <c r="AG30" s="12">
        <f t="shared" si="8"/>
        <v>0</v>
      </c>
      <c r="AH30" s="12">
        <f t="shared" si="9"/>
        <v>1359456</v>
      </c>
      <c r="AI30" s="12">
        <f t="shared" si="10"/>
        <v>2039184</v>
      </c>
      <c r="AJ30" s="12">
        <f t="shared" si="11"/>
        <v>0</v>
      </c>
    </row>
    <row r="31" spans="2:36" ht="139.5" customHeight="1" x14ac:dyDescent="0.25">
      <c r="B31" s="109">
        <f t="shared" si="12"/>
        <v>26</v>
      </c>
      <c r="C31" s="90" t="s">
        <v>45</v>
      </c>
      <c r="D31" s="91" t="s">
        <v>17</v>
      </c>
      <c r="E31" s="91">
        <v>0</v>
      </c>
      <c r="F31" s="91">
        <v>0</v>
      </c>
      <c r="G31" s="91">
        <v>0</v>
      </c>
      <c r="H31" s="91">
        <v>1</v>
      </c>
      <c r="I31" s="91">
        <v>0</v>
      </c>
      <c r="J31" s="91">
        <v>0</v>
      </c>
      <c r="K31" s="91">
        <v>0</v>
      </c>
      <c r="L31" s="91">
        <v>0</v>
      </c>
      <c r="M31" s="91">
        <v>0</v>
      </c>
      <c r="N31" s="91">
        <v>0</v>
      </c>
      <c r="O31" s="82">
        <f t="shared" si="0"/>
        <v>1</v>
      </c>
      <c r="P31" s="48"/>
      <c r="Q31" s="48">
        <v>1643509</v>
      </c>
      <c r="R31" s="48"/>
      <c r="S31" s="48"/>
      <c r="T31" s="48"/>
      <c r="U31" s="92"/>
      <c r="V31" s="48"/>
      <c r="W31" s="12">
        <f t="shared" si="14"/>
        <v>1643509</v>
      </c>
      <c r="X31" s="13">
        <f t="shared" si="1"/>
        <v>1643509</v>
      </c>
      <c r="Y31" s="13"/>
      <c r="AA31" s="12">
        <f t="shared" si="2"/>
        <v>0</v>
      </c>
      <c r="AB31" s="12">
        <f t="shared" si="3"/>
        <v>0</v>
      </c>
      <c r="AC31" s="12">
        <f t="shared" si="4"/>
        <v>0</v>
      </c>
      <c r="AD31" s="12">
        <f t="shared" si="5"/>
        <v>1643509</v>
      </c>
      <c r="AE31" s="12">
        <f t="shared" si="6"/>
        <v>0</v>
      </c>
      <c r="AF31" s="12">
        <f t="shared" si="7"/>
        <v>0</v>
      </c>
      <c r="AG31" s="12">
        <f t="shared" si="8"/>
        <v>0</v>
      </c>
      <c r="AH31" s="12">
        <f t="shared" si="9"/>
        <v>0</v>
      </c>
      <c r="AI31" s="12">
        <f t="shared" si="10"/>
        <v>0</v>
      </c>
      <c r="AJ31" s="12">
        <f t="shared" si="11"/>
        <v>0</v>
      </c>
    </row>
    <row r="32" spans="2:36" ht="139.5" customHeight="1" x14ac:dyDescent="0.25">
      <c r="B32" s="109">
        <f t="shared" si="12"/>
        <v>27</v>
      </c>
      <c r="C32" s="90" t="s">
        <v>46</v>
      </c>
      <c r="D32" s="91" t="s">
        <v>17</v>
      </c>
      <c r="E32" s="91">
        <v>45</v>
      </c>
      <c r="F32" s="91">
        <v>6</v>
      </c>
      <c r="G32" s="91">
        <v>0</v>
      </c>
      <c r="H32" s="91">
        <v>5</v>
      </c>
      <c r="I32" s="91">
        <v>3</v>
      </c>
      <c r="J32" s="91">
        <v>0</v>
      </c>
      <c r="K32" s="91">
        <v>0</v>
      </c>
      <c r="L32" s="91">
        <v>0</v>
      </c>
      <c r="M32" s="91">
        <v>6</v>
      </c>
      <c r="N32" s="91">
        <v>13</v>
      </c>
      <c r="O32" s="82">
        <f t="shared" si="0"/>
        <v>78</v>
      </c>
      <c r="P32" s="48"/>
      <c r="Q32" s="48">
        <v>119714</v>
      </c>
      <c r="R32" s="48"/>
      <c r="S32" s="48"/>
      <c r="T32" s="48"/>
      <c r="U32" s="92"/>
      <c r="V32" s="48"/>
      <c r="W32" s="12">
        <f t="shared" si="14"/>
        <v>119714</v>
      </c>
      <c r="X32" s="13">
        <f t="shared" si="1"/>
        <v>9337692</v>
      </c>
      <c r="Y32" s="13"/>
      <c r="AA32" s="12">
        <f t="shared" si="2"/>
        <v>5387130</v>
      </c>
      <c r="AB32" s="12">
        <f t="shared" si="3"/>
        <v>718284</v>
      </c>
      <c r="AC32" s="12">
        <f t="shared" si="4"/>
        <v>0</v>
      </c>
      <c r="AD32" s="12">
        <f t="shared" si="5"/>
        <v>598570</v>
      </c>
      <c r="AE32" s="12">
        <f t="shared" si="6"/>
        <v>359142</v>
      </c>
      <c r="AF32" s="12">
        <f t="shared" si="7"/>
        <v>0</v>
      </c>
      <c r="AG32" s="12">
        <f t="shared" si="8"/>
        <v>0</v>
      </c>
      <c r="AH32" s="12">
        <f t="shared" si="9"/>
        <v>0</v>
      </c>
      <c r="AI32" s="12">
        <f t="shared" si="10"/>
        <v>718284</v>
      </c>
      <c r="AJ32" s="12">
        <f t="shared" si="11"/>
        <v>1556282</v>
      </c>
    </row>
    <row r="33" spans="2:36" ht="139.5" customHeight="1" x14ac:dyDescent="0.25">
      <c r="B33" s="109">
        <f t="shared" si="12"/>
        <v>28</v>
      </c>
      <c r="C33" s="90" t="s">
        <v>47</v>
      </c>
      <c r="D33" s="91" t="s">
        <v>48</v>
      </c>
      <c r="E33" s="91">
        <v>0</v>
      </c>
      <c r="F33" s="91">
        <v>0</v>
      </c>
      <c r="G33" s="91">
        <v>0</v>
      </c>
      <c r="H33" s="91">
        <v>0</v>
      </c>
      <c r="I33" s="91">
        <v>1</v>
      </c>
      <c r="J33" s="91">
        <v>4</v>
      </c>
      <c r="K33" s="91">
        <v>2</v>
      </c>
      <c r="L33" s="91">
        <v>20</v>
      </c>
      <c r="M33" s="91">
        <v>1</v>
      </c>
      <c r="N33" s="91">
        <v>0</v>
      </c>
      <c r="O33" s="82">
        <f t="shared" si="0"/>
        <v>28</v>
      </c>
      <c r="P33" s="48"/>
      <c r="Q33" s="48"/>
      <c r="R33" s="48"/>
      <c r="S33" s="48">
        <v>103530</v>
      </c>
      <c r="T33" s="48">
        <v>165648</v>
      </c>
      <c r="U33" s="92"/>
      <c r="V33" s="48"/>
      <c r="W33" s="12">
        <f t="shared" si="14"/>
        <v>130956</v>
      </c>
      <c r="X33" s="13">
        <f t="shared" si="1"/>
        <v>3666768</v>
      </c>
      <c r="Y33" s="13"/>
      <c r="AA33" s="12">
        <f t="shared" si="2"/>
        <v>0</v>
      </c>
      <c r="AB33" s="12">
        <f t="shared" si="3"/>
        <v>0</v>
      </c>
      <c r="AC33" s="12">
        <f t="shared" si="4"/>
        <v>0</v>
      </c>
      <c r="AD33" s="12">
        <f t="shared" si="5"/>
        <v>0</v>
      </c>
      <c r="AE33" s="12">
        <f t="shared" si="6"/>
        <v>130956</v>
      </c>
      <c r="AF33" s="12">
        <f t="shared" si="7"/>
        <v>523824</v>
      </c>
      <c r="AG33" s="12">
        <f t="shared" si="8"/>
        <v>261912</v>
      </c>
      <c r="AH33" s="12">
        <f t="shared" si="9"/>
        <v>2619120</v>
      </c>
      <c r="AI33" s="12">
        <f t="shared" si="10"/>
        <v>130956</v>
      </c>
      <c r="AJ33" s="12">
        <f t="shared" si="11"/>
        <v>0</v>
      </c>
    </row>
    <row r="34" spans="2:36" s="77" customFormat="1" ht="171" customHeight="1" x14ac:dyDescent="0.25">
      <c r="B34" s="109">
        <f t="shared" si="12"/>
        <v>29</v>
      </c>
      <c r="C34" s="122" t="s">
        <v>344</v>
      </c>
      <c r="D34" s="90" t="s">
        <v>274</v>
      </c>
      <c r="E34" s="90">
        <v>5</v>
      </c>
      <c r="F34" s="90">
        <v>10</v>
      </c>
      <c r="G34" s="90">
        <v>50</v>
      </c>
      <c r="H34" s="90">
        <v>9</v>
      </c>
      <c r="I34" s="90">
        <v>30</v>
      </c>
      <c r="J34" s="90"/>
      <c r="K34" s="90">
        <v>10</v>
      </c>
      <c r="L34" s="90">
        <v>3</v>
      </c>
      <c r="M34" s="90">
        <v>4</v>
      </c>
      <c r="N34" s="90">
        <v>25</v>
      </c>
      <c r="O34" s="82">
        <f>+E34+F34+G34+H34+I34+K34+L34+M34+N34</f>
        <v>146</v>
      </c>
      <c r="P34" s="48">
        <f>64800*1.19</f>
        <v>77112</v>
      </c>
      <c r="Q34" s="48"/>
      <c r="R34" s="48"/>
      <c r="S34" s="48"/>
      <c r="T34" s="48"/>
      <c r="U34" s="92"/>
      <c r="V34" s="48"/>
      <c r="W34" s="12">
        <f t="shared" si="14"/>
        <v>77112</v>
      </c>
      <c r="X34" s="13">
        <f t="shared" si="1"/>
        <v>11258352</v>
      </c>
      <c r="Y34" s="78"/>
      <c r="AA34" s="12">
        <f t="shared" si="2"/>
        <v>385560</v>
      </c>
      <c r="AB34" s="12">
        <f t="shared" si="3"/>
        <v>771120</v>
      </c>
      <c r="AC34" s="12">
        <f t="shared" si="4"/>
        <v>3855600</v>
      </c>
      <c r="AD34" s="12">
        <f t="shared" si="5"/>
        <v>694008</v>
      </c>
      <c r="AE34" s="12">
        <f t="shared" si="6"/>
        <v>2313360</v>
      </c>
      <c r="AF34" s="12">
        <f t="shared" si="7"/>
        <v>0</v>
      </c>
      <c r="AG34" s="12">
        <f t="shared" si="8"/>
        <v>771120</v>
      </c>
      <c r="AH34" s="12">
        <f t="shared" si="9"/>
        <v>231336</v>
      </c>
      <c r="AI34" s="12">
        <f t="shared" si="10"/>
        <v>308448</v>
      </c>
      <c r="AJ34" s="12">
        <f t="shared" si="11"/>
        <v>1927800</v>
      </c>
    </row>
    <row r="35" spans="2:36" x14ac:dyDescent="0.25">
      <c r="B35" s="160" t="s">
        <v>161</v>
      </c>
      <c r="C35" s="161"/>
      <c r="D35" s="161"/>
      <c r="E35" s="161"/>
      <c r="F35" s="161"/>
      <c r="G35" s="161"/>
      <c r="H35" s="161"/>
      <c r="I35" s="161"/>
      <c r="J35" s="161"/>
      <c r="K35" s="161"/>
      <c r="L35" s="161"/>
      <c r="M35" s="161"/>
      <c r="N35" s="161"/>
      <c r="O35" s="161"/>
      <c r="P35" s="161"/>
      <c r="Q35" s="161"/>
      <c r="R35" s="161"/>
      <c r="S35" s="161"/>
      <c r="T35" s="161"/>
      <c r="U35" s="161"/>
      <c r="V35" s="161"/>
      <c r="W35" s="162"/>
      <c r="X35" s="23">
        <f>SUM(X6:X34)</f>
        <v>91799354</v>
      </c>
      <c r="Y35" s="11"/>
      <c r="AA35" s="23">
        <f>SUM(AA6:AA34)</f>
        <v>32343715</v>
      </c>
      <c r="AB35" s="23">
        <f t="shared" ref="AB35:AJ35" si="15">SUM(AB6:AB34)</f>
        <v>3723293</v>
      </c>
      <c r="AC35" s="23">
        <f t="shared" si="15"/>
        <v>4325742</v>
      </c>
      <c r="AD35" s="23">
        <f t="shared" si="15"/>
        <v>10399144</v>
      </c>
      <c r="AE35" s="23">
        <f t="shared" si="15"/>
        <v>6784075</v>
      </c>
      <c r="AF35" s="23">
        <f t="shared" si="15"/>
        <v>2707922</v>
      </c>
      <c r="AG35" s="23">
        <f t="shared" si="15"/>
        <v>5074673</v>
      </c>
      <c r="AH35" s="23">
        <f t="shared" si="15"/>
        <v>9998914</v>
      </c>
      <c r="AI35" s="23">
        <f t="shared" si="15"/>
        <v>10314994</v>
      </c>
      <c r="AJ35" s="23">
        <f t="shared" si="15"/>
        <v>6126882</v>
      </c>
    </row>
    <row r="36" spans="2:36" x14ac:dyDescent="0.25">
      <c r="AA36" s="156">
        <f>+AJ35+AI35+AH35+AG35+AD35+AF35+AE35+AC35+AB35+AA35</f>
        <v>91799354</v>
      </c>
      <c r="AB36" s="157"/>
      <c r="AC36" s="157"/>
      <c r="AD36" s="157"/>
      <c r="AE36" s="157"/>
      <c r="AF36" s="157"/>
      <c r="AG36" s="157"/>
      <c r="AH36" s="157"/>
      <c r="AI36" s="157"/>
      <c r="AJ36" s="157"/>
    </row>
    <row r="37" spans="2:36" ht="131.25" customHeight="1" x14ac:dyDescent="0.25">
      <c r="C37" s="103" t="s">
        <v>302</v>
      </c>
      <c r="D37" s="154" t="s">
        <v>345</v>
      </c>
      <c r="E37" s="155"/>
      <c r="F37" s="155"/>
      <c r="AE37" s="44"/>
    </row>
    <row r="38" spans="2:36" ht="39" customHeight="1" x14ac:dyDescent="0.25">
      <c r="C38" s="104" t="s">
        <v>303</v>
      </c>
      <c r="D38" s="159" t="s">
        <v>305</v>
      </c>
      <c r="E38" s="159"/>
      <c r="F38" s="159"/>
    </row>
    <row r="39" spans="2:36" ht="34.5" customHeight="1" x14ac:dyDescent="0.25">
      <c r="C39" s="105" t="s">
        <v>304</v>
      </c>
      <c r="D39" s="159" t="s">
        <v>305</v>
      </c>
      <c r="E39" s="159"/>
      <c r="F39" s="159"/>
    </row>
  </sheetData>
  <autoFilter ref="B5:Y5"/>
  <mergeCells count="37">
    <mergeCell ref="D39:F39"/>
    <mergeCell ref="B35:W35"/>
    <mergeCell ref="B4:B5"/>
    <mergeCell ref="V4:V5"/>
    <mergeCell ref="W4:W5"/>
    <mergeCell ref="O4:O5"/>
    <mergeCell ref="N4:N5"/>
    <mergeCell ref="D38:F38"/>
    <mergeCell ref="I4:I5"/>
    <mergeCell ref="J4:J5"/>
    <mergeCell ref="K4:K5"/>
    <mergeCell ref="L4:L5"/>
    <mergeCell ref="D4:D5"/>
    <mergeCell ref="E4:E5"/>
    <mergeCell ref="F4:F5"/>
    <mergeCell ref="G4:G5"/>
    <mergeCell ref="D37:F37"/>
    <mergeCell ref="AA36:AJ36"/>
    <mergeCell ref="AA4:AA5"/>
    <mergeCell ref="AB4:AB5"/>
    <mergeCell ref="AC4:AC5"/>
    <mergeCell ref="AD4:AD5"/>
    <mergeCell ref="AE4:AE5"/>
    <mergeCell ref="AF4:AF5"/>
    <mergeCell ref="AG4:AG5"/>
    <mergeCell ref="AH4:AH5"/>
    <mergeCell ref="Y3:Y5"/>
    <mergeCell ref="H4:H5"/>
    <mergeCell ref="AI4:AI5"/>
    <mergeCell ref="AJ4:AJ5"/>
    <mergeCell ref="AA3:AJ3"/>
    <mergeCell ref="X4:X5"/>
    <mergeCell ref="P4:U4"/>
    <mergeCell ref="B3:O3"/>
    <mergeCell ref="M4:M5"/>
    <mergeCell ref="C4:C5"/>
    <mergeCell ref="P3:U3"/>
  </mergeCell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J34"/>
  <sheetViews>
    <sheetView workbookViewId="0">
      <pane xSplit="3" ySplit="4" topLeftCell="D17" activePane="bottomRight" state="frozen"/>
      <selection pane="topRight" activeCell="D1" sqref="D1"/>
      <selection pane="bottomLeft" activeCell="A5" sqref="A5"/>
      <selection pane="bottomRight" activeCell="C17" sqref="C17"/>
    </sheetView>
  </sheetViews>
  <sheetFormatPr baseColWidth="10" defaultRowHeight="15" x14ac:dyDescent="0.25"/>
  <cols>
    <col min="1" max="1" width="6.85546875" customWidth="1"/>
    <col min="2" max="2" width="4.7109375" style="1" bestFit="1" customWidth="1"/>
    <col min="3" max="3" width="29.5703125" customWidth="1"/>
    <col min="4" max="4" width="15.28515625" customWidth="1"/>
    <col min="5" max="5" width="11.42578125" customWidth="1"/>
    <col min="6" max="7" width="11.42578125" hidden="1" customWidth="1"/>
    <col min="8" max="8" width="12.85546875" hidden="1" customWidth="1"/>
    <col min="9" max="10" width="11.42578125" hidden="1" customWidth="1"/>
    <col min="11" max="11" width="13.85546875" hidden="1" customWidth="1"/>
    <col min="12" max="14" width="11.42578125" hidden="1" customWidth="1"/>
    <col min="16" max="18" width="11.42578125" style="77"/>
    <col min="19" max="19" width="14.28515625" style="77" customWidth="1"/>
    <col min="20" max="20" width="13.7109375" style="77" customWidth="1"/>
    <col min="21" max="21" width="11.42578125" style="77"/>
    <col min="22" max="22" width="13" style="77" customWidth="1"/>
    <col min="23" max="23" width="12.42578125" customWidth="1"/>
    <col min="24" max="24" width="50.140625" customWidth="1"/>
    <col min="26" max="35" width="11.42578125" style="9"/>
    <col min="36" max="36" width="11.42578125" style="110"/>
  </cols>
  <sheetData>
    <row r="2" spans="2:35" x14ac:dyDescent="0.25">
      <c r="B2" s="144" t="s">
        <v>88</v>
      </c>
      <c r="C2" s="145"/>
      <c r="D2" s="145"/>
      <c r="E2" s="145"/>
      <c r="F2" s="145"/>
      <c r="G2" s="145"/>
      <c r="H2" s="145"/>
      <c r="I2" s="145"/>
      <c r="J2" s="145"/>
      <c r="K2" s="145"/>
      <c r="L2" s="145"/>
      <c r="M2" s="145"/>
      <c r="N2" s="145"/>
      <c r="O2" s="146"/>
      <c r="P2" s="157" t="s">
        <v>59</v>
      </c>
      <c r="Q2" s="157"/>
      <c r="R2" s="157"/>
      <c r="S2" s="157"/>
      <c r="T2" s="157"/>
      <c r="U2" s="157"/>
      <c r="V2" s="157"/>
      <c r="W2" s="157"/>
      <c r="X2" s="170" t="s">
        <v>162</v>
      </c>
      <c r="Z2" s="157" t="s">
        <v>313</v>
      </c>
      <c r="AA2" s="157"/>
      <c r="AB2" s="157"/>
      <c r="AC2" s="157"/>
      <c r="AD2" s="157"/>
      <c r="AE2" s="157"/>
      <c r="AF2" s="157"/>
      <c r="AG2" s="157"/>
      <c r="AH2" s="157"/>
      <c r="AI2" s="157"/>
    </row>
    <row r="3" spans="2:35" ht="18.75" customHeight="1" x14ac:dyDescent="0.25">
      <c r="B3" s="168" t="s">
        <v>87</v>
      </c>
      <c r="C3" s="149" t="s">
        <v>299</v>
      </c>
      <c r="D3" s="147" t="s">
        <v>300</v>
      </c>
      <c r="E3" s="147" t="s">
        <v>4</v>
      </c>
      <c r="F3" s="147" t="s">
        <v>5</v>
      </c>
      <c r="G3" s="147" t="s">
        <v>6</v>
      </c>
      <c r="H3" s="147" t="s">
        <v>8</v>
      </c>
      <c r="I3" s="147" t="s">
        <v>9</v>
      </c>
      <c r="J3" s="147" t="s">
        <v>10</v>
      </c>
      <c r="K3" s="147" t="s">
        <v>11</v>
      </c>
      <c r="L3" s="147" t="s">
        <v>12</v>
      </c>
      <c r="M3" s="147" t="s">
        <v>13</v>
      </c>
      <c r="N3" s="147" t="s">
        <v>14</v>
      </c>
      <c r="O3" s="147" t="s">
        <v>15</v>
      </c>
      <c r="P3" s="171" t="s">
        <v>49</v>
      </c>
      <c r="Q3" s="171"/>
      <c r="R3" s="171"/>
      <c r="S3" s="171"/>
      <c r="T3" s="171"/>
      <c r="U3" s="163" t="s">
        <v>50</v>
      </c>
      <c r="V3" s="163" t="s">
        <v>51</v>
      </c>
      <c r="W3" s="158" t="s">
        <v>52</v>
      </c>
      <c r="X3" s="170"/>
      <c r="Z3" s="164" t="s">
        <v>4</v>
      </c>
      <c r="AA3" s="164" t="s">
        <v>5</v>
      </c>
      <c r="AB3" s="164" t="s">
        <v>6</v>
      </c>
      <c r="AC3" s="164" t="s">
        <v>8</v>
      </c>
      <c r="AD3" s="164" t="s">
        <v>9</v>
      </c>
      <c r="AE3" s="164" t="s">
        <v>10</v>
      </c>
      <c r="AF3" s="164" t="s">
        <v>11</v>
      </c>
      <c r="AG3" s="164" t="s">
        <v>12</v>
      </c>
      <c r="AH3" s="164" t="s">
        <v>13</v>
      </c>
      <c r="AI3" s="164" t="s">
        <v>14</v>
      </c>
    </row>
    <row r="4" spans="2:35" ht="147" customHeight="1" x14ac:dyDescent="0.25">
      <c r="B4" s="169"/>
      <c r="C4" s="150"/>
      <c r="D4" s="148"/>
      <c r="E4" s="148"/>
      <c r="F4" s="148"/>
      <c r="G4" s="148"/>
      <c r="H4" s="148"/>
      <c r="I4" s="148"/>
      <c r="J4" s="148"/>
      <c r="K4" s="148"/>
      <c r="L4" s="148"/>
      <c r="M4" s="148"/>
      <c r="N4" s="148"/>
      <c r="O4" s="148"/>
      <c r="P4" s="118" t="s">
        <v>53</v>
      </c>
      <c r="Q4" s="118" t="s">
        <v>54</v>
      </c>
      <c r="R4" s="129" t="s">
        <v>55</v>
      </c>
      <c r="S4" s="129" t="s">
        <v>56</v>
      </c>
      <c r="T4" s="129" t="s">
        <v>57</v>
      </c>
      <c r="U4" s="163"/>
      <c r="V4" s="163"/>
      <c r="W4" s="158"/>
      <c r="X4" s="170"/>
      <c r="Z4" s="164"/>
      <c r="AA4" s="164"/>
      <c r="AB4" s="164"/>
      <c r="AC4" s="164"/>
      <c r="AD4" s="164"/>
      <c r="AE4" s="164"/>
      <c r="AF4" s="164"/>
      <c r="AG4" s="164"/>
      <c r="AH4" s="164"/>
      <c r="AI4" s="164"/>
    </row>
    <row r="5" spans="2:35" ht="128.25" customHeight="1" x14ac:dyDescent="0.25">
      <c r="B5" s="8">
        <v>30</v>
      </c>
      <c r="C5" s="7" t="s">
        <v>60</v>
      </c>
      <c r="D5" s="7" t="s">
        <v>17</v>
      </c>
      <c r="E5" s="7">
        <v>21</v>
      </c>
      <c r="F5" s="7">
        <v>0</v>
      </c>
      <c r="G5" s="7">
        <v>0</v>
      </c>
      <c r="H5" s="7">
        <v>5</v>
      </c>
      <c r="I5" s="7">
        <v>0</v>
      </c>
      <c r="J5" s="7">
        <v>5</v>
      </c>
      <c r="K5" s="7">
        <v>30</v>
      </c>
      <c r="L5" s="7">
        <v>20</v>
      </c>
      <c r="M5" s="7">
        <v>5</v>
      </c>
      <c r="N5" s="7">
        <v>5</v>
      </c>
      <c r="O5" s="4">
        <f>SUM(E5:N5)</f>
        <v>91</v>
      </c>
      <c r="P5" s="48">
        <v>73304</v>
      </c>
      <c r="Q5" s="48"/>
      <c r="R5" s="48">
        <v>46008.97</v>
      </c>
      <c r="S5" s="48">
        <v>42840</v>
      </c>
      <c r="T5" s="48">
        <v>66937.5</v>
      </c>
      <c r="U5" s="47">
        <f>(29100)*((1+13.12/100))</f>
        <v>32917.919999999998</v>
      </c>
      <c r="V5" s="48">
        <f>ROUND(HARMEAN(P5:U5),0)</f>
        <v>48060</v>
      </c>
      <c r="W5" s="6">
        <f t="shared" ref="W5:W29" si="0">+V5*O5</f>
        <v>4373460</v>
      </c>
      <c r="X5" s="19"/>
      <c r="Z5" s="12">
        <f>+V5*E5</f>
        <v>1009260</v>
      </c>
      <c r="AA5" s="12">
        <f>+V5*F5</f>
        <v>0</v>
      </c>
      <c r="AB5" s="12">
        <f>+V5*G5</f>
        <v>0</v>
      </c>
      <c r="AC5" s="12">
        <f>+V5*H5</f>
        <v>240300</v>
      </c>
      <c r="AD5" s="12">
        <f>+V5*I5</f>
        <v>0</v>
      </c>
      <c r="AE5" s="12">
        <f>+V5*J5</f>
        <v>240300</v>
      </c>
      <c r="AF5" s="12">
        <f>+V5*K5</f>
        <v>1441800</v>
      </c>
      <c r="AG5" s="12">
        <f>+V5*L5</f>
        <v>961200</v>
      </c>
      <c r="AH5" s="12">
        <f>+V5*M5</f>
        <v>240300</v>
      </c>
      <c r="AI5" s="12">
        <f>+V5*N5</f>
        <v>240300</v>
      </c>
    </row>
    <row r="6" spans="2:35" ht="120.75" customHeight="1" x14ac:dyDescent="0.25">
      <c r="B6" s="8">
        <f>1+B5</f>
        <v>31</v>
      </c>
      <c r="C6" s="7" t="s">
        <v>61</v>
      </c>
      <c r="D6" s="7" t="s">
        <v>17</v>
      </c>
      <c r="E6" s="7">
        <v>21</v>
      </c>
      <c r="F6" s="7">
        <v>0</v>
      </c>
      <c r="G6" s="7">
        <v>0</v>
      </c>
      <c r="H6" s="7">
        <v>0</v>
      </c>
      <c r="I6" s="7">
        <v>10</v>
      </c>
      <c r="J6" s="7">
        <v>0</v>
      </c>
      <c r="K6" s="7">
        <v>20</v>
      </c>
      <c r="L6" s="7">
        <v>20</v>
      </c>
      <c r="M6" s="7">
        <v>0</v>
      </c>
      <c r="N6" s="7">
        <v>0</v>
      </c>
      <c r="O6" s="20">
        <f t="shared" ref="O6:O29" si="1">SUM(E6:N6)</f>
        <v>71</v>
      </c>
      <c r="P6" s="48">
        <v>113883</v>
      </c>
      <c r="Q6" s="48"/>
      <c r="R6" s="78">
        <f>49812*1.19</f>
        <v>59276.28</v>
      </c>
      <c r="S6" s="48">
        <v>56525</v>
      </c>
      <c r="T6" s="48">
        <v>108706.5</v>
      </c>
      <c r="U6" s="47">
        <f>(37008)*((1+13.12/100))</f>
        <v>41863.4496</v>
      </c>
      <c r="V6" s="48">
        <f t="shared" ref="V6:V11" si="2">ROUND(HARMEAN(P6:U6),0)</f>
        <v>65420</v>
      </c>
      <c r="W6" s="13">
        <f t="shared" si="0"/>
        <v>4644820</v>
      </c>
      <c r="X6" s="19"/>
      <c r="Z6" s="12">
        <f t="shared" ref="Z6:Z29" si="3">+V6*E6</f>
        <v>1373820</v>
      </c>
      <c r="AA6" s="12">
        <f t="shared" ref="AA6:AA29" si="4">+V6*F6</f>
        <v>0</v>
      </c>
      <c r="AB6" s="12">
        <f t="shared" ref="AB6:AB29" si="5">+V6*G6</f>
        <v>0</v>
      </c>
      <c r="AC6" s="12">
        <f t="shared" ref="AC6:AC29" si="6">+V6*H6</f>
        <v>0</v>
      </c>
      <c r="AD6" s="12">
        <f t="shared" ref="AD6:AD29" si="7">+V6*I6</f>
        <v>654200</v>
      </c>
      <c r="AE6" s="12">
        <f t="shared" ref="AE6:AE29" si="8">+V6*J6</f>
        <v>0</v>
      </c>
      <c r="AF6" s="12">
        <f t="shared" ref="AF6:AF29" si="9">+V6*K6</f>
        <v>1308400</v>
      </c>
      <c r="AG6" s="12">
        <f t="shared" ref="AG6:AG29" si="10">+V6*L6</f>
        <v>1308400</v>
      </c>
      <c r="AH6" s="12">
        <f t="shared" ref="AH6:AH29" si="11">+V6*M6</f>
        <v>0</v>
      </c>
      <c r="AI6" s="12">
        <f t="shared" ref="AI6:AI29" si="12">+V6*N6</f>
        <v>0</v>
      </c>
    </row>
    <row r="7" spans="2:35" ht="122.25" customHeight="1" x14ac:dyDescent="0.25">
      <c r="B7" s="8">
        <f t="shared" ref="B7:B29" si="13">1+B6</f>
        <v>32</v>
      </c>
      <c r="C7" s="7" t="s">
        <v>62</v>
      </c>
      <c r="D7" s="7" t="s">
        <v>17</v>
      </c>
      <c r="E7" s="7">
        <v>21</v>
      </c>
      <c r="F7" s="7">
        <v>0</v>
      </c>
      <c r="G7" s="7">
        <v>0</v>
      </c>
      <c r="H7" s="7">
        <v>15</v>
      </c>
      <c r="I7" s="7">
        <v>0</v>
      </c>
      <c r="J7" s="7">
        <v>0</v>
      </c>
      <c r="K7" s="7">
        <v>20</v>
      </c>
      <c r="L7" s="7">
        <v>20</v>
      </c>
      <c r="M7" s="7">
        <v>5</v>
      </c>
      <c r="N7" s="7">
        <v>0</v>
      </c>
      <c r="O7" s="20">
        <f t="shared" si="1"/>
        <v>81</v>
      </c>
      <c r="P7" s="48">
        <v>138754</v>
      </c>
      <c r="Q7" s="48"/>
      <c r="R7" s="48">
        <v>43570.659999999996</v>
      </c>
      <c r="S7" s="48">
        <v>42840</v>
      </c>
      <c r="T7" s="48">
        <v>65688</v>
      </c>
      <c r="U7" s="47">
        <f>(27900)*((1+13.12/100))</f>
        <v>31560.48</v>
      </c>
      <c r="V7" s="48">
        <f t="shared" si="2"/>
        <v>49796</v>
      </c>
      <c r="W7" s="13">
        <f t="shared" si="0"/>
        <v>4033476</v>
      </c>
      <c r="X7" s="19"/>
      <c r="Z7" s="12">
        <f t="shared" si="3"/>
        <v>1045716</v>
      </c>
      <c r="AA7" s="12">
        <f t="shared" si="4"/>
        <v>0</v>
      </c>
      <c r="AB7" s="12">
        <f t="shared" si="5"/>
        <v>0</v>
      </c>
      <c r="AC7" s="12">
        <f t="shared" si="6"/>
        <v>746940</v>
      </c>
      <c r="AD7" s="12">
        <f t="shared" si="7"/>
        <v>0</v>
      </c>
      <c r="AE7" s="12">
        <f t="shared" si="8"/>
        <v>0</v>
      </c>
      <c r="AF7" s="12">
        <f t="shared" si="9"/>
        <v>995920</v>
      </c>
      <c r="AG7" s="12">
        <f t="shared" si="10"/>
        <v>995920</v>
      </c>
      <c r="AH7" s="12">
        <f t="shared" si="11"/>
        <v>248980</v>
      </c>
      <c r="AI7" s="12">
        <f t="shared" si="12"/>
        <v>0</v>
      </c>
    </row>
    <row r="8" spans="2:35" ht="121.5" customHeight="1" x14ac:dyDescent="0.25">
      <c r="B8" s="8">
        <f t="shared" si="13"/>
        <v>33</v>
      </c>
      <c r="C8" s="7" t="s">
        <v>63</v>
      </c>
      <c r="D8" s="7" t="s">
        <v>17</v>
      </c>
      <c r="E8" s="7">
        <v>0</v>
      </c>
      <c r="F8" s="7">
        <v>0</v>
      </c>
      <c r="G8" s="7">
        <v>0</v>
      </c>
      <c r="H8" s="7">
        <v>0</v>
      </c>
      <c r="I8" s="7"/>
      <c r="J8" s="7">
        <v>0</v>
      </c>
      <c r="K8" s="7">
        <v>0</v>
      </c>
      <c r="L8" s="7">
        <v>1</v>
      </c>
      <c r="M8" s="7">
        <v>3</v>
      </c>
      <c r="N8" s="7">
        <v>0</v>
      </c>
      <c r="O8" s="20">
        <f t="shared" si="1"/>
        <v>4</v>
      </c>
      <c r="P8" s="48">
        <v>65450</v>
      </c>
      <c r="Q8" s="48"/>
      <c r="R8" s="48">
        <v>297276.18619943998</v>
      </c>
      <c r="S8" s="48">
        <v>56525</v>
      </c>
      <c r="T8" s="48">
        <v>90440</v>
      </c>
      <c r="U8" s="47">
        <f>(78000)*((1+13.12/100))</f>
        <v>88233.600000000006</v>
      </c>
      <c r="V8" s="48">
        <f t="shared" si="2"/>
        <v>85143</v>
      </c>
      <c r="W8" s="13">
        <f t="shared" si="0"/>
        <v>340572</v>
      </c>
      <c r="X8" s="19"/>
      <c r="Z8" s="12">
        <f t="shared" si="3"/>
        <v>0</v>
      </c>
      <c r="AA8" s="12">
        <f t="shared" si="4"/>
        <v>0</v>
      </c>
      <c r="AB8" s="12">
        <f t="shared" si="5"/>
        <v>0</v>
      </c>
      <c r="AC8" s="12">
        <f t="shared" si="6"/>
        <v>0</v>
      </c>
      <c r="AD8" s="12">
        <f t="shared" si="7"/>
        <v>0</v>
      </c>
      <c r="AE8" s="12">
        <f t="shared" si="8"/>
        <v>0</v>
      </c>
      <c r="AF8" s="12">
        <f t="shared" si="9"/>
        <v>0</v>
      </c>
      <c r="AG8" s="12">
        <f t="shared" si="10"/>
        <v>85143</v>
      </c>
      <c r="AH8" s="12">
        <f t="shared" si="11"/>
        <v>255429</v>
      </c>
      <c r="AI8" s="12">
        <f t="shared" si="12"/>
        <v>0</v>
      </c>
    </row>
    <row r="9" spans="2:35" ht="135" customHeight="1" x14ac:dyDescent="0.25">
      <c r="B9" s="8">
        <f t="shared" si="13"/>
        <v>34</v>
      </c>
      <c r="C9" s="7" t="s">
        <v>64</v>
      </c>
      <c r="D9" s="7" t="s">
        <v>17</v>
      </c>
      <c r="E9" s="7">
        <v>0</v>
      </c>
      <c r="F9" s="7">
        <v>0</v>
      </c>
      <c r="G9" s="7">
        <v>0</v>
      </c>
      <c r="H9" s="7">
        <v>0</v>
      </c>
      <c r="I9" s="7">
        <v>2</v>
      </c>
      <c r="J9" s="7">
        <v>0</v>
      </c>
      <c r="K9" s="7">
        <v>0</v>
      </c>
      <c r="L9" s="7">
        <v>0</v>
      </c>
      <c r="M9" s="7">
        <v>3</v>
      </c>
      <c r="N9" s="7">
        <v>0</v>
      </c>
      <c r="O9" s="20">
        <f t="shared" si="1"/>
        <v>5</v>
      </c>
      <c r="P9" s="48">
        <v>324632</v>
      </c>
      <c r="Q9" s="48"/>
      <c r="R9" s="48">
        <v>381158.92439897999</v>
      </c>
      <c r="S9" s="48">
        <v>208250</v>
      </c>
      <c r="T9" s="48">
        <v>333200</v>
      </c>
      <c r="U9" s="47">
        <f>(220000)*((1+13.12/100))</f>
        <v>248864</v>
      </c>
      <c r="V9" s="48">
        <f t="shared" si="2"/>
        <v>285301</v>
      </c>
      <c r="W9" s="13">
        <f t="shared" si="0"/>
        <v>1426505</v>
      </c>
      <c r="X9" s="19"/>
      <c r="Z9" s="12">
        <f t="shared" si="3"/>
        <v>0</v>
      </c>
      <c r="AA9" s="12">
        <f t="shared" si="4"/>
        <v>0</v>
      </c>
      <c r="AB9" s="12">
        <f t="shared" si="5"/>
        <v>0</v>
      </c>
      <c r="AC9" s="12">
        <f t="shared" si="6"/>
        <v>0</v>
      </c>
      <c r="AD9" s="12">
        <f t="shared" si="7"/>
        <v>570602</v>
      </c>
      <c r="AE9" s="12">
        <f t="shared" si="8"/>
        <v>0</v>
      </c>
      <c r="AF9" s="12">
        <f t="shared" si="9"/>
        <v>0</v>
      </c>
      <c r="AG9" s="12">
        <f t="shared" si="10"/>
        <v>0</v>
      </c>
      <c r="AH9" s="12">
        <f t="shared" si="11"/>
        <v>855903</v>
      </c>
      <c r="AI9" s="12">
        <f t="shared" si="12"/>
        <v>0</v>
      </c>
    </row>
    <row r="10" spans="2:35" ht="118.5" customHeight="1" x14ac:dyDescent="0.25">
      <c r="B10" s="8">
        <f t="shared" si="13"/>
        <v>35</v>
      </c>
      <c r="C10" s="7" t="s">
        <v>65</v>
      </c>
      <c r="D10" s="7" t="s">
        <v>17</v>
      </c>
      <c r="E10" s="7">
        <v>5</v>
      </c>
      <c r="F10" s="7">
        <v>0</v>
      </c>
      <c r="G10" s="7">
        <v>0</v>
      </c>
      <c r="H10" s="7">
        <v>0</v>
      </c>
      <c r="I10" s="7"/>
      <c r="J10" s="7">
        <v>0</v>
      </c>
      <c r="K10" s="7">
        <v>10</v>
      </c>
      <c r="L10" s="7">
        <v>1</v>
      </c>
      <c r="M10" s="7">
        <v>10</v>
      </c>
      <c r="N10" s="7">
        <v>0</v>
      </c>
      <c r="O10" s="20">
        <f t="shared" si="1"/>
        <v>26</v>
      </c>
      <c r="P10" s="48">
        <v>138754</v>
      </c>
      <c r="Q10" s="48"/>
      <c r="R10" s="48">
        <v>281570.42638158001</v>
      </c>
      <c r="S10" s="48">
        <v>42840</v>
      </c>
      <c r="T10" s="48">
        <v>68544</v>
      </c>
      <c r="U10" s="47">
        <f>(50013)*((1+13.12/100))</f>
        <v>56574.705600000001</v>
      </c>
      <c r="V10" s="48">
        <f t="shared" si="2"/>
        <v>75340</v>
      </c>
      <c r="W10" s="13">
        <f t="shared" si="0"/>
        <v>1958840</v>
      </c>
      <c r="X10" s="19"/>
      <c r="Z10" s="12">
        <f t="shared" si="3"/>
        <v>376700</v>
      </c>
      <c r="AA10" s="12">
        <f t="shared" si="4"/>
        <v>0</v>
      </c>
      <c r="AB10" s="12">
        <f t="shared" si="5"/>
        <v>0</v>
      </c>
      <c r="AC10" s="12">
        <f t="shared" si="6"/>
        <v>0</v>
      </c>
      <c r="AD10" s="12">
        <f t="shared" si="7"/>
        <v>0</v>
      </c>
      <c r="AE10" s="12">
        <f t="shared" si="8"/>
        <v>0</v>
      </c>
      <c r="AF10" s="12">
        <f t="shared" si="9"/>
        <v>753400</v>
      </c>
      <c r="AG10" s="12">
        <f t="shared" si="10"/>
        <v>75340</v>
      </c>
      <c r="AH10" s="12">
        <f t="shared" si="11"/>
        <v>753400</v>
      </c>
      <c r="AI10" s="12">
        <f t="shared" si="12"/>
        <v>0</v>
      </c>
    </row>
    <row r="11" spans="2:35" ht="121.5" customHeight="1" x14ac:dyDescent="0.25">
      <c r="B11" s="8">
        <f t="shared" si="13"/>
        <v>36</v>
      </c>
      <c r="C11" s="7" t="s">
        <v>66</v>
      </c>
      <c r="D11" s="7" t="s">
        <v>17</v>
      </c>
      <c r="E11" s="7">
        <v>0</v>
      </c>
      <c r="F11" s="7">
        <v>0</v>
      </c>
      <c r="G11" s="7">
        <v>0</v>
      </c>
      <c r="H11" s="7">
        <v>0</v>
      </c>
      <c r="I11" s="7"/>
      <c r="J11" s="7">
        <v>0</v>
      </c>
      <c r="K11" s="7">
        <v>5</v>
      </c>
      <c r="L11" s="7">
        <v>1</v>
      </c>
      <c r="M11" s="7">
        <v>0</v>
      </c>
      <c r="N11" s="7">
        <v>0</v>
      </c>
      <c r="O11" s="20">
        <f t="shared" si="1"/>
        <v>6</v>
      </c>
      <c r="P11" s="48">
        <v>79849</v>
      </c>
      <c r="Q11" s="48"/>
      <c r="R11" s="78">
        <f>257276*1.19</f>
        <v>306158.44</v>
      </c>
      <c r="S11" s="48">
        <v>52003</v>
      </c>
      <c r="T11" s="48">
        <v>83204.800000000003</v>
      </c>
      <c r="U11" s="47">
        <f>(54500)*((1+13.12/100))</f>
        <v>61650.400000000001</v>
      </c>
      <c r="V11" s="48">
        <f t="shared" si="2"/>
        <v>79041</v>
      </c>
      <c r="W11" s="13">
        <f t="shared" si="0"/>
        <v>474246</v>
      </c>
      <c r="X11" s="19"/>
      <c r="Z11" s="12">
        <f t="shared" si="3"/>
        <v>0</v>
      </c>
      <c r="AA11" s="12">
        <f t="shared" si="4"/>
        <v>0</v>
      </c>
      <c r="AB11" s="12">
        <f t="shared" si="5"/>
        <v>0</v>
      </c>
      <c r="AC11" s="12">
        <f t="shared" si="6"/>
        <v>0</v>
      </c>
      <c r="AD11" s="12">
        <f t="shared" si="7"/>
        <v>0</v>
      </c>
      <c r="AE11" s="12">
        <f t="shared" si="8"/>
        <v>0</v>
      </c>
      <c r="AF11" s="12">
        <f t="shared" si="9"/>
        <v>395205</v>
      </c>
      <c r="AG11" s="12">
        <f t="shared" si="10"/>
        <v>79041</v>
      </c>
      <c r="AH11" s="12">
        <f t="shared" si="11"/>
        <v>0</v>
      </c>
      <c r="AI11" s="12">
        <f t="shared" si="12"/>
        <v>0</v>
      </c>
    </row>
    <row r="12" spans="2:35" ht="125.25" customHeight="1" x14ac:dyDescent="0.25">
      <c r="B12" s="8">
        <f t="shared" si="13"/>
        <v>37</v>
      </c>
      <c r="C12" s="7" t="s">
        <v>67</v>
      </c>
      <c r="D12" s="7" t="s">
        <v>17</v>
      </c>
      <c r="E12" s="7">
        <v>0</v>
      </c>
      <c r="F12" s="7">
        <v>0</v>
      </c>
      <c r="G12" s="7">
        <v>0</v>
      </c>
      <c r="H12" s="7">
        <v>11</v>
      </c>
      <c r="I12" s="7">
        <v>4</v>
      </c>
      <c r="J12" s="7">
        <v>0</v>
      </c>
      <c r="K12" s="7">
        <v>4</v>
      </c>
      <c r="L12" s="7">
        <v>4</v>
      </c>
      <c r="M12" s="7">
        <v>8</v>
      </c>
      <c r="N12" s="7">
        <v>0</v>
      </c>
      <c r="O12" s="20">
        <f t="shared" si="1"/>
        <v>31</v>
      </c>
      <c r="P12" s="48"/>
      <c r="Q12" s="48"/>
      <c r="R12" s="48"/>
      <c r="S12" s="48">
        <v>76160</v>
      </c>
      <c r="T12" s="48"/>
      <c r="U12" s="47"/>
      <c r="V12" s="48">
        <f t="shared" ref="V12:V26" si="14">ROUND(GEOMEAN(P12:U12),0)</f>
        <v>76160</v>
      </c>
      <c r="W12" s="13">
        <f t="shared" si="0"/>
        <v>2360960</v>
      </c>
      <c r="X12" s="19"/>
      <c r="Z12" s="12">
        <f t="shared" si="3"/>
        <v>0</v>
      </c>
      <c r="AA12" s="12">
        <f t="shared" si="4"/>
        <v>0</v>
      </c>
      <c r="AB12" s="12">
        <f t="shared" si="5"/>
        <v>0</v>
      </c>
      <c r="AC12" s="12">
        <f t="shared" si="6"/>
        <v>837760</v>
      </c>
      <c r="AD12" s="12">
        <f t="shared" si="7"/>
        <v>304640</v>
      </c>
      <c r="AE12" s="12">
        <f t="shared" si="8"/>
        <v>0</v>
      </c>
      <c r="AF12" s="12">
        <f t="shared" si="9"/>
        <v>304640</v>
      </c>
      <c r="AG12" s="12">
        <f t="shared" si="10"/>
        <v>304640</v>
      </c>
      <c r="AH12" s="12">
        <f t="shared" si="11"/>
        <v>609280</v>
      </c>
      <c r="AI12" s="12">
        <f t="shared" si="12"/>
        <v>0</v>
      </c>
    </row>
    <row r="13" spans="2:35" ht="123" customHeight="1" x14ac:dyDescent="0.25">
      <c r="B13" s="8">
        <f t="shared" si="13"/>
        <v>38</v>
      </c>
      <c r="C13" s="7" t="s">
        <v>68</v>
      </c>
      <c r="D13" s="7" t="s">
        <v>69</v>
      </c>
      <c r="E13" s="7">
        <v>29</v>
      </c>
      <c r="F13" s="7">
        <v>0</v>
      </c>
      <c r="G13" s="7">
        <v>0</v>
      </c>
      <c r="H13" s="7">
        <v>0</v>
      </c>
      <c r="I13" s="7">
        <v>0</v>
      </c>
      <c r="J13" s="7">
        <v>0</v>
      </c>
      <c r="K13" s="7">
        <v>4</v>
      </c>
      <c r="L13" s="7">
        <v>0</v>
      </c>
      <c r="M13" s="7">
        <v>2</v>
      </c>
      <c r="N13" s="7">
        <v>0</v>
      </c>
      <c r="O13" s="20">
        <f t="shared" si="1"/>
        <v>35</v>
      </c>
      <c r="P13" s="48">
        <v>113883</v>
      </c>
      <c r="Q13" s="48"/>
      <c r="R13" s="48"/>
      <c r="S13" s="48">
        <v>66759</v>
      </c>
      <c r="T13" s="48">
        <v>111860</v>
      </c>
      <c r="U13" s="47">
        <f>(81798)*((1+13.12/100))</f>
        <v>92529.897599999997</v>
      </c>
      <c r="V13" s="48">
        <f t="shared" si="14"/>
        <v>94185</v>
      </c>
      <c r="W13" s="13">
        <f t="shared" si="0"/>
        <v>3296475</v>
      </c>
      <c r="X13" s="19"/>
      <c r="Z13" s="12">
        <f t="shared" si="3"/>
        <v>2731365</v>
      </c>
      <c r="AA13" s="12">
        <f t="shared" si="4"/>
        <v>0</v>
      </c>
      <c r="AB13" s="12">
        <f t="shared" si="5"/>
        <v>0</v>
      </c>
      <c r="AC13" s="12">
        <f t="shared" si="6"/>
        <v>0</v>
      </c>
      <c r="AD13" s="12">
        <f t="shared" si="7"/>
        <v>0</v>
      </c>
      <c r="AE13" s="12">
        <f t="shared" si="8"/>
        <v>0</v>
      </c>
      <c r="AF13" s="12">
        <f t="shared" si="9"/>
        <v>376740</v>
      </c>
      <c r="AG13" s="12">
        <f t="shared" si="10"/>
        <v>0</v>
      </c>
      <c r="AH13" s="12">
        <f t="shared" si="11"/>
        <v>188370</v>
      </c>
      <c r="AI13" s="12">
        <f t="shared" si="12"/>
        <v>0</v>
      </c>
    </row>
    <row r="14" spans="2:35" ht="131.25" customHeight="1" x14ac:dyDescent="0.25">
      <c r="B14" s="8">
        <f t="shared" si="13"/>
        <v>39</v>
      </c>
      <c r="C14" s="7" t="s">
        <v>70</v>
      </c>
      <c r="D14" s="7" t="s">
        <v>69</v>
      </c>
      <c r="E14" s="7">
        <v>27</v>
      </c>
      <c r="F14" s="7">
        <v>0</v>
      </c>
      <c r="G14" s="7">
        <v>0</v>
      </c>
      <c r="H14" s="7">
        <v>12</v>
      </c>
      <c r="I14" s="7">
        <v>4</v>
      </c>
      <c r="J14" s="7">
        <v>0</v>
      </c>
      <c r="K14" s="7"/>
      <c r="L14" s="7">
        <v>3</v>
      </c>
      <c r="M14" s="7">
        <v>16</v>
      </c>
      <c r="N14" s="7">
        <v>20</v>
      </c>
      <c r="O14" s="20">
        <f t="shared" si="1"/>
        <v>82</v>
      </c>
      <c r="P14" s="48">
        <v>117810</v>
      </c>
      <c r="Q14" s="48"/>
      <c r="R14" s="48"/>
      <c r="S14" s="48">
        <v>66759</v>
      </c>
      <c r="T14" s="48">
        <v>95081</v>
      </c>
      <c r="U14" s="47">
        <f>(87504)*((1+13.12/100))</f>
        <v>98984.524799999999</v>
      </c>
      <c r="V14" s="48">
        <f t="shared" si="14"/>
        <v>92755</v>
      </c>
      <c r="W14" s="13">
        <f t="shared" si="0"/>
        <v>7605910</v>
      </c>
      <c r="X14" s="19"/>
      <c r="Z14" s="12">
        <f t="shared" si="3"/>
        <v>2504385</v>
      </c>
      <c r="AA14" s="12">
        <f t="shared" si="4"/>
        <v>0</v>
      </c>
      <c r="AB14" s="12">
        <f t="shared" si="5"/>
        <v>0</v>
      </c>
      <c r="AC14" s="12">
        <f t="shared" si="6"/>
        <v>1113060</v>
      </c>
      <c r="AD14" s="12">
        <f t="shared" si="7"/>
        <v>371020</v>
      </c>
      <c r="AE14" s="12">
        <f t="shared" si="8"/>
        <v>0</v>
      </c>
      <c r="AF14" s="12">
        <f t="shared" si="9"/>
        <v>0</v>
      </c>
      <c r="AG14" s="12">
        <f t="shared" si="10"/>
        <v>278265</v>
      </c>
      <c r="AH14" s="12">
        <f t="shared" si="11"/>
        <v>1484080</v>
      </c>
      <c r="AI14" s="12">
        <f t="shared" si="12"/>
        <v>1855100</v>
      </c>
    </row>
    <row r="15" spans="2:35" ht="135.75" customHeight="1" x14ac:dyDescent="0.25">
      <c r="B15" s="8">
        <f t="shared" si="13"/>
        <v>40</v>
      </c>
      <c r="C15" s="7" t="s">
        <v>71</v>
      </c>
      <c r="D15" s="7" t="s">
        <v>72</v>
      </c>
      <c r="E15" s="7">
        <v>13</v>
      </c>
      <c r="F15" s="7">
        <v>0</v>
      </c>
      <c r="G15" s="7">
        <v>0</v>
      </c>
      <c r="H15" s="7">
        <v>31</v>
      </c>
      <c r="I15" s="7"/>
      <c r="J15" s="7">
        <v>1</v>
      </c>
      <c r="K15" s="7">
        <v>6</v>
      </c>
      <c r="L15" s="7">
        <v>5</v>
      </c>
      <c r="M15" s="7">
        <v>6</v>
      </c>
      <c r="N15" s="7">
        <v>0</v>
      </c>
      <c r="O15" s="20">
        <f t="shared" si="1"/>
        <v>62</v>
      </c>
      <c r="P15" s="48"/>
      <c r="Q15" s="48"/>
      <c r="R15" s="48">
        <v>62658.259999999995</v>
      </c>
      <c r="S15" s="48">
        <v>77350</v>
      </c>
      <c r="T15" s="48">
        <v>123807.59999999999</v>
      </c>
      <c r="U15" s="47">
        <f>(57000)*((1+13.12/100))</f>
        <v>64478.400000000001</v>
      </c>
      <c r="V15" s="48">
        <f>ROUND(HARMEAN(P15:U15),0)</f>
        <v>76228</v>
      </c>
      <c r="W15" s="13">
        <f t="shared" si="0"/>
        <v>4726136</v>
      </c>
      <c r="X15" s="19"/>
      <c r="Z15" s="12">
        <f t="shared" si="3"/>
        <v>990964</v>
      </c>
      <c r="AA15" s="12">
        <f t="shared" si="4"/>
        <v>0</v>
      </c>
      <c r="AB15" s="12">
        <f t="shared" si="5"/>
        <v>0</v>
      </c>
      <c r="AC15" s="12">
        <f t="shared" si="6"/>
        <v>2363068</v>
      </c>
      <c r="AD15" s="12">
        <f t="shared" si="7"/>
        <v>0</v>
      </c>
      <c r="AE15" s="12">
        <f t="shared" si="8"/>
        <v>76228</v>
      </c>
      <c r="AF15" s="12">
        <f t="shared" si="9"/>
        <v>457368</v>
      </c>
      <c r="AG15" s="12">
        <f t="shared" si="10"/>
        <v>381140</v>
      </c>
      <c r="AH15" s="12">
        <f t="shared" si="11"/>
        <v>457368</v>
      </c>
      <c r="AI15" s="12">
        <f t="shared" si="12"/>
        <v>0</v>
      </c>
    </row>
    <row r="16" spans="2:35" ht="117" customHeight="1" x14ac:dyDescent="0.25">
      <c r="B16" s="8">
        <f t="shared" si="13"/>
        <v>41</v>
      </c>
      <c r="C16" s="7" t="s">
        <v>73</v>
      </c>
      <c r="D16" s="7" t="s">
        <v>17</v>
      </c>
      <c r="E16" s="7">
        <v>5</v>
      </c>
      <c r="F16" s="7">
        <v>0</v>
      </c>
      <c r="G16" s="7">
        <v>0</v>
      </c>
      <c r="H16" s="7">
        <v>0</v>
      </c>
      <c r="I16" s="7">
        <v>0</v>
      </c>
      <c r="J16" s="7">
        <v>0</v>
      </c>
      <c r="K16" s="7">
        <v>0</v>
      </c>
      <c r="L16" s="7">
        <v>0</v>
      </c>
      <c r="M16" s="7">
        <v>2</v>
      </c>
      <c r="N16" s="7">
        <v>0</v>
      </c>
      <c r="O16" s="20">
        <f t="shared" si="1"/>
        <v>7</v>
      </c>
      <c r="P16" s="48">
        <v>189805</v>
      </c>
      <c r="Q16" s="48"/>
      <c r="R16" s="48">
        <v>140339.07999999999</v>
      </c>
      <c r="S16" s="48"/>
      <c r="T16" s="48"/>
      <c r="U16" s="47"/>
      <c r="V16" s="48">
        <f t="shared" si="14"/>
        <v>163209</v>
      </c>
      <c r="W16" s="13">
        <f t="shared" si="0"/>
        <v>1142463</v>
      </c>
      <c r="X16" s="19"/>
      <c r="Z16" s="12">
        <f t="shared" si="3"/>
        <v>816045</v>
      </c>
      <c r="AA16" s="12">
        <f t="shared" si="4"/>
        <v>0</v>
      </c>
      <c r="AB16" s="12">
        <f t="shared" si="5"/>
        <v>0</v>
      </c>
      <c r="AC16" s="12">
        <f t="shared" si="6"/>
        <v>0</v>
      </c>
      <c r="AD16" s="12">
        <f t="shared" si="7"/>
        <v>0</v>
      </c>
      <c r="AE16" s="12">
        <f t="shared" si="8"/>
        <v>0</v>
      </c>
      <c r="AF16" s="12">
        <f t="shared" si="9"/>
        <v>0</v>
      </c>
      <c r="AG16" s="12">
        <f t="shared" si="10"/>
        <v>0</v>
      </c>
      <c r="AH16" s="12">
        <f t="shared" si="11"/>
        <v>326418</v>
      </c>
      <c r="AI16" s="12">
        <f t="shared" si="12"/>
        <v>0</v>
      </c>
    </row>
    <row r="17" spans="2:35" ht="133.5" customHeight="1" x14ac:dyDescent="0.25">
      <c r="B17" s="8">
        <f t="shared" si="13"/>
        <v>42</v>
      </c>
      <c r="C17" s="7" t="s">
        <v>347</v>
      </c>
      <c r="D17" s="7" t="s">
        <v>17</v>
      </c>
      <c r="E17" s="7">
        <v>0</v>
      </c>
      <c r="F17" s="7">
        <v>0</v>
      </c>
      <c r="G17" s="7">
        <v>0</v>
      </c>
      <c r="H17" s="7">
        <v>3000</v>
      </c>
      <c r="I17" s="7">
        <v>100</v>
      </c>
      <c r="J17" s="7">
        <v>0</v>
      </c>
      <c r="K17" s="7">
        <v>0</v>
      </c>
      <c r="L17" s="7">
        <v>0</v>
      </c>
      <c r="M17" s="7">
        <v>0</v>
      </c>
      <c r="N17" s="7">
        <v>0</v>
      </c>
      <c r="O17" s="20">
        <f t="shared" si="1"/>
        <v>3100</v>
      </c>
      <c r="P17" s="48"/>
      <c r="Q17" s="48"/>
      <c r="R17" s="48">
        <v>4141.2</v>
      </c>
      <c r="S17" s="48">
        <v>1190</v>
      </c>
      <c r="T17" s="48">
        <v>1904</v>
      </c>
      <c r="U17" s="47"/>
      <c r="V17" s="48">
        <f>ROUND(HARMEAN(P17:U17),0)</f>
        <v>1867</v>
      </c>
      <c r="W17" s="13">
        <f t="shared" si="0"/>
        <v>5787700</v>
      </c>
      <c r="X17" s="19"/>
      <c r="Z17" s="12">
        <f t="shared" si="3"/>
        <v>0</v>
      </c>
      <c r="AA17" s="12">
        <f t="shared" si="4"/>
        <v>0</v>
      </c>
      <c r="AB17" s="12">
        <f t="shared" si="5"/>
        <v>0</v>
      </c>
      <c r="AC17" s="12">
        <f t="shared" si="6"/>
        <v>5601000</v>
      </c>
      <c r="AD17" s="12">
        <f t="shared" si="7"/>
        <v>186700</v>
      </c>
      <c r="AE17" s="12">
        <f t="shared" si="8"/>
        <v>0</v>
      </c>
      <c r="AF17" s="12">
        <f t="shared" si="9"/>
        <v>0</v>
      </c>
      <c r="AG17" s="12">
        <f t="shared" si="10"/>
        <v>0</v>
      </c>
      <c r="AH17" s="12">
        <f t="shared" si="11"/>
        <v>0</v>
      </c>
      <c r="AI17" s="12">
        <f t="shared" si="12"/>
        <v>0</v>
      </c>
    </row>
    <row r="18" spans="2:35" ht="144.75" customHeight="1" x14ac:dyDescent="0.25">
      <c r="B18" s="8">
        <f t="shared" si="13"/>
        <v>43</v>
      </c>
      <c r="C18" s="7" t="s">
        <v>74</v>
      </c>
      <c r="D18" s="7" t="s">
        <v>75</v>
      </c>
      <c r="E18" s="7">
        <v>0</v>
      </c>
      <c r="F18" s="7">
        <v>0</v>
      </c>
      <c r="G18" s="7">
        <v>1</v>
      </c>
      <c r="H18" s="7">
        <v>0</v>
      </c>
      <c r="I18" s="7">
        <v>0</v>
      </c>
      <c r="J18" s="7">
        <v>0</v>
      </c>
      <c r="K18" s="7">
        <v>4</v>
      </c>
      <c r="L18" s="7">
        <v>2</v>
      </c>
      <c r="M18" s="7">
        <v>6</v>
      </c>
      <c r="N18" s="7">
        <v>2</v>
      </c>
      <c r="O18" s="20">
        <f t="shared" si="1"/>
        <v>15</v>
      </c>
      <c r="P18" s="48"/>
      <c r="Q18" s="48"/>
      <c r="R18" s="48"/>
      <c r="S18" s="48">
        <v>476000</v>
      </c>
      <c r="T18" s="48">
        <v>952000</v>
      </c>
      <c r="U18" s="47"/>
      <c r="V18" s="48">
        <f>ROUND(HARMEAN(P18:U18),0)</f>
        <v>634667</v>
      </c>
      <c r="W18" s="13">
        <f t="shared" si="0"/>
        <v>9520005</v>
      </c>
      <c r="X18" s="19"/>
      <c r="Z18" s="12">
        <f t="shared" si="3"/>
        <v>0</v>
      </c>
      <c r="AA18" s="12">
        <f t="shared" si="4"/>
        <v>0</v>
      </c>
      <c r="AB18" s="12">
        <f t="shared" si="5"/>
        <v>634667</v>
      </c>
      <c r="AC18" s="12">
        <f t="shared" si="6"/>
        <v>0</v>
      </c>
      <c r="AD18" s="12">
        <f t="shared" si="7"/>
        <v>0</v>
      </c>
      <c r="AE18" s="12">
        <f t="shared" si="8"/>
        <v>0</v>
      </c>
      <c r="AF18" s="12">
        <f t="shared" si="9"/>
        <v>2538668</v>
      </c>
      <c r="AG18" s="12">
        <f t="shared" si="10"/>
        <v>1269334</v>
      </c>
      <c r="AH18" s="12">
        <f t="shared" si="11"/>
        <v>3808002</v>
      </c>
      <c r="AI18" s="12">
        <f t="shared" si="12"/>
        <v>1269334</v>
      </c>
    </row>
    <row r="19" spans="2:35" ht="132" customHeight="1" x14ac:dyDescent="0.25">
      <c r="B19" s="8">
        <f t="shared" si="13"/>
        <v>44</v>
      </c>
      <c r="C19" s="7" t="s">
        <v>76</v>
      </c>
      <c r="D19" s="7" t="s">
        <v>75</v>
      </c>
      <c r="E19" s="7">
        <v>0</v>
      </c>
      <c r="F19" s="7">
        <v>0</v>
      </c>
      <c r="G19" s="7">
        <v>0</v>
      </c>
      <c r="H19" s="7">
        <v>0</v>
      </c>
      <c r="I19" s="7">
        <v>1</v>
      </c>
      <c r="J19" s="7">
        <v>0</v>
      </c>
      <c r="K19" s="7">
        <v>0</v>
      </c>
      <c r="L19" s="7">
        <v>1</v>
      </c>
      <c r="M19" s="7">
        <v>3</v>
      </c>
      <c r="N19" s="7">
        <v>0</v>
      </c>
      <c r="O19" s="20">
        <f t="shared" si="1"/>
        <v>5</v>
      </c>
      <c r="P19" s="48"/>
      <c r="Q19" s="48"/>
      <c r="R19" s="48"/>
      <c r="S19" s="48">
        <v>476000</v>
      </c>
      <c r="T19" s="48">
        <v>952000</v>
      </c>
      <c r="U19" s="47"/>
      <c r="V19" s="48">
        <f t="shared" si="14"/>
        <v>673166</v>
      </c>
      <c r="W19" s="13">
        <f t="shared" si="0"/>
        <v>3365830</v>
      </c>
      <c r="X19" s="19"/>
      <c r="Z19" s="12">
        <f t="shared" si="3"/>
        <v>0</v>
      </c>
      <c r="AA19" s="12">
        <f t="shared" si="4"/>
        <v>0</v>
      </c>
      <c r="AB19" s="12">
        <f t="shared" si="5"/>
        <v>0</v>
      </c>
      <c r="AC19" s="12">
        <f t="shared" si="6"/>
        <v>0</v>
      </c>
      <c r="AD19" s="12">
        <f t="shared" si="7"/>
        <v>673166</v>
      </c>
      <c r="AE19" s="12">
        <f t="shared" si="8"/>
        <v>0</v>
      </c>
      <c r="AF19" s="12">
        <f t="shared" si="9"/>
        <v>0</v>
      </c>
      <c r="AG19" s="12">
        <f t="shared" si="10"/>
        <v>673166</v>
      </c>
      <c r="AH19" s="12">
        <f t="shared" si="11"/>
        <v>2019498</v>
      </c>
      <c r="AI19" s="12">
        <f t="shared" si="12"/>
        <v>0</v>
      </c>
    </row>
    <row r="20" spans="2:35" ht="131.25" customHeight="1" x14ac:dyDescent="0.25">
      <c r="B20" s="8">
        <f t="shared" si="13"/>
        <v>45</v>
      </c>
      <c r="C20" s="7" t="s">
        <v>77</v>
      </c>
      <c r="D20" s="7" t="s">
        <v>69</v>
      </c>
      <c r="E20" s="7">
        <v>0</v>
      </c>
      <c r="F20" s="7">
        <v>0</v>
      </c>
      <c r="G20" s="7">
        <v>0</v>
      </c>
      <c r="H20" s="7">
        <v>0</v>
      </c>
      <c r="I20" s="7">
        <v>0</v>
      </c>
      <c r="J20" s="7">
        <v>0</v>
      </c>
      <c r="K20" s="7">
        <v>0</v>
      </c>
      <c r="L20" s="7">
        <v>0</v>
      </c>
      <c r="M20" s="7">
        <v>10</v>
      </c>
      <c r="N20" s="7">
        <v>0</v>
      </c>
      <c r="O20" s="20">
        <f t="shared" si="1"/>
        <v>10</v>
      </c>
      <c r="P20" s="48"/>
      <c r="Q20" s="48"/>
      <c r="R20" s="48"/>
      <c r="S20" s="48">
        <v>404600</v>
      </c>
      <c r="T20" s="48">
        <v>809200</v>
      </c>
      <c r="U20" s="47"/>
      <c r="V20" s="48">
        <f>ROUND(HARMEAN(P20:U20),0)</f>
        <v>539467</v>
      </c>
      <c r="W20" s="13">
        <f t="shared" si="0"/>
        <v>5394670</v>
      </c>
      <c r="X20" s="19"/>
      <c r="Z20" s="12">
        <f t="shared" si="3"/>
        <v>0</v>
      </c>
      <c r="AA20" s="12">
        <f t="shared" si="4"/>
        <v>0</v>
      </c>
      <c r="AB20" s="12">
        <f t="shared" si="5"/>
        <v>0</v>
      </c>
      <c r="AC20" s="12">
        <f t="shared" si="6"/>
        <v>0</v>
      </c>
      <c r="AD20" s="12">
        <f t="shared" si="7"/>
        <v>0</v>
      </c>
      <c r="AE20" s="12">
        <f t="shared" si="8"/>
        <v>0</v>
      </c>
      <c r="AF20" s="12">
        <f t="shared" si="9"/>
        <v>0</v>
      </c>
      <c r="AG20" s="12">
        <f t="shared" si="10"/>
        <v>0</v>
      </c>
      <c r="AH20" s="12">
        <f t="shared" si="11"/>
        <v>5394670</v>
      </c>
      <c r="AI20" s="12">
        <f t="shared" si="12"/>
        <v>0</v>
      </c>
    </row>
    <row r="21" spans="2:35" ht="120" customHeight="1" x14ac:dyDescent="0.25">
      <c r="B21" s="8">
        <f t="shared" si="13"/>
        <v>46</v>
      </c>
      <c r="C21" s="7" t="s">
        <v>78</v>
      </c>
      <c r="D21" s="7" t="s">
        <v>17</v>
      </c>
      <c r="E21" s="7">
        <v>0</v>
      </c>
      <c r="F21" s="7">
        <v>0</v>
      </c>
      <c r="G21" s="7">
        <v>0</v>
      </c>
      <c r="H21" s="7">
        <v>3000</v>
      </c>
      <c r="I21" s="7">
        <v>0</v>
      </c>
      <c r="J21" s="7">
        <v>0</v>
      </c>
      <c r="K21" s="7">
        <v>0</v>
      </c>
      <c r="L21" s="7">
        <v>0</v>
      </c>
      <c r="M21" s="7">
        <v>0</v>
      </c>
      <c r="N21" s="7">
        <v>0</v>
      </c>
      <c r="O21" s="20">
        <f t="shared" si="1"/>
        <v>3000</v>
      </c>
      <c r="P21" s="48"/>
      <c r="Q21" s="48"/>
      <c r="R21" s="48"/>
      <c r="S21" s="48">
        <v>3617.6</v>
      </c>
      <c r="T21" s="48">
        <v>7235.2</v>
      </c>
      <c r="U21" s="47"/>
      <c r="V21" s="48">
        <f>ROUND(HARMEAN(P21:U21),0)</f>
        <v>4823</v>
      </c>
      <c r="W21" s="13">
        <f t="shared" si="0"/>
        <v>14469000</v>
      </c>
      <c r="X21" s="19"/>
      <c r="Z21" s="12">
        <f t="shared" si="3"/>
        <v>0</v>
      </c>
      <c r="AA21" s="12">
        <f t="shared" si="4"/>
        <v>0</v>
      </c>
      <c r="AB21" s="12">
        <f t="shared" si="5"/>
        <v>0</v>
      </c>
      <c r="AC21" s="12">
        <f t="shared" si="6"/>
        <v>14469000</v>
      </c>
      <c r="AD21" s="12">
        <f t="shared" si="7"/>
        <v>0</v>
      </c>
      <c r="AE21" s="12">
        <f t="shared" si="8"/>
        <v>0</v>
      </c>
      <c r="AF21" s="12">
        <f t="shared" si="9"/>
        <v>0</v>
      </c>
      <c r="AG21" s="12">
        <f t="shared" si="10"/>
        <v>0</v>
      </c>
      <c r="AH21" s="12">
        <f t="shared" si="11"/>
        <v>0</v>
      </c>
      <c r="AI21" s="12">
        <f t="shared" si="12"/>
        <v>0</v>
      </c>
    </row>
    <row r="22" spans="2:35" ht="127.5" customHeight="1" x14ac:dyDescent="0.25">
      <c r="B22" s="8">
        <f t="shared" si="13"/>
        <v>47</v>
      </c>
      <c r="C22" s="7" t="s">
        <v>79</v>
      </c>
      <c r="D22" s="7" t="s">
        <v>75</v>
      </c>
      <c r="E22" s="4">
        <v>20</v>
      </c>
      <c r="F22" s="7">
        <v>0</v>
      </c>
      <c r="G22" s="7">
        <v>0</v>
      </c>
      <c r="H22" s="7">
        <v>0</v>
      </c>
      <c r="I22" s="7"/>
      <c r="J22" s="7">
        <v>0</v>
      </c>
      <c r="K22" s="7">
        <v>4</v>
      </c>
      <c r="L22" s="7">
        <v>4</v>
      </c>
      <c r="M22" s="7">
        <v>0</v>
      </c>
      <c r="N22" s="7">
        <v>2</v>
      </c>
      <c r="O22" s="20">
        <f t="shared" si="1"/>
        <v>30</v>
      </c>
      <c r="P22" s="48"/>
      <c r="Q22" s="48"/>
      <c r="R22" s="48"/>
      <c r="S22" s="48">
        <v>618800</v>
      </c>
      <c r="T22" s="48">
        <v>1237600</v>
      </c>
      <c r="U22" s="47"/>
      <c r="V22" s="48">
        <f t="shared" si="14"/>
        <v>875115</v>
      </c>
      <c r="W22" s="13">
        <f t="shared" si="0"/>
        <v>26253450</v>
      </c>
      <c r="X22" s="19"/>
      <c r="Z22" s="12">
        <f t="shared" si="3"/>
        <v>17502300</v>
      </c>
      <c r="AA22" s="12">
        <f t="shared" si="4"/>
        <v>0</v>
      </c>
      <c r="AB22" s="12">
        <f t="shared" si="5"/>
        <v>0</v>
      </c>
      <c r="AC22" s="12">
        <f t="shared" si="6"/>
        <v>0</v>
      </c>
      <c r="AD22" s="12">
        <f t="shared" si="7"/>
        <v>0</v>
      </c>
      <c r="AE22" s="12">
        <f t="shared" si="8"/>
        <v>0</v>
      </c>
      <c r="AF22" s="12">
        <f t="shared" si="9"/>
        <v>3500460</v>
      </c>
      <c r="AG22" s="12">
        <f t="shared" si="10"/>
        <v>3500460</v>
      </c>
      <c r="AH22" s="12">
        <f t="shared" si="11"/>
        <v>0</v>
      </c>
      <c r="AI22" s="12">
        <f t="shared" si="12"/>
        <v>1750230</v>
      </c>
    </row>
    <row r="23" spans="2:35" ht="114.75" customHeight="1" x14ac:dyDescent="0.25">
      <c r="B23" s="8">
        <f t="shared" si="13"/>
        <v>48</v>
      </c>
      <c r="C23" s="7" t="s">
        <v>80</v>
      </c>
      <c r="D23" s="7" t="s">
        <v>17</v>
      </c>
      <c r="E23" s="7">
        <v>32</v>
      </c>
      <c r="F23" s="7">
        <v>0</v>
      </c>
      <c r="G23" s="7">
        <v>0</v>
      </c>
      <c r="H23" s="7">
        <v>0</v>
      </c>
      <c r="I23" s="7">
        <v>0</v>
      </c>
      <c r="J23" s="7">
        <v>0</v>
      </c>
      <c r="K23" s="7">
        <v>10</v>
      </c>
      <c r="L23" s="7">
        <v>30</v>
      </c>
      <c r="M23" s="7">
        <v>0</v>
      </c>
      <c r="N23" s="7">
        <v>5</v>
      </c>
      <c r="O23" s="20">
        <f t="shared" si="1"/>
        <v>77</v>
      </c>
      <c r="P23" s="48"/>
      <c r="Q23" s="48"/>
      <c r="R23" s="48">
        <v>19757.330022220001</v>
      </c>
      <c r="S23" s="48">
        <v>11900</v>
      </c>
      <c r="T23" s="48">
        <v>19040</v>
      </c>
      <c r="U23" s="47"/>
      <c r="V23" s="48">
        <f>ROUND(HARMEAN(P23:U23),0)</f>
        <v>16028</v>
      </c>
      <c r="W23" s="13">
        <f t="shared" si="0"/>
        <v>1234156</v>
      </c>
      <c r="X23" s="19"/>
      <c r="Z23" s="12">
        <f t="shared" si="3"/>
        <v>512896</v>
      </c>
      <c r="AA23" s="12">
        <f t="shared" si="4"/>
        <v>0</v>
      </c>
      <c r="AB23" s="12">
        <f t="shared" si="5"/>
        <v>0</v>
      </c>
      <c r="AC23" s="12">
        <f t="shared" si="6"/>
        <v>0</v>
      </c>
      <c r="AD23" s="12">
        <f t="shared" si="7"/>
        <v>0</v>
      </c>
      <c r="AE23" s="12">
        <f t="shared" si="8"/>
        <v>0</v>
      </c>
      <c r="AF23" s="12">
        <f t="shared" si="9"/>
        <v>160280</v>
      </c>
      <c r="AG23" s="12">
        <f t="shared" si="10"/>
        <v>480840</v>
      </c>
      <c r="AH23" s="12">
        <f t="shared" si="11"/>
        <v>0</v>
      </c>
      <c r="AI23" s="12">
        <f t="shared" si="12"/>
        <v>80140</v>
      </c>
    </row>
    <row r="24" spans="2:35" ht="117" customHeight="1" x14ac:dyDescent="0.25">
      <c r="B24" s="8">
        <f t="shared" si="13"/>
        <v>49</v>
      </c>
      <c r="C24" s="7" t="s">
        <v>81</v>
      </c>
      <c r="D24" s="7" t="s">
        <v>17</v>
      </c>
      <c r="E24" s="7">
        <v>40</v>
      </c>
      <c r="F24" s="7">
        <v>0</v>
      </c>
      <c r="G24" s="7">
        <v>0</v>
      </c>
      <c r="H24" s="7">
        <v>5</v>
      </c>
      <c r="I24" s="7">
        <v>30</v>
      </c>
      <c r="J24" s="7">
        <v>10</v>
      </c>
      <c r="K24" s="7">
        <v>10</v>
      </c>
      <c r="L24" s="7">
        <v>30</v>
      </c>
      <c r="M24" s="7">
        <v>100</v>
      </c>
      <c r="N24" s="7">
        <v>5</v>
      </c>
      <c r="O24" s="20">
        <f t="shared" si="1"/>
        <v>230</v>
      </c>
      <c r="P24" s="48">
        <v>18326</v>
      </c>
      <c r="Q24" s="48"/>
      <c r="R24" s="48">
        <v>14917.982540579998</v>
      </c>
      <c r="S24" s="48">
        <v>9044</v>
      </c>
      <c r="T24" s="48">
        <v>14470.4</v>
      </c>
      <c r="U24" s="47">
        <f>(8100)*((1+13.12/100))</f>
        <v>9162.7199999999993</v>
      </c>
      <c r="V24" s="48">
        <f>ROUND(HARMEAN(P24:U24),0)</f>
        <v>12183</v>
      </c>
      <c r="W24" s="13">
        <f t="shared" si="0"/>
        <v>2802090</v>
      </c>
      <c r="X24" s="19"/>
      <c r="Z24" s="12">
        <f t="shared" si="3"/>
        <v>487320</v>
      </c>
      <c r="AA24" s="12">
        <f t="shared" si="4"/>
        <v>0</v>
      </c>
      <c r="AB24" s="12">
        <f t="shared" si="5"/>
        <v>0</v>
      </c>
      <c r="AC24" s="12">
        <f t="shared" si="6"/>
        <v>60915</v>
      </c>
      <c r="AD24" s="12">
        <f t="shared" si="7"/>
        <v>365490</v>
      </c>
      <c r="AE24" s="12">
        <f t="shared" si="8"/>
        <v>121830</v>
      </c>
      <c r="AF24" s="12">
        <f t="shared" si="9"/>
        <v>121830</v>
      </c>
      <c r="AG24" s="12">
        <f t="shared" si="10"/>
        <v>365490</v>
      </c>
      <c r="AH24" s="12">
        <f t="shared" si="11"/>
        <v>1218300</v>
      </c>
      <c r="AI24" s="12">
        <f t="shared" si="12"/>
        <v>60915</v>
      </c>
    </row>
    <row r="25" spans="2:35" ht="126" customHeight="1" x14ac:dyDescent="0.25">
      <c r="B25" s="8">
        <f t="shared" si="13"/>
        <v>50</v>
      </c>
      <c r="C25" s="7" t="s">
        <v>82</v>
      </c>
      <c r="D25" s="7" t="s">
        <v>17</v>
      </c>
      <c r="E25" s="7">
        <v>10</v>
      </c>
      <c r="F25" s="7">
        <v>1</v>
      </c>
      <c r="G25" s="7">
        <v>0</v>
      </c>
      <c r="H25" s="7">
        <v>0</v>
      </c>
      <c r="I25" s="7">
        <v>5</v>
      </c>
      <c r="J25" s="7">
        <v>4</v>
      </c>
      <c r="K25" s="7">
        <v>10</v>
      </c>
      <c r="L25" s="7">
        <v>7</v>
      </c>
      <c r="M25" s="7">
        <v>6</v>
      </c>
      <c r="N25" s="7">
        <v>2</v>
      </c>
      <c r="O25" s="20">
        <f t="shared" si="1"/>
        <v>45</v>
      </c>
      <c r="P25" s="48">
        <v>53669</v>
      </c>
      <c r="Q25" s="48"/>
      <c r="R25" s="48">
        <v>31168.362920659998</v>
      </c>
      <c r="S25" s="48">
        <v>27965</v>
      </c>
      <c r="T25" s="48">
        <v>44744</v>
      </c>
      <c r="U25" s="47">
        <f>(18300)*((1+13.12/100))</f>
        <v>20700.96</v>
      </c>
      <c r="V25" s="48">
        <f>ROUND(HARMEAN(P25:U25),0)</f>
        <v>31820</v>
      </c>
      <c r="W25" s="13">
        <f t="shared" si="0"/>
        <v>1431900</v>
      </c>
      <c r="X25" s="19"/>
      <c r="Z25" s="12">
        <f t="shared" si="3"/>
        <v>318200</v>
      </c>
      <c r="AA25" s="12">
        <f t="shared" si="4"/>
        <v>31820</v>
      </c>
      <c r="AB25" s="12">
        <f t="shared" si="5"/>
        <v>0</v>
      </c>
      <c r="AC25" s="12">
        <f t="shared" si="6"/>
        <v>0</v>
      </c>
      <c r="AD25" s="12">
        <f t="shared" si="7"/>
        <v>159100</v>
      </c>
      <c r="AE25" s="12">
        <f t="shared" si="8"/>
        <v>127280</v>
      </c>
      <c r="AF25" s="12">
        <f t="shared" si="9"/>
        <v>318200</v>
      </c>
      <c r="AG25" s="12">
        <f t="shared" si="10"/>
        <v>222740</v>
      </c>
      <c r="AH25" s="12">
        <f t="shared" si="11"/>
        <v>190920</v>
      </c>
      <c r="AI25" s="12">
        <f t="shared" si="12"/>
        <v>63640</v>
      </c>
    </row>
    <row r="26" spans="2:35" ht="125.25" customHeight="1" x14ac:dyDescent="0.25">
      <c r="B26" s="8">
        <f t="shared" si="13"/>
        <v>51</v>
      </c>
      <c r="C26" s="7" t="s">
        <v>83</v>
      </c>
      <c r="D26" s="7" t="s">
        <v>17</v>
      </c>
      <c r="E26" s="7">
        <v>12</v>
      </c>
      <c r="F26" s="7">
        <v>1</v>
      </c>
      <c r="G26" s="7">
        <v>0</v>
      </c>
      <c r="H26" s="7">
        <v>0</v>
      </c>
      <c r="I26" s="7">
        <v>0</v>
      </c>
      <c r="J26" s="7">
        <v>0</v>
      </c>
      <c r="K26" s="7">
        <v>10</v>
      </c>
      <c r="L26" s="7">
        <v>6</v>
      </c>
      <c r="M26" s="7">
        <v>6</v>
      </c>
      <c r="N26" s="7">
        <v>0</v>
      </c>
      <c r="O26" s="20">
        <f t="shared" si="1"/>
        <v>35</v>
      </c>
      <c r="P26" s="48">
        <v>60214</v>
      </c>
      <c r="Q26" s="48"/>
      <c r="R26" s="48">
        <v>58556.351079660002</v>
      </c>
      <c r="S26" s="48">
        <v>58310</v>
      </c>
      <c r="T26" s="48">
        <v>93296</v>
      </c>
      <c r="U26" s="47"/>
      <c r="V26" s="48">
        <f t="shared" si="14"/>
        <v>66179</v>
      </c>
      <c r="W26" s="13">
        <f t="shared" si="0"/>
        <v>2316265</v>
      </c>
      <c r="X26" s="19"/>
      <c r="Z26" s="12">
        <f t="shared" si="3"/>
        <v>794148</v>
      </c>
      <c r="AA26" s="12">
        <f t="shared" si="4"/>
        <v>66179</v>
      </c>
      <c r="AB26" s="12">
        <f t="shared" si="5"/>
        <v>0</v>
      </c>
      <c r="AC26" s="12">
        <f t="shared" si="6"/>
        <v>0</v>
      </c>
      <c r="AD26" s="12">
        <f t="shared" si="7"/>
        <v>0</v>
      </c>
      <c r="AE26" s="12">
        <f t="shared" si="8"/>
        <v>0</v>
      </c>
      <c r="AF26" s="12">
        <f t="shared" si="9"/>
        <v>661790</v>
      </c>
      <c r="AG26" s="12">
        <f t="shared" si="10"/>
        <v>397074</v>
      </c>
      <c r="AH26" s="12">
        <f t="shared" si="11"/>
        <v>397074</v>
      </c>
      <c r="AI26" s="12">
        <f t="shared" si="12"/>
        <v>0</v>
      </c>
    </row>
    <row r="27" spans="2:35" ht="129.75" customHeight="1" x14ac:dyDescent="0.25">
      <c r="B27" s="8">
        <f t="shared" si="13"/>
        <v>52</v>
      </c>
      <c r="C27" s="7" t="s">
        <v>84</v>
      </c>
      <c r="D27" s="7" t="s">
        <v>17</v>
      </c>
      <c r="E27" s="7">
        <v>18</v>
      </c>
      <c r="F27" s="7">
        <v>0</v>
      </c>
      <c r="G27" s="7">
        <v>0</v>
      </c>
      <c r="H27" s="7">
        <v>0</v>
      </c>
      <c r="I27" s="7">
        <v>15</v>
      </c>
      <c r="J27" s="7">
        <v>0</v>
      </c>
      <c r="K27" s="7">
        <v>10</v>
      </c>
      <c r="L27" s="7">
        <v>12</v>
      </c>
      <c r="M27" s="7">
        <v>12</v>
      </c>
      <c r="N27" s="7">
        <v>5</v>
      </c>
      <c r="O27" s="20">
        <f t="shared" si="1"/>
        <v>72</v>
      </c>
      <c r="P27" s="48">
        <v>22253</v>
      </c>
      <c r="Q27" s="48"/>
      <c r="R27" s="48">
        <v>16608.6541894</v>
      </c>
      <c r="S27" s="48">
        <v>10591</v>
      </c>
      <c r="T27" s="48">
        <v>16945.599999999999</v>
      </c>
      <c r="U27" s="47">
        <f>(8900)*((1+13.12/100))</f>
        <v>10067.68</v>
      </c>
      <c r="V27" s="48">
        <f>ROUND(HARMEAN(P27:U27),0)</f>
        <v>13970</v>
      </c>
      <c r="W27" s="13">
        <f t="shared" si="0"/>
        <v>1005840</v>
      </c>
      <c r="X27" s="19"/>
      <c r="Z27" s="12">
        <f t="shared" si="3"/>
        <v>251460</v>
      </c>
      <c r="AA27" s="12">
        <f t="shared" si="4"/>
        <v>0</v>
      </c>
      <c r="AB27" s="12">
        <f t="shared" si="5"/>
        <v>0</v>
      </c>
      <c r="AC27" s="12">
        <f t="shared" si="6"/>
        <v>0</v>
      </c>
      <c r="AD27" s="12">
        <f t="shared" si="7"/>
        <v>209550</v>
      </c>
      <c r="AE27" s="12">
        <f t="shared" si="8"/>
        <v>0</v>
      </c>
      <c r="AF27" s="12">
        <f t="shared" si="9"/>
        <v>139700</v>
      </c>
      <c r="AG27" s="12">
        <f t="shared" si="10"/>
        <v>167640</v>
      </c>
      <c r="AH27" s="12">
        <f t="shared" si="11"/>
        <v>167640</v>
      </c>
      <c r="AI27" s="12">
        <f t="shared" si="12"/>
        <v>69850</v>
      </c>
    </row>
    <row r="28" spans="2:35" ht="133.5" customHeight="1" x14ac:dyDescent="0.25">
      <c r="B28" s="8">
        <f t="shared" si="13"/>
        <v>53</v>
      </c>
      <c r="C28" s="7" t="s">
        <v>85</v>
      </c>
      <c r="D28" s="7" t="s">
        <v>17</v>
      </c>
      <c r="E28" s="7">
        <v>55</v>
      </c>
      <c r="F28" s="7">
        <v>0</v>
      </c>
      <c r="G28" s="7">
        <v>0</v>
      </c>
      <c r="H28" s="7">
        <v>0</v>
      </c>
      <c r="I28" s="7">
        <v>110</v>
      </c>
      <c r="J28" s="7">
        <v>20</v>
      </c>
      <c r="K28" s="7">
        <v>10</v>
      </c>
      <c r="L28" s="7">
        <v>30</v>
      </c>
      <c r="M28" s="7">
        <v>200</v>
      </c>
      <c r="N28" s="7">
        <v>5</v>
      </c>
      <c r="O28" s="20">
        <f t="shared" si="1"/>
        <v>430</v>
      </c>
      <c r="P28" s="48">
        <v>30107</v>
      </c>
      <c r="Q28" s="48"/>
      <c r="R28" s="48">
        <v>15499.052026920001</v>
      </c>
      <c r="S28" s="48">
        <v>8687</v>
      </c>
      <c r="T28" s="48">
        <v>13899.199999999999</v>
      </c>
      <c r="U28" s="47">
        <f>(6159)*((1+13.12/100))</f>
        <v>6967.0608000000002</v>
      </c>
      <c r="V28" s="48">
        <f>ROUND(HARMEAN(P28:U28),0)</f>
        <v>11673</v>
      </c>
      <c r="W28" s="13">
        <f t="shared" si="0"/>
        <v>5019390</v>
      </c>
      <c r="X28" s="19"/>
      <c r="Z28" s="12">
        <f t="shared" si="3"/>
        <v>642015</v>
      </c>
      <c r="AA28" s="12">
        <f t="shared" si="4"/>
        <v>0</v>
      </c>
      <c r="AB28" s="12">
        <f t="shared" si="5"/>
        <v>0</v>
      </c>
      <c r="AC28" s="12">
        <f t="shared" si="6"/>
        <v>0</v>
      </c>
      <c r="AD28" s="12">
        <f t="shared" si="7"/>
        <v>1284030</v>
      </c>
      <c r="AE28" s="12">
        <f t="shared" si="8"/>
        <v>233460</v>
      </c>
      <c r="AF28" s="12">
        <f t="shared" si="9"/>
        <v>116730</v>
      </c>
      <c r="AG28" s="12">
        <f t="shared" si="10"/>
        <v>350190</v>
      </c>
      <c r="AH28" s="12">
        <f t="shared" si="11"/>
        <v>2334600</v>
      </c>
      <c r="AI28" s="12">
        <f t="shared" si="12"/>
        <v>58365</v>
      </c>
    </row>
    <row r="29" spans="2:35" ht="125.25" customHeight="1" x14ac:dyDescent="0.25">
      <c r="B29" s="8">
        <f t="shared" si="13"/>
        <v>54</v>
      </c>
      <c r="C29" s="7" t="s">
        <v>86</v>
      </c>
      <c r="D29" s="7" t="s">
        <v>17</v>
      </c>
      <c r="E29" s="7">
        <v>20</v>
      </c>
      <c r="F29" s="7">
        <v>0</v>
      </c>
      <c r="G29" s="7">
        <v>0</v>
      </c>
      <c r="H29" s="7">
        <v>0</v>
      </c>
      <c r="I29" s="7">
        <v>3</v>
      </c>
      <c r="J29" s="7">
        <v>0</v>
      </c>
      <c r="K29" s="7">
        <v>10</v>
      </c>
      <c r="L29" s="7">
        <v>7</v>
      </c>
      <c r="M29" s="7">
        <v>8</v>
      </c>
      <c r="N29" s="7">
        <v>5</v>
      </c>
      <c r="O29" s="20">
        <f t="shared" si="1"/>
        <v>53</v>
      </c>
      <c r="P29" s="48">
        <v>31416</v>
      </c>
      <c r="Q29" s="48"/>
      <c r="R29" s="48">
        <v>20353.732867999999</v>
      </c>
      <c r="S29" s="48">
        <v>17255</v>
      </c>
      <c r="T29" s="48">
        <v>27608</v>
      </c>
      <c r="U29" s="47"/>
      <c r="V29" s="48">
        <f>ROUND(HARMEAN(P29:U29),0)</f>
        <v>22839</v>
      </c>
      <c r="W29" s="13">
        <f t="shared" si="0"/>
        <v>1210467</v>
      </c>
      <c r="X29" s="19"/>
      <c r="Z29" s="12">
        <f t="shared" si="3"/>
        <v>456780</v>
      </c>
      <c r="AA29" s="12">
        <f t="shared" si="4"/>
        <v>0</v>
      </c>
      <c r="AB29" s="12">
        <f t="shared" si="5"/>
        <v>0</v>
      </c>
      <c r="AC29" s="12">
        <f t="shared" si="6"/>
        <v>0</v>
      </c>
      <c r="AD29" s="12">
        <f t="shared" si="7"/>
        <v>68517</v>
      </c>
      <c r="AE29" s="12">
        <f t="shared" si="8"/>
        <v>0</v>
      </c>
      <c r="AF29" s="12">
        <f t="shared" si="9"/>
        <v>228390</v>
      </c>
      <c r="AG29" s="12">
        <f t="shared" si="10"/>
        <v>159873</v>
      </c>
      <c r="AH29" s="12">
        <f t="shared" si="11"/>
        <v>182712</v>
      </c>
      <c r="AI29" s="12">
        <f t="shared" si="12"/>
        <v>114195</v>
      </c>
    </row>
    <row r="30" spans="2:35" x14ac:dyDescent="0.25">
      <c r="B30" s="165" t="s">
        <v>163</v>
      </c>
      <c r="C30" s="166"/>
      <c r="D30" s="166"/>
      <c r="E30" s="166"/>
      <c r="F30" s="166"/>
      <c r="G30" s="166"/>
      <c r="H30" s="166"/>
      <c r="I30" s="166"/>
      <c r="J30" s="166"/>
      <c r="K30" s="166"/>
      <c r="L30" s="166"/>
      <c r="M30" s="166"/>
      <c r="N30" s="166"/>
      <c r="O30" s="166"/>
      <c r="P30" s="166"/>
      <c r="Q30" s="166"/>
      <c r="R30" s="166"/>
      <c r="S30" s="166"/>
      <c r="T30" s="166"/>
      <c r="U30" s="166"/>
      <c r="V30" s="167"/>
      <c r="W30" s="22">
        <f>SUM(W5:W29)</f>
        <v>116194626</v>
      </c>
      <c r="Z30" s="23">
        <f>SUM(Z5:Z29)</f>
        <v>31813374</v>
      </c>
      <c r="AA30" s="23">
        <f t="shared" ref="AA30:AI30" si="15">SUM(AA5:AA29)</f>
        <v>97999</v>
      </c>
      <c r="AB30" s="23">
        <f t="shared" si="15"/>
        <v>634667</v>
      </c>
      <c r="AC30" s="23">
        <f t="shared" si="15"/>
        <v>25432043</v>
      </c>
      <c r="AD30" s="23">
        <f t="shared" si="15"/>
        <v>4847015</v>
      </c>
      <c r="AE30" s="23">
        <f t="shared" si="15"/>
        <v>799098</v>
      </c>
      <c r="AF30" s="23">
        <f t="shared" si="15"/>
        <v>13819521</v>
      </c>
      <c r="AG30" s="23">
        <f t="shared" si="15"/>
        <v>12055896</v>
      </c>
      <c r="AH30" s="23">
        <f t="shared" si="15"/>
        <v>21132944</v>
      </c>
      <c r="AI30" s="23">
        <f t="shared" si="15"/>
        <v>5562069</v>
      </c>
    </row>
    <row r="31" spans="2:35" x14ac:dyDescent="0.25">
      <c r="Z31" s="156">
        <f>+Z30+AA30+AB30+AC30+AD30+AE30+AF30+AG30+AH30+AI30</f>
        <v>116194626</v>
      </c>
      <c r="AA31" s="157"/>
      <c r="AB31" s="157"/>
      <c r="AC31" s="157"/>
      <c r="AD31" s="157"/>
      <c r="AE31" s="157"/>
      <c r="AF31" s="157"/>
      <c r="AG31" s="157"/>
      <c r="AH31" s="157"/>
      <c r="AI31" s="157"/>
    </row>
    <row r="32" spans="2:35" ht="131.25" customHeight="1" x14ac:dyDescent="0.25">
      <c r="C32" s="103" t="s">
        <v>302</v>
      </c>
      <c r="D32" s="154" t="s">
        <v>345</v>
      </c>
      <c r="E32" s="154"/>
      <c r="F32" s="111"/>
      <c r="G32" s="111"/>
      <c r="H32" s="111"/>
      <c r="I32" s="111"/>
      <c r="J32" s="111"/>
      <c r="K32" s="111"/>
      <c r="L32" s="111"/>
      <c r="M32" s="111"/>
      <c r="N32" s="111"/>
      <c r="O32" s="111"/>
    </row>
    <row r="33" spans="3:15" x14ac:dyDescent="0.25">
      <c r="C33" s="104" t="s">
        <v>303</v>
      </c>
      <c r="D33" s="159" t="s">
        <v>305</v>
      </c>
      <c r="E33" s="159"/>
      <c r="F33" s="112"/>
      <c r="G33" s="112"/>
      <c r="H33" s="112"/>
      <c r="I33" s="112"/>
      <c r="J33" s="112"/>
      <c r="K33" s="112"/>
      <c r="L33" s="112"/>
      <c r="M33" s="112"/>
      <c r="N33" s="112"/>
      <c r="O33" s="112"/>
    </row>
    <row r="34" spans="3:15" x14ac:dyDescent="0.25">
      <c r="C34" s="105" t="s">
        <v>304</v>
      </c>
      <c r="D34" s="159" t="s">
        <v>305</v>
      </c>
      <c r="E34" s="159"/>
      <c r="F34" s="112"/>
      <c r="G34" s="112"/>
      <c r="H34" s="112"/>
      <c r="I34" s="112"/>
      <c r="J34" s="112"/>
      <c r="K34" s="112"/>
      <c r="L34" s="112"/>
      <c r="M34" s="112"/>
      <c r="N34" s="112"/>
      <c r="O34" s="112"/>
    </row>
  </sheetData>
  <mergeCells count="37">
    <mergeCell ref="X2:X4"/>
    <mergeCell ref="W3:W4"/>
    <mergeCell ref="P3:T3"/>
    <mergeCell ref="U3:U4"/>
    <mergeCell ref="V3:V4"/>
    <mergeCell ref="B30:V30"/>
    <mergeCell ref="B2:O2"/>
    <mergeCell ref="G3:G4"/>
    <mergeCell ref="B3:B4"/>
    <mergeCell ref="C3:C4"/>
    <mergeCell ref="D3:D4"/>
    <mergeCell ref="E3:E4"/>
    <mergeCell ref="F3:F4"/>
    <mergeCell ref="J3:J4"/>
    <mergeCell ref="H3:H4"/>
    <mergeCell ref="N3:N4"/>
    <mergeCell ref="O3:O4"/>
    <mergeCell ref="I3:I4"/>
    <mergeCell ref="K3:K4"/>
    <mergeCell ref="L3:L4"/>
    <mergeCell ref="M3:M4"/>
    <mergeCell ref="Z2:AI2"/>
    <mergeCell ref="Z31:AI31"/>
    <mergeCell ref="D32:E32"/>
    <mergeCell ref="D33:E33"/>
    <mergeCell ref="D34:E34"/>
    <mergeCell ref="AE3:AE4"/>
    <mergeCell ref="AF3:AF4"/>
    <mergeCell ref="AG3:AG4"/>
    <mergeCell ref="AH3:AH4"/>
    <mergeCell ref="AI3:AI4"/>
    <mergeCell ref="Z3:Z4"/>
    <mergeCell ref="AA3:AA4"/>
    <mergeCell ref="AB3:AB4"/>
    <mergeCell ref="AC3:AC4"/>
    <mergeCell ref="AD3:AD4"/>
    <mergeCell ref="P2:W2"/>
  </mergeCells>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A25"/>
  <sheetViews>
    <sheetView topLeftCell="A2" workbookViewId="0">
      <pane xSplit="3" ySplit="4" topLeftCell="D6" activePane="bottomRight" state="frozen"/>
      <selection activeCell="A2" sqref="A2"/>
      <selection pane="topRight" activeCell="D2" sqref="D2"/>
      <selection pane="bottomLeft" activeCell="A5" sqref="A5"/>
      <selection pane="bottomRight" activeCell="N25" sqref="M25:N25"/>
    </sheetView>
  </sheetViews>
  <sheetFormatPr baseColWidth="10" defaultRowHeight="15" x14ac:dyDescent="0.25"/>
  <cols>
    <col min="2" max="2" width="4.7109375" style="2" bestFit="1" customWidth="1"/>
    <col min="3" max="3" width="30.7109375" customWidth="1"/>
    <col min="4" max="11" width="12.5703125" customWidth="1"/>
    <col min="12" max="14" width="11.42578125" style="77"/>
    <col min="15" max="15" width="12.42578125" style="77" customWidth="1"/>
    <col min="16" max="16" width="13.42578125" style="77" customWidth="1"/>
    <col min="19" max="19" width="43" customWidth="1"/>
    <col min="20" max="20" width="5.42578125" customWidth="1"/>
    <col min="22" max="27" width="11.42578125" style="9"/>
  </cols>
  <sheetData>
    <row r="3" spans="2:27" ht="15.75" customHeight="1" x14ac:dyDescent="0.25">
      <c r="B3" s="144" t="s">
        <v>94</v>
      </c>
      <c r="C3" s="145"/>
      <c r="D3" s="145"/>
      <c r="E3" s="145"/>
      <c r="F3" s="145"/>
      <c r="G3" s="145"/>
      <c r="H3" s="145"/>
      <c r="I3" s="145"/>
      <c r="J3" s="145"/>
      <c r="K3" s="146"/>
      <c r="L3" s="157" t="s">
        <v>59</v>
      </c>
      <c r="M3" s="157"/>
      <c r="N3" s="157"/>
      <c r="O3" s="157"/>
      <c r="P3" s="157"/>
      <c r="Q3" s="157"/>
      <c r="R3" s="157"/>
      <c r="S3" s="170" t="s">
        <v>162</v>
      </c>
      <c r="V3" s="157" t="s">
        <v>314</v>
      </c>
      <c r="W3" s="157"/>
      <c r="X3" s="157"/>
      <c r="Y3" s="157"/>
      <c r="Z3" s="157"/>
      <c r="AA3" s="157"/>
    </row>
    <row r="4" spans="2:27" ht="15" customHeight="1" x14ac:dyDescent="0.25">
      <c r="B4" s="158" t="s">
        <v>1</v>
      </c>
      <c r="C4" s="149" t="s">
        <v>299</v>
      </c>
      <c r="D4" s="147" t="s">
        <v>300</v>
      </c>
      <c r="E4" s="147" t="s">
        <v>5</v>
      </c>
      <c r="F4" s="147" t="s">
        <v>8</v>
      </c>
      <c r="G4" s="147" t="s">
        <v>9</v>
      </c>
      <c r="H4" s="147" t="s">
        <v>11</v>
      </c>
      <c r="I4" s="147" t="s">
        <v>13</v>
      </c>
      <c r="J4" s="147" t="s">
        <v>14</v>
      </c>
      <c r="K4" s="147" t="s">
        <v>15</v>
      </c>
      <c r="L4" s="171" t="s">
        <v>49</v>
      </c>
      <c r="M4" s="171"/>
      <c r="N4" s="171"/>
      <c r="O4" s="171"/>
      <c r="P4" s="171"/>
      <c r="Q4" s="158" t="s">
        <v>51</v>
      </c>
      <c r="R4" s="158" t="s">
        <v>52</v>
      </c>
      <c r="S4" s="170"/>
      <c r="V4" s="164" t="s">
        <v>5</v>
      </c>
      <c r="W4" s="164" t="s">
        <v>8</v>
      </c>
      <c r="X4" s="164" t="s">
        <v>9</v>
      </c>
      <c r="Y4" s="164" t="s">
        <v>11</v>
      </c>
      <c r="Z4" s="164" t="s">
        <v>13</v>
      </c>
      <c r="AA4" s="164" t="s">
        <v>14</v>
      </c>
    </row>
    <row r="5" spans="2:27" ht="96.75" customHeight="1" x14ac:dyDescent="0.25">
      <c r="B5" s="158"/>
      <c r="C5" s="150"/>
      <c r="D5" s="148"/>
      <c r="E5" s="148"/>
      <c r="F5" s="148"/>
      <c r="G5" s="148"/>
      <c r="H5" s="148"/>
      <c r="I5" s="148"/>
      <c r="J5" s="148"/>
      <c r="K5" s="148"/>
      <c r="L5" s="118" t="s">
        <v>53</v>
      </c>
      <c r="M5" s="118" t="s">
        <v>54</v>
      </c>
      <c r="N5" s="116" t="s">
        <v>55</v>
      </c>
      <c r="O5" s="116" t="s">
        <v>56</v>
      </c>
      <c r="P5" s="116" t="s">
        <v>57</v>
      </c>
      <c r="Q5" s="158"/>
      <c r="R5" s="158"/>
      <c r="S5" s="170"/>
      <c r="V5" s="164"/>
      <c r="W5" s="164"/>
      <c r="X5" s="164"/>
      <c r="Y5" s="164"/>
      <c r="Z5" s="164"/>
      <c r="AA5" s="164"/>
    </row>
    <row r="6" spans="2:27" ht="154.5" customHeight="1" x14ac:dyDescent="0.25">
      <c r="B6" s="8">
        <v>55</v>
      </c>
      <c r="C6" s="7" t="s">
        <v>89</v>
      </c>
      <c r="D6" s="7" t="s">
        <v>17</v>
      </c>
      <c r="E6" s="7">
        <v>5</v>
      </c>
      <c r="F6" s="7">
        <v>20</v>
      </c>
      <c r="G6" s="7">
        <v>0</v>
      </c>
      <c r="H6" s="7">
        <v>10</v>
      </c>
      <c r="I6" s="7">
        <v>0</v>
      </c>
      <c r="J6" s="7">
        <v>0</v>
      </c>
      <c r="K6" s="4">
        <f>SUM(E6:J6)</f>
        <v>35</v>
      </c>
      <c r="L6" s="48"/>
      <c r="M6" s="48"/>
      <c r="N6" s="48">
        <v>27267.66</v>
      </c>
      <c r="O6" s="48">
        <v>26775</v>
      </c>
      <c r="P6" s="48">
        <v>47600</v>
      </c>
      <c r="Q6" s="5">
        <f>ROUND(HARMEAN(L6:P6),0)</f>
        <v>31569</v>
      </c>
      <c r="R6" s="6">
        <f>+Q6*K6</f>
        <v>1104915</v>
      </c>
      <c r="S6" s="19"/>
      <c r="V6" s="12">
        <f>+Q6*E6</f>
        <v>157845</v>
      </c>
      <c r="W6" s="12">
        <f>+Q6*F6</f>
        <v>631380</v>
      </c>
      <c r="X6" s="12">
        <f>+Q6*G6</f>
        <v>0</v>
      </c>
      <c r="Y6" s="12">
        <f>+Q6*H6</f>
        <v>315690</v>
      </c>
      <c r="Z6" s="12">
        <f>+Q6*I6</f>
        <v>0</v>
      </c>
      <c r="AA6" s="12">
        <f>+Q6*J6</f>
        <v>0</v>
      </c>
    </row>
    <row r="7" spans="2:27" ht="154.5" customHeight="1" x14ac:dyDescent="0.25">
      <c r="B7" s="8">
        <f>1+B6</f>
        <v>56</v>
      </c>
      <c r="C7" s="7" t="s">
        <v>90</v>
      </c>
      <c r="D7" s="7" t="s">
        <v>17</v>
      </c>
      <c r="E7" s="7">
        <v>0</v>
      </c>
      <c r="F7" s="7">
        <v>12</v>
      </c>
      <c r="G7" s="7">
        <v>2</v>
      </c>
      <c r="H7" s="7">
        <v>10</v>
      </c>
      <c r="I7" s="7">
        <v>7</v>
      </c>
      <c r="J7" s="7">
        <v>2</v>
      </c>
      <c r="K7" s="20">
        <f t="shared" ref="K7:K10" si="0">SUM(E7:J7)</f>
        <v>33</v>
      </c>
      <c r="L7" s="48">
        <v>26180</v>
      </c>
      <c r="M7" s="48"/>
      <c r="N7" s="48">
        <v>29736.91</v>
      </c>
      <c r="O7" s="48">
        <v>19159</v>
      </c>
      <c r="P7" s="48">
        <v>35700</v>
      </c>
      <c r="Q7" s="12">
        <f>ROUND(HARMEAN(L7:P7),0)</f>
        <v>26310</v>
      </c>
      <c r="R7" s="13">
        <f>+Q7*K7</f>
        <v>868230</v>
      </c>
      <c r="S7" s="19"/>
      <c r="V7" s="12">
        <f t="shared" ref="V7:V10" si="1">+Q7*E7</f>
        <v>0</v>
      </c>
      <c r="W7" s="12">
        <f t="shared" ref="W7:W10" si="2">+Q7*F7</f>
        <v>315720</v>
      </c>
      <c r="X7" s="12">
        <f t="shared" ref="X7:X10" si="3">+Q7*G7</f>
        <v>52620</v>
      </c>
      <c r="Y7" s="12">
        <f t="shared" ref="Y7:Y10" si="4">+Q7*H7</f>
        <v>263100</v>
      </c>
      <c r="Z7" s="12">
        <f t="shared" ref="Z7:Z10" si="5">+Q7*I7</f>
        <v>184170</v>
      </c>
      <c r="AA7" s="12">
        <f t="shared" ref="AA7:AA10" si="6">+Q7*J7</f>
        <v>52620</v>
      </c>
    </row>
    <row r="8" spans="2:27" ht="154.5" customHeight="1" x14ac:dyDescent="0.25">
      <c r="B8" s="8">
        <f t="shared" ref="B8:B10" si="7">1+B7</f>
        <v>57</v>
      </c>
      <c r="C8" s="7" t="s">
        <v>91</v>
      </c>
      <c r="D8" s="7" t="s">
        <v>17</v>
      </c>
      <c r="E8" s="7">
        <v>4</v>
      </c>
      <c r="F8" s="7">
        <v>0</v>
      </c>
      <c r="G8" s="7">
        <v>0</v>
      </c>
      <c r="H8" s="7">
        <v>0</v>
      </c>
      <c r="I8" s="7">
        <v>0</v>
      </c>
      <c r="J8" s="7">
        <v>0</v>
      </c>
      <c r="K8" s="20">
        <f t="shared" si="0"/>
        <v>4</v>
      </c>
      <c r="L8" s="48">
        <v>34034</v>
      </c>
      <c r="M8" s="48"/>
      <c r="N8" s="48">
        <v>29885.66</v>
      </c>
      <c r="O8" s="48">
        <v>22610</v>
      </c>
      <c r="P8" s="48">
        <v>42840</v>
      </c>
      <c r="Q8" s="12">
        <f>ROUND(GEOMEAN(L8:P8),0)</f>
        <v>31505</v>
      </c>
      <c r="R8" s="13">
        <f>+Q8*K8</f>
        <v>126020</v>
      </c>
      <c r="S8" s="19"/>
      <c r="V8" s="12">
        <f t="shared" si="1"/>
        <v>126020</v>
      </c>
      <c r="W8" s="12">
        <f t="shared" si="2"/>
        <v>0</v>
      </c>
      <c r="X8" s="12">
        <f t="shared" si="3"/>
        <v>0</v>
      </c>
      <c r="Y8" s="12">
        <f t="shared" si="4"/>
        <v>0</v>
      </c>
      <c r="Z8" s="12">
        <f t="shared" si="5"/>
        <v>0</v>
      </c>
      <c r="AA8" s="12">
        <f t="shared" si="6"/>
        <v>0</v>
      </c>
    </row>
    <row r="9" spans="2:27" ht="154.5" customHeight="1" x14ac:dyDescent="0.25">
      <c r="B9" s="8">
        <f t="shared" si="7"/>
        <v>58</v>
      </c>
      <c r="C9" s="7" t="s">
        <v>92</v>
      </c>
      <c r="D9" s="7" t="s">
        <v>17</v>
      </c>
      <c r="E9" s="7">
        <v>4</v>
      </c>
      <c r="F9" s="7">
        <v>0</v>
      </c>
      <c r="G9" s="7">
        <v>0</v>
      </c>
      <c r="H9" s="7">
        <v>0</v>
      </c>
      <c r="I9" s="7">
        <v>0</v>
      </c>
      <c r="J9" s="7">
        <v>0</v>
      </c>
      <c r="K9" s="20">
        <f t="shared" si="0"/>
        <v>4</v>
      </c>
      <c r="L9" s="48">
        <v>53669</v>
      </c>
      <c r="M9" s="48"/>
      <c r="N9" s="48">
        <v>39569.879999999997</v>
      </c>
      <c r="O9" s="48">
        <v>32606</v>
      </c>
      <c r="P9" s="48">
        <v>61880</v>
      </c>
      <c r="Q9" s="12">
        <f>ROUND(HARMEAN(L9:P9),0)</f>
        <v>44085</v>
      </c>
      <c r="R9" s="13">
        <f>+Q9*K9</f>
        <v>176340</v>
      </c>
      <c r="S9" s="19"/>
      <c r="V9" s="12">
        <f t="shared" si="1"/>
        <v>176340</v>
      </c>
      <c r="W9" s="12">
        <f t="shared" si="2"/>
        <v>0</v>
      </c>
      <c r="X9" s="12">
        <f t="shared" si="3"/>
        <v>0</v>
      </c>
      <c r="Y9" s="12">
        <f t="shared" si="4"/>
        <v>0</v>
      </c>
      <c r="Z9" s="12">
        <f t="shared" si="5"/>
        <v>0</v>
      </c>
      <c r="AA9" s="12">
        <f t="shared" si="6"/>
        <v>0</v>
      </c>
    </row>
    <row r="10" spans="2:27" ht="154.5" customHeight="1" x14ac:dyDescent="0.25">
      <c r="B10" s="8">
        <f t="shared" si="7"/>
        <v>59</v>
      </c>
      <c r="C10" s="7" t="s">
        <v>93</v>
      </c>
      <c r="D10" s="7" t="s">
        <v>17</v>
      </c>
      <c r="E10" s="7">
        <v>4</v>
      </c>
      <c r="F10" s="7">
        <v>0</v>
      </c>
      <c r="G10" s="7">
        <v>0</v>
      </c>
      <c r="H10" s="7">
        <v>0</v>
      </c>
      <c r="I10" s="7">
        <v>0</v>
      </c>
      <c r="J10" s="7">
        <v>0</v>
      </c>
      <c r="K10" s="20">
        <f t="shared" si="0"/>
        <v>4</v>
      </c>
      <c r="L10" s="48">
        <v>174097</v>
      </c>
      <c r="M10" s="48"/>
      <c r="N10" s="48">
        <v>95004.84</v>
      </c>
      <c r="O10" s="48">
        <v>91154</v>
      </c>
      <c r="P10" s="48">
        <v>157080</v>
      </c>
      <c r="Q10" s="12">
        <f>ROUND(HARMEAN(L10:P10),0)</f>
        <v>119025</v>
      </c>
      <c r="R10" s="13">
        <f>+Q10*K10</f>
        <v>476100</v>
      </c>
      <c r="S10" s="19"/>
      <c r="V10" s="12">
        <f t="shared" si="1"/>
        <v>476100</v>
      </c>
      <c r="W10" s="12">
        <f t="shared" si="2"/>
        <v>0</v>
      </c>
      <c r="X10" s="12">
        <f t="shared" si="3"/>
        <v>0</v>
      </c>
      <c r="Y10" s="12">
        <f t="shared" si="4"/>
        <v>0</v>
      </c>
      <c r="Z10" s="12">
        <f t="shared" si="5"/>
        <v>0</v>
      </c>
      <c r="AA10" s="12">
        <f t="shared" si="6"/>
        <v>0</v>
      </c>
    </row>
    <row r="11" spans="2:27" x14ac:dyDescent="0.25">
      <c r="B11" s="172" t="s">
        <v>164</v>
      </c>
      <c r="C11" s="173"/>
      <c r="D11" s="173"/>
      <c r="E11" s="173"/>
      <c r="F11" s="173"/>
      <c r="G11" s="173"/>
      <c r="H11" s="173"/>
      <c r="I11" s="173"/>
      <c r="J11" s="173"/>
      <c r="K11" s="173"/>
      <c r="L11" s="173"/>
      <c r="M11" s="173"/>
      <c r="N11" s="173"/>
      <c r="O11" s="173"/>
      <c r="P11" s="173"/>
      <c r="Q11" s="174"/>
      <c r="R11" s="22">
        <f>SUM(R6:R10)</f>
        <v>2751605</v>
      </c>
      <c r="V11" s="23">
        <f>SUM(V6:V10)</f>
        <v>936305</v>
      </c>
      <c r="W11" s="23">
        <f t="shared" ref="W11:AA11" si="8">SUM(W6:W10)</f>
        <v>947100</v>
      </c>
      <c r="X11" s="23">
        <f t="shared" si="8"/>
        <v>52620</v>
      </c>
      <c r="Y11" s="23">
        <f t="shared" si="8"/>
        <v>578790</v>
      </c>
      <c r="Z11" s="23">
        <f t="shared" si="8"/>
        <v>184170</v>
      </c>
      <c r="AA11" s="23">
        <f t="shared" si="8"/>
        <v>52620</v>
      </c>
    </row>
    <row r="12" spans="2:27" x14ac:dyDescent="0.25">
      <c r="V12" s="156">
        <f>+V11+W11+X11+Y11+Z11+AA11</f>
        <v>2751605</v>
      </c>
      <c r="W12" s="157"/>
      <c r="X12" s="157"/>
      <c r="Y12" s="157"/>
      <c r="Z12" s="157"/>
      <c r="AA12" s="157"/>
    </row>
    <row r="13" spans="2:27" ht="56.25" customHeight="1" x14ac:dyDescent="0.25">
      <c r="C13" s="103" t="s">
        <v>302</v>
      </c>
      <c r="D13" s="154" t="s">
        <v>345</v>
      </c>
      <c r="E13" s="154"/>
      <c r="F13" s="111"/>
      <c r="G13" s="111"/>
      <c r="H13" s="111"/>
      <c r="I13" s="111"/>
      <c r="J13" s="111"/>
      <c r="K13" s="111"/>
      <c r="L13" s="119"/>
      <c r="M13" s="119"/>
      <c r="N13" s="119"/>
      <c r="O13" s="119"/>
    </row>
    <row r="14" spans="2:27" x14ac:dyDescent="0.25">
      <c r="C14" s="104" t="s">
        <v>303</v>
      </c>
      <c r="D14" s="159" t="s">
        <v>305</v>
      </c>
      <c r="E14" s="159"/>
      <c r="F14" s="112"/>
      <c r="G14" s="112"/>
      <c r="H14" s="112"/>
      <c r="I14" s="112"/>
      <c r="J14" s="112"/>
      <c r="K14" s="112"/>
    </row>
    <row r="15" spans="2:27" x14ac:dyDescent="0.25">
      <c r="C15" s="105" t="s">
        <v>304</v>
      </c>
      <c r="D15" s="159" t="s">
        <v>305</v>
      </c>
      <c r="E15" s="159"/>
      <c r="F15" s="112"/>
      <c r="G15" s="112"/>
      <c r="H15" s="112"/>
      <c r="I15" s="112"/>
      <c r="J15" s="112"/>
      <c r="K15" s="112"/>
    </row>
    <row r="25" ht="132" customHeight="1" x14ac:dyDescent="0.25"/>
  </sheetData>
  <mergeCells count="28">
    <mergeCell ref="D15:E15"/>
    <mergeCell ref="S3:S5"/>
    <mergeCell ref="I4:I5"/>
    <mergeCell ref="J4:J5"/>
    <mergeCell ref="K4:K5"/>
    <mergeCell ref="L4:P4"/>
    <mergeCell ref="C4:C5"/>
    <mergeCell ref="D4:D5"/>
    <mergeCell ref="E4:E5"/>
    <mergeCell ref="H4:H5"/>
    <mergeCell ref="F4:F5"/>
    <mergeCell ref="G4:G5"/>
    <mergeCell ref="AA4:AA5"/>
    <mergeCell ref="V3:AA3"/>
    <mergeCell ref="V12:AA12"/>
    <mergeCell ref="D13:E13"/>
    <mergeCell ref="D14:E14"/>
    <mergeCell ref="V4:V5"/>
    <mergeCell ref="W4:W5"/>
    <mergeCell ref="X4:X5"/>
    <mergeCell ref="Y4:Y5"/>
    <mergeCell ref="Z4:Z5"/>
    <mergeCell ref="B11:Q11"/>
    <mergeCell ref="B3:K3"/>
    <mergeCell ref="L3:R3"/>
    <mergeCell ref="Q4:Q5"/>
    <mergeCell ref="R4:R5"/>
    <mergeCell ref="B4:B5"/>
  </mergeCells>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G27"/>
  <sheetViews>
    <sheetView tabSelected="1" workbookViewId="0">
      <pane xSplit="3" ySplit="4" topLeftCell="D11" activePane="bottomRight" state="frozen"/>
      <selection pane="topRight" activeCell="D1" sqref="D1"/>
      <selection pane="bottomLeft" activeCell="A5" sqref="A5"/>
      <selection pane="bottomRight" activeCell="R12" sqref="R12"/>
    </sheetView>
  </sheetViews>
  <sheetFormatPr baseColWidth="10" defaultRowHeight="15" x14ac:dyDescent="0.25"/>
  <cols>
    <col min="1" max="1" width="6.140625" customWidth="1"/>
    <col min="2" max="2" width="7.140625" style="9" customWidth="1"/>
    <col min="3" max="3" width="29.5703125" style="9" customWidth="1"/>
    <col min="4" max="4" width="14.140625" style="9" customWidth="1"/>
    <col min="5" max="7" width="11.7109375" style="9" customWidth="1"/>
    <col min="8" max="9" width="12.42578125" style="9" customWidth="1"/>
    <col min="10" max="10" width="11.7109375" style="9" customWidth="1"/>
    <col min="11" max="11" width="12.5703125" style="9" customWidth="1"/>
    <col min="12" max="13" width="11.7109375" style="9" customWidth="1"/>
    <col min="14" max="14" width="10.7109375" style="9" customWidth="1"/>
    <col min="15" max="16" width="11.42578125" style="93"/>
    <col min="17" max="17" width="12.42578125" style="93" customWidth="1"/>
    <col min="18" max="20" width="11.42578125" style="93"/>
    <col min="21" max="21" width="13" style="93" customWidth="1"/>
    <col min="22" max="22" width="42.5703125" customWidth="1"/>
    <col min="23" max="23" width="10.42578125" customWidth="1"/>
    <col min="24" max="26" width="11.42578125" style="9"/>
    <col min="27" max="27" width="12.7109375" style="9" customWidth="1"/>
    <col min="28" max="33" width="11.42578125" style="9"/>
  </cols>
  <sheetData>
    <row r="2" spans="2:32" x14ac:dyDescent="0.25">
      <c r="B2" s="144" t="s">
        <v>109</v>
      </c>
      <c r="C2" s="145"/>
      <c r="D2" s="145"/>
      <c r="E2" s="145"/>
      <c r="F2" s="145"/>
      <c r="G2" s="145"/>
      <c r="H2" s="145"/>
      <c r="I2" s="145"/>
      <c r="J2" s="145"/>
      <c r="K2" s="145"/>
      <c r="L2" s="145"/>
      <c r="M2" s="145"/>
      <c r="N2" s="146"/>
      <c r="O2" s="151" t="s">
        <v>59</v>
      </c>
      <c r="P2" s="152"/>
      <c r="Q2" s="152"/>
      <c r="R2" s="152"/>
      <c r="S2" s="152"/>
      <c r="T2" s="152"/>
      <c r="U2" s="153"/>
      <c r="V2" s="168" t="s">
        <v>165</v>
      </c>
      <c r="X2" s="157" t="s">
        <v>315</v>
      </c>
      <c r="Y2" s="157"/>
      <c r="Z2" s="157"/>
      <c r="AA2" s="157"/>
      <c r="AB2" s="157"/>
      <c r="AC2" s="157"/>
      <c r="AD2" s="157"/>
      <c r="AE2" s="157"/>
      <c r="AF2" s="157"/>
    </row>
    <row r="3" spans="2:32" ht="18.75" customHeight="1" x14ac:dyDescent="0.25">
      <c r="B3" s="158" t="s">
        <v>1</v>
      </c>
      <c r="C3" s="149" t="s">
        <v>299</v>
      </c>
      <c r="D3" s="147" t="s">
        <v>300</v>
      </c>
      <c r="E3" s="147" t="s">
        <v>104</v>
      </c>
      <c r="F3" s="147" t="s">
        <v>5</v>
      </c>
      <c r="G3" s="147" t="s">
        <v>108</v>
      </c>
      <c r="H3" s="147" t="s">
        <v>8</v>
      </c>
      <c r="I3" s="147" t="s">
        <v>9</v>
      </c>
      <c r="J3" s="147" t="s">
        <v>10</v>
      </c>
      <c r="K3" s="147" t="s">
        <v>107</v>
      </c>
      <c r="L3" s="147" t="s">
        <v>13</v>
      </c>
      <c r="M3" s="147" t="s">
        <v>14</v>
      </c>
      <c r="N3" s="147" t="s">
        <v>15</v>
      </c>
      <c r="O3" s="141" t="s">
        <v>49</v>
      </c>
      <c r="P3" s="142"/>
      <c r="Q3" s="142"/>
      <c r="R3" s="143"/>
      <c r="S3" s="163" t="s">
        <v>50</v>
      </c>
      <c r="T3" s="163" t="s">
        <v>51</v>
      </c>
      <c r="U3" s="163" t="s">
        <v>52</v>
      </c>
      <c r="V3" s="175"/>
      <c r="X3" s="164" t="s">
        <v>104</v>
      </c>
      <c r="Y3" s="164" t="s">
        <v>5</v>
      </c>
      <c r="Z3" s="164" t="s">
        <v>108</v>
      </c>
      <c r="AA3" s="147" t="s">
        <v>8</v>
      </c>
      <c r="AB3" s="147" t="s">
        <v>9</v>
      </c>
      <c r="AC3" s="164" t="s">
        <v>10</v>
      </c>
      <c r="AD3" s="164" t="s">
        <v>107</v>
      </c>
      <c r="AE3" s="164" t="s">
        <v>13</v>
      </c>
      <c r="AF3" s="164" t="s">
        <v>14</v>
      </c>
    </row>
    <row r="4" spans="2:32" ht="114.75" customHeight="1" x14ac:dyDescent="0.25">
      <c r="B4" s="158"/>
      <c r="C4" s="150"/>
      <c r="D4" s="148"/>
      <c r="E4" s="148"/>
      <c r="F4" s="148"/>
      <c r="G4" s="148"/>
      <c r="H4" s="148"/>
      <c r="I4" s="148"/>
      <c r="J4" s="148"/>
      <c r="K4" s="148"/>
      <c r="L4" s="148"/>
      <c r="M4" s="148"/>
      <c r="N4" s="148"/>
      <c r="O4" s="131" t="s">
        <v>54</v>
      </c>
      <c r="P4" s="130" t="s">
        <v>55</v>
      </c>
      <c r="Q4" s="130" t="s">
        <v>56</v>
      </c>
      <c r="R4" s="130" t="s">
        <v>149</v>
      </c>
      <c r="S4" s="163"/>
      <c r="T4" s="176"/>
      <c r="U4" s="163"/>
      <c r="V4" s="169"/>
      <c r="X4" s="164"/>
      <c r="Y4" s="164"/>
      <c r="Z4" s="164"/>
      <c r="AA4" s="148"/>
      <c r="AB4" s="148"/>
      <c r="AC4" s="164"/>
      <c r="AD4" s="164"/>
      <c r="AE4" s="164"/>
      <c r="AF4" s="164"/>
    </row>
    <row r="5" spans="2:32" ht="135" customHeight="1" x14ac:dyDescent="0.25">
      <c r="B5" s="8">
        <v>60</v>
      </c>
      <c r="C5" s="14" t="s">
        <v>359</v>
      </c>
      <c r="D5" s="14" t="s">
        <v>95</v>
      </c>
      <c r="E5" s="14">
        <v>10</v>
      </c>
      <c r="F5" s="14">
        <v>0</v>
      </c>
      <c r="G5" s="14">
        <v>2</v>
      </c>
      <c r="H5" s="14">
        <v>13</v>
      </c>
      <c r="I5" s="14">
        <v>0</v>
      </c>
      <c r="J5" s="14">
        <v>0</v>
      </c>
      <c r="K5" s="14">
        <v>0</v>
      </c>
      <c r="L5" s="14">
        <v>0</v>
      </c>
      <c r="M5" s="14">
        <v>6</v>
      </c>
      <c r="N5" s="20">
        <f>SUM(E5:M5)</f>
        <v>31</v>
      </c>
      <c r="O5" s="48"/>
      <c r="P5" s="48">
        <v>833000</v>
      </c>
      <c r="Q5" s="48"/>
      <c r="R5" s="48">
        <f>1995000*1.19</f>
        <v>2374050</v>
      </c>
      <c r="S5" s="47">
        <f>(1451500)*((1+13.12/100))</f>
        <v>1641936.8</v>
      </c>
      <c r="T5" s="48">
        <f t="shared" ref="T5:T12" si="0">ROUND(HARMEAN(O5:S5),0)</f>
        <v>1344846</v>
      </c>
      <c r="U5" s="78">
        <f>+T5*N5</f>
        <v>41690226</v>
      </c>
      <c r="V5" s="19"/>
      <c r="X5" s="12">
        <f>+T5*E5</f>
        <v>13448460</v>
      </c>
      <c r="Y5" s="12">
        <f>+T5*F5</f>
        <v>0</v>
      </c>
      <c r="Z5" s="12">
        <f>+T5*G5</f>
        <v>2689692</v>
      </c>
      <c r="AA5" s="12">
        <f>+T5*H5</f>
        <v>17482998</v>
      </c>
      <c r="AB5" s="12">
        <f>+T5*I5</f>
        <v>0</v>
      </c>
      <c r="AC5" s="12">
        <f>+T5*J5</f>
        <v>0</v>
      </c>
      <c r="AD5" s="12">
        <f>+T5*K5</f>
        <v>0</v>
      </c>
      <c r="AE5" s="12">
        <f>+T5*L5</f>
        <v>0</v>
      </c>
      <c r="AF5" s="12">
        <f>+T5*M5</f>
        <v>8069076</v>
      </c>
    </row>
    <row r="6" spans="2:32" ht="123.75" customHeight="1" x14ac:dyDescent="0.25">
      <c r="B6" s="8">
        <f>1+B5</f>
        <v>61</v>
      </c>
      <c r="C6" s="14" t="s">
        <v>360</v>
      </c>
      <c r="D6" s="14" t="s">
        <v>96</v>
      </c>
      <c r="E6" s="14">
        <v>2</v>
      </c>
      <c r="F6" s="14">
        <v>0</v>
      </c>
      <c r="G6" s="14">
        <v>6</v>
      </c>
      <c r="H6" s="14">
        <v>0</v>
      </c>
      <c r="I6" s="14">
        <v>0</v>
      </c>
      <c r="J6" s="14">
        <v>0</v>
      </c>
      <c r="K6" s="14">
        <v>0</v>
      </c>
      <c r="L6" s="14">
        <v>0</v>
      </c>
      <c r="M6" s="14">
        <v>0</v>
      </c>
      <c r="N6" s="108">
        <f t="shared" ref="N6:N12" si="1">SUM(E6:M6)</f>
        <v>8</v>
      </c>
      <c r="O6" s="48"/>
      <c r="P6" s="48"/>
      <c r="Q6" s="48">
        <v>101150</v>
      </c>
      <c r="R6" s="48">
        <f>320000*1.19</f>
        <v>380800</v>
      </c>
      <c r="S6" s="47">
        <f>+(176577)*((1+13.12/100))</f>
        <v>199743.90239999999</v>
      </c>
      <c r="T6" s="48">
        <f t="shared" si="0"/>
        <v>171245</v>
      </c>
      <c r="U6" s="78">
        <f t="shared" ref="U6:U12" si="2">+T6*N6</f>
        <v>1369960</v>
      </c>
      <c r="V6" s="19"/>
      <c r="X6" s="12">
        <f t="shared" ref="X6:X12" si="3">+T6*E6</f>
        <v>342490</v>
      </c>
      <c r="Y6" s="12">
        <f t="shared" ref="Y6:Y12" si="4">+T6*F6</f>
        <v>0</v>
      </c>
      <c r="Z6" s="12">
        <f t="shared" ref="Z6:Z12" si="5">+T6*G6</f>
        <v>1027470</v>
      </c>
      <c r="AA6" s="12">
        <f t="shared" ref="AA6:AA12" si="6">+T6*H6</f>
        <v>0</v>
      </c>
      <c r="AB6" s="12">
        <f t="shared" ref="AB6:AB12" si="7">+T6*I6</f>
        <v>0</v>
      </c>
      <c r="AC6" s="12">
        <f t="shared" ref="AC6:AC12" si="8">+T6*J6</f>
        <v>0</v>
      </c>
      <c r="AD6" s="12">
        <f t="shared" ref="AD6:AD12" si="9">+T6*K6</f>
        <v>0</v>
      </c>
      <c r="AE6" s="12">
        <f t="shared" ref="AE6:AE12" si="10">+T6*L6</f>
        <v>0</v>
      </c>
      <c r="AF6" s="12">
        <f t="shared" ref="AF6:AF12" si="11">+T6*M6</f>
        <v>0</v>
      </c>
    </row>
    <row r="7" spans="2:32" ht="115.5" customHeight="1" x14ac:dyDescent="0.25">
      <c r="B7" s="8">
        <f t="shared" ref="B7:B12" si="12">1+B6</f>
        <v>62</v>
      </c>
      <c r="C7" s="14" t="s">
        <v>97</v>
      </c>
      <c r="D7" s="14" t="s">
        <v>98</v>
      </c>
      <c r="E7" s="14">
        <v>1</v>
      </c>
      <c r="F7" s="14">
        <v>0</v>
      </c>
      <c r="G7" s="14">
        <v>0</v>
      </c>
      <c r="H7" s="14">
        <v>0</v>
      </c>
      <c r="I7" s="14">
        <v>0</v>
      </c>
      <c r="J7" s="14">
        <v>0</v>
      </c>
      <c r="K7" s="14">
        <v>0</v>
      </c>
      <c r="L7" s="14">
        <v>2</v>
      </c>
      <c r="M7" s="14">
        <v>5</v>
      </c>
      <c r="N7" s="108">
        <f t="shared" si="1"/>
        <v>8</v>
      </c>
      <c r="O7" s="48"/>
      <c r="P7" s="48">
        <v>24752.547399999999</v>
      </c>
      <c r="Q7" s="48">
        <v>35700</v>
      </c>
      <c r="R7" s="78">
        <f>221400*1.19</f>
        <v>263466</v>
      </c>
      <c r="S7" s="47">
        <v>38005.925925925927</v>
      </c>
      <c r="T7" s="48">
        <f t="shared" si="0"/>
        <v>40602</v>
      </c>
      <c r="U7" s="78">
        <f t="shared" si="2"/>
        <v>324816</v>
      </c>
      <c r="V7" s="19"/>
      <c r="X7" s="12">
        <f t="shared" si="3"/>
        <v>40602</v>
      </c>
      <c r="Y7" s="12">
        <f t="shared" si="4"/>
        <v>0</v>
      </c>
      <c r="Z7" s="12">
        <f t="shared" si="5"/>
        <v>0</v>
      </c>
      <c r="AA7" s="12">
        <f t="shared" si="6"/>
        <v>0</v>
      </c>
      <c r="AB7" s="12">
        <f t="shared" si="7"/>
        <v>0</v>
      </c>
      <c r="AC7" s="12">
        <f t="shared" si="8"/>
        <v>0</v>
      </c>
      <c r="AD7" s="12">
        <f t="shared" si="9"/>
        <v>0</v>
      </c>
      <c r="AE7" s="12">
        <f t="shared" si="10"/>
        <v>81204</v>
      </c>
      <c r="AF7" s="12">
        <f t="shared" si="11"/>
        <v>203010</v>
      </c>
    </row>
    <row r="8" spans="2:32" ht="116.25" customHeight="1" x14ac:dyDescent="0.25">
      <c r="B8" s="8">
        <f t="shared" si="12"/>
        <v>63</v>
      </c>
      <c r="C8" s="14" t="s">
        <v>361</v>
      </c>
      <c r="D8" s="14" t="s">
        <v>99</v>
      </c>
      <c r="E8" s="14">
        <v>34</v>
      </c>
      <c r="F8" s="14">
        <v>4</v>
      </c>
      <c r="G8" s="14">
        <v>8</v>
      </c>
      <c r="H8" s="14">
        <v>0</v>
      </c>
      <c r="I8" s="14">
        <v>0</v>
      </c>
      <c r="J8" s="14">
        <v>0</v>
      </c>
      <c r="K8" s="14">
        <v>20</v>
      </c>
      <c r="L8" s="14">
        <v>0</v>
      </c>
      <c r="M8" s="14">
        <v>6</v>
      </c>
      <c r="N8" s="108">
        <f t="shared" si="1"/>
        <v>72</v>
      </c>
      <c r="O8" s="48"/>
      <c r="P8" s="48">
        <v>59782.03</v>
      </c>
      <c r="Q8" s="48">
        <v>74494</v>
      </c>
      <c r="R8" s="78">
        <f>221400*1.19</f>
        <v>263466</v>
      </c>
      <c r="S8" s="47">
        <f>(263466)*((1+13.12/100))</f>
        <v>298032.73920000001</v>
      </c>
      <c r="T8" s="48">
        <f t="shared" si="0"/>
        <v>107232</v>
      </c>
      <c r="U8" s="78">
        <f t="shared" si="2"/>
        <v>7720704</v>
      </c>
      <c r="V8" s="19"/>
      <c r="X8" s="12">
        <f t="shared" si="3"/>
        <v>3645888</v>
      </c>
      <c r="Y8" s="12">
        <f t="shared" si="4"/>
        <v>428928</v>
      </c>
      <c r="Z8" s="12">
        <f t="shared" si="5"/>
        <v>857856</v>
      </c>
      <c r="AA8" s="12">
        <f t="shared" si="6"/>
        <v>0</v>
      </c>
      <c r="AB8" s="12">
        <f t="shared" si="7"/>
        <v>0</v>
      </c>
      <c r="AC8" s="12">
        <f t="shared" si="8"/>
        <v>0</v>
      </c>
      <c r="AD8" s="12">
        <f t="shared" si="9"/>
        <v>2144640</v>
      </c>
      <c r="AE8" s="12">
        <f t="shared" si="10"/>
        <v>0</v>
      </c>
      <c r="AF8" s="12">
        <f t="shared" si="11"/>
        <v>643392</v>
      </c>
    </row>
    <row r="9" spans="2:32" ht="121.5" customHeight="1" x14ac:dyDescent="0.25">
      <c r="B9" s="8">
        <f t="shared" si="12"/>
        <v>64</v>
      </c>
      <c r="C9" s="14" t="s">
        <v>362</v>
      </c>
      <c r="D9" s="14" t="s">
        <v>99</v>
      </c>
      <c r="E9" s="14">
        <v>5</v>
      </c>
      <c r="F9" s="14">
        <v>0</v>
      </c>
      <c r="G9" s="14">
        <v>6</v>
      </c>
      <c r="H9" s="14">
        <v>0</v>
      </c>
      <c r="I9" s="14">
        <v>0</v>
      </c>
      <c r="J9" s="14">
        <v>0</v>
      </c>
      <c r="K9" s="14">
        <v>0</v>
      </c>
      <c r="L9" s="14">
        <v>0</v>
      </c>
      <c r="M9" s="14">
        <v>2</v>
      </c>
      <c r="N9" s="108">
        <f t="shared" si="1"/>
        <v>13</v>
      </c>
      <c r="O9" s="48"/>
      <c r="P9" s="48"/>
      <c r="Q9" s="48">
        <v>83300</v>
      </c>
      <c r="R9" s="48">
        <f>310000*1.19</f>
        <v>368900</v>
      </c>
      <c r="S9" s="47">
        <f>(182877)*(1+13.12/100)</f>
        <v>206870.46239999999</v>
      </c>
      <c r="T9" s="48">
        <f t="shared" si="0"/>
        <v>153457</v>
      </c>
      <c r="U9" s="78">
        <f t="shared" si="2"/>
        <v>1994941</v>
      </c>
      <c r="V9" s="19"/>
      <c r="X9" s="12">
        <f t="shared" si="3"/>
        <v>767285</v>
      </c>
      <c r="Y9" s="12">
        <f t="shared" si="4"/>
        <v>0</v>
      </c>
      <c r="Z9" s="12">
        <f t="shared" si="5"/>
        <v>920742</v>
      </c>
      <c r="AA9" s="12">
        <f t="shared" si="6"/>
        <v>0</v>
      </c>
      <c r="AB9" s="12">
        <f t="shared" si="7"/>
        <v>0</v>
      </c>
      <c r="AC9" s="12">
        <f t="shared" si="8"/>
        <v>0</v>
      </c>
      <c r="AD9" s="12">
        <f t="shared" si="9"/>
        <v>0</v>
      </c>
      <c r="AE9" s="12">
        <f t="shared" si="10"/>
        <v>0</v>
      </c>
      <c r="AF9" s="12">
        <f t="shared" si="11"/>
        <v>306914</v>
      </c>
    </row>
    <row r="10" spans="2:32" ht="123" customHeight="1" x14ac:dyDescent="0.25">
      <c r="B10" s="8">
        <f t="shared" si="12"/>
        <v>65</v>
      </c>
      <c r="C10" s="14" t="s">
        <v>100</v>
      </c>
      <c r="D10" s="14" t="s">
        <v>101</v>
      </c>
      <c r="E10" s="14">
        <v>6</v>
      </c>
      <c r="F10" s="14">
        <v>0</v>
      </c>
      <c r="G10" s="14">
        <v>0</v>
      </c>
      <c r="H10" s="14">
        <v>23</v>
      </c>
      <c r="I10" s="14">
        <v>10</v>
      </c>
      <c r="J10" s="14">
        <v>4</v>
      </c>
      <c r="K10" s="14">
        <v>0</v>
      </c>
      <c r="L10" s="14">
        <v>0</v>
      </c>
      <c r="M10" s="14">
        <v>0</v>
      </c>
      <c r="N10" s="108">
        <f t="shared" si="1"/>
        <v>43</v>
      </c>
      <c r="O10" s="48"/>
      <c r="P10" s="48">
        <v>26128.327313059999</v>
      </c>
      <c r="Q10" s="48">
        <v>42840</v>
      </c>
      <c r="R10" s="48">
        <f>310000*1.19</f>
        <v>368900</v>
      </c>
      <c r="S10" s="47"/>
      <c r="T10" s="48">
        <f t="shared" si="0"/>
        <v>46637</v>
      </c>
      <c r="U10" s="78">
        <f t="shared" si="2"/>
        <v>2005391</v>
      </c>
      <c r="V10" s="19"/>
      <c r="X10" s="12">
        <f t="shared" si="3"/>
        <v>279822</v>
      </c>
      <c r="Y10" s="12">
        <f t="shared" si="4"/>
        <v>0</v>
      </c>
      <c r="Z10" s="12">
        <f t="shared" si="5"/>
        <v>0</v>
      </c>
      <c r="AA10" s="12">
        <f t="shared" si="6"/>
        <v>1072651</v>
      </c>
      <c r="AB10" s="12">
        <f t="shared" si="7"/>
        <v>466370</v>
      </c>
      <c r="AC10" s="12">
        <f t="shared" si="8"/>
        <v>186548</v>
      </c>
      <c r="AD10" s="12">
        <f t="shared" si="9"/>
        <v>0</v>
      </c>
      <c r="AE10" s="12">
        <f t="shared" si="10"/>
        <v>0</v>
      </c>
      <c r="AF10" s="12">
        <f t="shared" si="11"/>
        <v>0</v>
      </c>
    </row>
    <row r="11" spans="2:32" ht="132.75" customHeight="1" x14ac:dyDescent="0.25">
      <c r="B11" s="8">
        <f t="shared" si="12"/>
        <v>66</v>
      </c>
      <c r="C11" s="14" t="s">
        <v>363</v>
      </c>
      <c r="D11" s="14" t="s">
        <v>96</v>
      </c>
      <c r="E11" s="14">
        <v>36</v>
      </c>
      <c r="F11" s="14">
        <v>3</v>
      </c>
      <c r="G11" s="14">
        <v>5</v>
      </c>
      <c r="H11" s="14">
        <v>0</v>
      </c>
      <c r="I11" s="14">
        <v>0</v>
      </c>
      <c r="J11" s="14">
        <v>0</v>
      </c>
      <c r="K11" s="14">
        <v>10</v>
      </c>
      <c r="L11" s="14">
        <v>0</v>
      </c>
      <c r="M11" s="14">
        <v>0</v>
      </c>
      <c r="N11" s="108">
        <f t="shared" si="1"/>
        <v>54</v>
      </c>
      <c r="O11" s="48"/>
      <c r="P11" s="48">
        <v>245410.55839999998</v>
      </c>
      <c r="Q11" s="48">
        <v>190400</v>
      </c>
      <c r="R11" s="48">
        <f>380000*1.19</f>
        <v>452200</v>
      </c>
      <c r="S11" s="47">
        <f>(309536)*((1+13.12/100))</f>
        <v>350147.12319999997</v>
      </c>
      <c r="T11" s="48">
        <f t="shared" si="0"/>
        <v>277889</v>
      </c>
      <c r="U11" s="78">
        <f t="shared" si="2"/>
        <v>15006006</v>
      </c>
      <c r="V11" s="19"/>
      <c r="X11" s="12">
        <f t="shared" si="3"/>
        <v>10004004</v>
      </c>
      <c r="Y11" s="12">
        <f t="shared" si="4"/>
        <v>833667</v>
      </c>
      <c r="Z11" s="12">
        <f t="shared" si="5"/>
        <v>1389445</v>
      </c>
      <c r="AA11" s="12">
        <f t="shared" si="6"/>
        <v>0</v>
      </c>
      <c r="AB11" s="12">
        <f t="shared" si="7"/>
        <v>0</v>
      </c>
      <c r="AC11" s="12">
        <f t="shared" si="8"/>
        <v>0</v>
      </c>
      <c r="AD11" s="12">
        <f t="shared" si="9"/>
        <v>2778890</v>
      </c>
      <c r="AE11" s="12">
        <f t="shared" si="10"/>
        <v>0</v>
      </c>
      <c r="AF11" s="12">
        <f t="shared" si="11"/>
        <v>0</v>
      </c>
    </row>
    <row r="12" spans="2:32" ht="133.5" customHeight="1" x14ac:dyDescent="0.25">
      <c r="B12" s="8">
        <f t="shared" si="12"/>
        <v>67</v>
      </c>
      <c r="C12" s="14" t="s">
        <v>102</v>
      </c>
      <c r="D12" s="14" t="s">
        <v>103</v>
      </c>
      <c r="E12" s="14">
        <v>4</v>
      </c>
      <c r="F12" s="14">
        <v>0</v>
      </c>
      <c r="G12" s="14">
        <v>0</v>
      </c>
      <c r="H12" s="14">
        <v>0</v>
      </c>
      <c r="I12" s="14">
        <v>0</v>
      </c>
      <c r="J12" s="14">
        <v>10</v>
      </c>
      <c r="K12" s="14">
        <v>2</v>
      </c>
      <c r="L12" s="14">
        <v>8</v>
      </c>
      <c r="M12" s="14">
        <v>4</v>
      </c>
      <c r="N12" s="108">
        <f t="shared" si="1"/>
        <v>28</v>
      </c>
      <c r="O12" s="48"/>
      <c r="P12" s="48"/>
      <c r="Q12" s="48">
        <v>42840</v>
      </c>
      <c r="R12" s="48">
        <f>99500*1.19</f>
        <v>118405</v>
      </c>
      <c r="S12" s="47">
        <f>(33900)*((1+(13.12/100)))</f>
        <v>38347.68</v>
      </c>
      <c r="T12" s="48">
        <f t="shared" si="0"/>
        <v>51844</v>
      </c>
      <c r="U12" s="78">
        <f t="shared" si="2"/>
        <v>1451632</v>
      </c>
      <c r="V12" s="19"/>
      <c r="X12" s="12">
        <f t="shared" si="3"/>
        <v>207376</v>
      </c>
      <c r="Y12" s="12">
        <f t="shared" si="4"/>
        <v>0</v>
      </c>
      <c r="Z12" s="12">
        <f t="shared" si="5"/>
        <v>0</v>
      </c>
      <c r="AA12" s="12">
        <f t="shared" si="6"/>
        <v>0</v>
      </c>
      <c r="AB12" s="12">
        <f t="shared" si="7"/>
        <v>0</v>
      </c>
      <c r="AC12" s="12">
        <f t="shared" si="8"/>
        <v>518440</v>
      </c>
      <c r="AD12" s="12">
        <f t="shared" si="9"/>
        <v>103688</v>
      </c>
      <c r="AE12" s="12">
        <f t="shared" si="10"/>
        <v>414752</v>
      </c>
      <c r="AF12" s="12">
        <f t="shared" si="11"/>
        <v>207376</v>
      </c>
    </row>
    <row r="13" spans="2:32" x14ac:dyDescent="0.25">
      <c r="B13" s="144" t="s">
        <v>166</v>
      </c>
      <c r="C13" s="145"/>
      <c r="D13" s="145"/>
      <c r="E13" s="145"/>
      <c r="F13" s="145"/>
      <c r="G13" s="145"/>
      <c r="H13" s="145"/>
      <c r="I13" s="145"/>
      <c r="J13" s="145"/>
      <c r="K13" s="145"/>
      <c r="L13" s="145"/>
      <c r="M13" s="145"/>
      <c r="N13" s="145"/>
      <c r="O13" s="145"/>
      <c r="P13" s="145"/>
      <c r="Q13" s="145"/>
      <c r="R13" s="145"/>
      <c r="S13" s="145"/>
      <c r="T13" s="146"/>
      <c r="U13" s="132">
        <f>SUM(U5:U12)</f>
        <v>71563676</v>
      </c>
      <c r="X13" s="23">
        <f>SUM(X5:X12)</f>
        <v>28735927</v>
      </c>
      <c r="Y13" s="23">
        <f t="shared" ref="Y13:AF13" si="13">SUM(Y5:Y12)</f>
        <v>1262595</v>
      </c>
      <c r="Z13" s="23">
        <f t="shared" si="13"/>
        <v>6885205</v>
      </c>
      <c r="AA13" s="23">
        <f t="shared" si="13"/>
        <v>18555649</v>
      </c>
      <c r="AB13" s="23">
        <f t="shared" si="13"/>
        <v>466370</v>
      </c>
      <c r="AC13" s="23">
        <f t="shared" si="13"/>
        <v>704988</v>
      </c>
      <c r="AD13" s="23">
        <f t="shared" si="13"/>
        <v>5027218</v>
      </c>
      <c r="AE13" s="23">
        <f t="shared" si="13"/>
        <v>495956</v>
      </c>
      <c r="AF13" s="23">
        <f t="shared" si="13"/>
        <v>9429768</v>
      </c>
    </row>
    <row r="14" spans="2:32" x14ac:dyDescent="0.25">
      <c r="X14" s="156">
        <f>+X13+Y13+Z13+AA13+AB13+AC13+AD13+AE13+AF13</f>
        <v>71563676</v>
      </c>
      <c r="Y14" s="157"/>
      <c r="Z14" s="157"/>
      <c r="AA14" s="157"/>
      <c r="AB14" s="157"/>
      <c r="AC14" s="157"/>
      <c r="AD14" s="157"/>
      <c r="AE14" s="157"/>
      <c r="AF14" s="157"/>
    </row>
    <row r="15" spans="2:32" ht="123.75" customHeight="1" x14ac:dyDescent="0.25">
      <c r="C15" s="103" t="s">
        <v>302</v>
      </c>
      <c r="D15" s="154" t="s">
        <v>345</v>
      </c>
      <c r="E15" s="154"/>
      <c r="F15" s="154"/>
      <c r="G15" s="154"/>
      <c r="H15" s="154"/>
      <c r="I15" s="154"/>
      <c r="J15" s="154"/>
      <c r="K15" s="154"/>
      <c r="L15" s="154"/>
      <c r="M15" s="154"/>
      <c r="N15" s="154"/>
    </row>
    <row r="16" spans="2:32" x14ac:dyDescent="0.25">
      <c r="C16" s="104" t="s">
        <v>303</v>
      </c>
      <c r="D16" s="159" t="s">
        <v>305</v>
      </c>
      <c r="E16" s="159"/>
      <c r="F16" s="159"/>
      <c r="G16" s="159"/>
      <c r="H16" s="159"/>
      <c r="I16" s="159"/>
      <c r="J16" s="159"/>
      <c r="K16" s="159"/>
      <c r="L16" s="159"/>
      <c r="M16" s="159"/>
      <c r="N16" s="159"/>
    </row>
    <row r="17" spans="3:14" x14ac:dyDescent="0.25">
      <c r="C17" s="105" t="s">
        <v>304</v>
      </c>
      <c r="D17" s="159" t="s">
        <v>305</v>
      </c>
      <c r="E17" s="159"/>
      <c r="F17" s="159"/>
      <c r="G17" s="159"/>
      <c r="H17" s="159"/>
      <c r="I17" s="159"/>
      <c r="J17" s="159"/>
      <c r="K17" s="159"/>
      <c r="L17" s="159"/>
      <c r="M17" s="159"/>
      <c r="N17" s="159"/>
    </row>
    <row r="18" spans="3:14" ht="15.75" thickBot="1" x14ac:dyDescent="0.3"/>
    <row r="19" spans="3:14" ht="15.75" thickBot="1" x14ac:dyDescent="0.3">
      <c r="C19" s="180" t="s">
        <v>348</v>
      </c>
      <c r="D19" s="181"/>
      <c r="E19" s="181"/>
      <c r="F19" s="181"/>
      <c r="G19" s="181"/>
      <c r="H19" s="181"/>
      <c r="I19" s="181"/>
      <c r="J19" s="181"/>
      <c r="K19" s="181"/>
      <c r="L19" s="181"/>
      <c r="M19" s="181"/>
      <c r="N19" s="182"/>
    </row>
    <row r="20" spans="3:14" ht="80.25" customHeight="1" x14ac:dyDescent="0.25">
      <c r="C20" s="138" t="s">
        <v>349</v>
      </c>
      <c r="D20" s="187" t="s">
        <v>354</v>
      </c>
      <c r="E20" s="188"/>
      <c r="F20" s="188"/>
      <c r="G20" s="188"/>
      <c r="H20" s="188"/>
      <c r="I20" s="188"/>
      <c r="J20" s="188"/>
      <c r="K20" s="188"/>
      <c r="L20" s="188"/>
      <c r="M20" s="188"/>
      <c r="N20" s="189"/>
    </row>
    <row r="21" spans="3:14" ht="35.25" customHeight="1" x14ac:dyDescent="0.25">
      <c r="C21" s="139" t="s">
        <v>350</v>
      </c>
      <c r="D21" s="190" t="s">
        <v>355</v>
      </c>
      <c r="E21" s="159"/>
      <c r="F21" s="159"/>
      <c r="G21" s="159"/>
      <c r="H21" s="159"/>
      <c r="I21" s="159"/>
      <c r="J21" s="159"/>
      <c r="K21" s="159"/>
      <c r="L21" s="159"/>
      <c r="M21" s="159"/>
      <c r="N21" s="191"/>
    </row>
    <row r="22" spans="3:14" ht="29.25" customHeight="1" x14ac:dyDescent="0.25">
      <c r="C22" s="139" t="s">
        <v>351</v>
      </c>
      <c r="D22" s="190" t="s">
        <v>355</v>
      </c>
      <c r="E22" s="159"/>
      <c r="F22" s="159"/>
      <c r="G22" s="159"/>
      <c r="H22" s="159"/>
      <c r="I22" s="159"/>
      <c r="J22" s="159"/>
      <c r="K22" s="159"/>
      <c r="L22" s="159"/>
      <c r="M22" s="159"/>
      <c r="N22" s="191"/>
    </row>
    <row r="23" spans="3:14" ht="37.5" customHeight="1" x14ac:dyDescent="0.25">
      <c r="C23" s="139" t="s">
        <v>352</v>
      </c>
      <c r="D23" s="190" t="s">
        <v>355</v>
      </c>
      <c r="E23" s="159"/>
      <c r="F23" s="159"/>
      <c r="G23" s="159"/>
      <c r="H23" s="159"/>
      <c r="I23" s="159"/>
      <c r="J23" s="159"/>
      <c r="K23" s="159"/>
      <c r="L23" s="159"/>
      <c r="M23" s="159"/>
      <c r="N23" s="191"/>
    </row>
    <row r="24" spans="3:14" ht="45" customHeight="1" thickBot="1" x14ac:dyDescent="0.3">
      <c r="C24" s="140" t="s">
        <v>353</v>
      </c>
      <c r="D24" s="177" t="s">
        <v>356</v>
      </c>
      <c r="E24" s="178"/>
      <c r="F24" s="178"/>
      <c r="G24" s="178"/>
      <c r="H24" s="178"/>
      <c r="I24" s="178"/>
      <c r="J24" s="178"/>
      <c r="K24" s="178"/>
      <c r="L24" s="178"/>
      <c r="M24" s="178"/>
      <c r="N24" s="179"/>
    </row>
    <row r="25" spans="3:14" ht="15.75" thickBot="1" x14ac:dyDescent="0.3">
      <c r="C25" s="180" t="s">
        <v>357</v>
      </c>
      <c r="D25" s="181"/>
      <c r="E25" s="181"/>
      <c r="F25" s="181"/>
      <c r="G25" s="181"/>
      <c r="H25" s="181"/>
      <c r="I25" s="181"/>
      <c r="J25" s="181"/>
      <c r="K25" s="181"/>
      <c r="L25" s="181"/>
      <c r="M25" s="181"/>
      <c r="N25" s="182"/>
    </row>
    <row r="26" spans="3:14" ht="211.5" customHeight="1" thickBot="1" x14ac:dyDescent="0.3">
      <c r="C26" s="183" t="s">
        <v>358</v>
      </c>
      <c r="D26" s="184"/>
      <c r="E26" s="184"/>
      <c r="F26" s="184"/>
      <c r="G26" s="184"/>
      <c r="H26" s="184"/>
      <c r="I26" s="184"/>
      <c r="J26" s="184"/>
      <c r="K26" s="184"/>
      <c r="L26" s="184"/>
      <c r="M26" s="184"/>
      <c r="N26" s="185"/>
    </row>
    <row r="27" spans="3:14" ht="191.25" customHeight="1" thickBot="1" x14ac:dyDescent="0.3">
      <c r="C27" s="186"/>
      <c r="D27" s="184"/>
      <c r="E27" s="184"/>
      <c r="F27" s="184"/>
      <c r="G27" s="184"/>
      <c r="H27" s="184"/>
      <c r="I27" s="184"/>
      <c r="J27" s="184"/>
      <c r="K27" s="184"/>
      <c r="L27" s="184"/>
      <c r="M27" s="184"/>
      <c r="N27" s="185"/>
    </row>
  </sheetData>
  <mergeCells count="44">
    <mergeCell ref="D24:N24"/>
    <mergeCell ref="C25:N25"/>
    <mergeCell ref="C26:N26"/>
    <mergeCell ref="C27:N27"/>
    <mergeCell ref="C19:N19"/>
    <mergeCell ref="D20:N20"/>
    <mergeCell ref="D21:N21"/>
    <mergeCell ref="D22:N22"/>
    <mergeCell ref="D23:N23"/>
    <mergeCell ref="D16:N16"/>
    <mergeCell ref="D17:N17"/>
    <mergeCell ref="V2:V4"/>
    <mergeCell ref="U3:U4"/>
    <mergeCell ref="S3:S4"/>
    <mergeCell ref="T3:T4"/>
    <mergeCell ref="B2:N2"/>
    <mergeCell ref="O2:U2"/>
    <mergeCell ref="O3:R3"/>
    <mergeCell ref="B13:T13"/>
    <mergeCell ref="J3:J4"/>
    <mergeCell ref="B3:B4"/>
    <mergeCell ref="C3:C4"/>
    <mergeCell ref="D3:D4"/>
    <mergeCell ref="E3:E4"/>
    <mergeCell ref="F3:F4"/>
    <mergeCell ref="D15:N15"/>
    <mergeCell ref="X3:X4"/>
    <mergeCell ref="Y3:Y4"/>
    <mergeCell ref="Z3:Z4"/>
    <mergeCell ref="AC3:AC4"/>
    <mergeCell ref="K3:K4"/>
    <mergeCell ref="L3:L4"/>
    <mergeCell ref="M3:M4"/>
    <mergeCell ref="N3:N4"/>
    <mergeCell ref="G3:G4"/>
    <mergeCell ref="H3:H4"/>
    <mergeCell ref="I3:I4"/>
    <mergeCell ref="AA3:AA4"/>
    <mergeCell ref="AB3:AB4"/>
    <mergeCell ref="AD3:AD4"/>
    <mergeCell ref="AE3:AE4"/>
    <mergeCell ref="AF3:AF4"/>
    <mergeCell ref="X2:AF2"/>
    <mergeCell ref="X14:AF14"/>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11"/>
  <sheetViews>
    <sheetView workbookViewId="0">
      <selection activeCell="N9" sqref="N9"/>
    </sheetView>
  </sheetViews>
  <sheetFormatPr baseColWidth="10" defaultRowHeight="15" x14ac:dyDescent="0.25"/>
  <cols>
    <col min="1" max="1" width="7" customWidth="1"/>
    <col min="2" max="2" width="4.7109375" style="9" bestFit="1" customWidth="1"/>
    <col min="3" max="3" width="42.42578125" style="9" customWidth="1"/>
    <col min="4" max="12" width="12.5703125" style="9" customWidth="1"/>
    <col min="13" max="13" width="12.85546875" style="9" customWidth="1"/>
    <col min="14" max="14" width="11.42578125" style="9"/>
    <col min="15" max="15" width="13" style="9" customWidth="1"/>
    <col min="16" max="16" width="12.85546875" style="9" customWidth="1"/>
    <col min="17" max="17" width="48.140625" customWidth="1"/>
    <col min="19" max="24" width="11.42578125" style="114"/>
  </cols>
  <sheetData>
    <row r="2" spans="2:25" ht="21" customHeight="1" x14ac:dyDescent="0.25">
      <c r="B2" s="160" t="s">
        <v>116</v>
      </c>
      <c r="C2" s="161"/>
      <c r="D2" s="161"/>
      <c r="E2" s="161"/>
      <c r="F2" s="161"/>
      <c r="G2" s="161"/>
      <c r="H2" s="161"/>
      <c r="I2" s="161"/>
      <c r="J2" s="161"/>
      <c r="K2" s="162"/>
      <c r="L2" s="170" t="s">
        <v>59</v>
      </c>
      <c r="M2" s="170"/>
      <c r="N2" s="170"/>
      <c r="O2" s="170"/>
      <c r="P2" s="170"/>
      <c r="Q2" s="168" t="s">
        <v>165</v>
      </c>
      <c r="S2" s="192" t="s">
        <v>316</v>
      </c>
      <c r="T2" s="192"/>
      <c r="U2" s="192"/>
      <c r="V2" s="192"/>
      <c r="W2" s="192"/>
      <c r="X2" s="192"/>
    </row>
    <row r="3" spans="2:25" ht="23.25" customHeight="1" x14ac:dyDescent="0.25">
      <c r="B3" s="158" t="s">
        <v>1</v>
      </c>
      <c r="C3" s="149" t="s">
        <v>299</v>
      </c>
      <c r="D3" s="147" t="s">
        <v>300</v>
      </c>
      <c r="E3" s="147" t="s">
        <v>4</v>
      </c>
      <c r="F3" s="147" t="s">
        <v>114</v>
      </c>
      <c r="G3" s="147" t="s">
        <v>115</v>
      </c>
      <c r="H3" s="147" t="s">
        <v>8</v>
      </c>
      <c r="I3" s="147" t="s">
        <v>11</v>
      </c>
      <c r="J3" s="147" t="s">
        <v>14</v>
      </c>
      <c r="K3" s="147" t="s">
        <v>339</v>
      </c>
      <c r="L3" s="158" t="s">
        <v>117</v>
      </c>
      <c r="M3" s="158"/>
      <c r="N3" s="158" t="s">
        <v>50</v>
      </c>
      <c r="O3" s="158" t="s">
        <v>51</v>
      </c>
      <c r="P3" s="158" t="s">
        <v>52</v>
      </c>
      <c r="Q3" s="175"/>
      <c r="S3" s="147" t="s">
        <v>4</v>
      </c>
      <c r="T3" s="147" t="s">
        <v>114</v>
      </c>
      <c r="U3" s="147" t="s">
        <v>115</v>
      </c>
      <c r="V3" s="147" t="s">
        <v>8</v>
      </c>
      <c r="W3" s="147" t="s">
        <v>11</v>
      </c>
      <c r="X3" s="147" t="s">
        <v>14</v>
      </c>
    </row>
    <row r="4" spans="2:25" ht="132" customHeight="1" x14ac:dyDescent="0.25">
      <c r="B4" s="158"/>
      <c r="C4" s="150"/>
      <c r="D4" s="148"/>
      <c r="E4" s="148"/>
      <c r="F4" s="148"/>
      <c r="G4" s="148"/>
      <c r="H4" s="148"/>
      <c r="I4" s="148"/>
      <c r="J4" s="148"/>
      <c r="K4" s="148"/>
      <c r="L4" s="38" t="s">
        <v>57</v>
      </c>
      <c r="M4" s="38" t="s">
        <v>58</v>
      </c>
      <c r="N4" s="158"/>
      <c r="O4" s="158"/>
      <c r="P4" s="158"/>
      <c r="Q4" s="169"/>
      <c r="S4" s="148"/>
      <c r="T4" s="148"/>
      <c r="U4" s="148"/>
      <c r="V4" s="148"/>
      <c r="W4" s="148"/>
      <c r="X4" s="148"/>
    </row>
    <row r="5" spans="2:25" ht="134.25" customHeight="1" x14ac:dyDescent="0.25">
      <c r="B5" s="39">
        <v>68</v>
      </c>
      <c r="C5" s="14" t="s">
        <v>110</v>
      </c>
      <c r="D5" s="14" t="s">
        <v>111</v>
      </c>
      <c r="E5" s="14">
        <v>0</v>
      </c>
      <c r="F5" s="14">
        <v>2</v>
      </c>
      <c r="G5" s="14">
        <v>10</v>
      </c>
      <c r="H5" s="14">
        <v>15</v>
      </c>
      <c r="I5" s="14">
        <v>5</v>
      </c>
      <c r="J5" s="14">
        <v>0</v>
      </c>
      <c r="K5" s="38">
        <f>SUM(E5:J5)</f>
        <v>32</v>
      </c>
      <c r="L5" s="12">
        <v>11138400</v>
      </c>
      <c r="M5" s="12">
        <v>10445820</v>
      </c>
      <c r="N5" s="12">
        <f>(8462995)*(1+(13.12/100))</f>
        <v>9573339.9440000001</v>
      </c>
      <c r="O5" s="12">
        <f>ROUND(GEOMEAN(L5:N5),0)</f>
        <v>10365962</v>
      </c>
      <c r="P5" s="13">
        <f>+O5*K5</f>
        <v>331710784</v>
      </c>
      <c r="Q5" s="19"/>
      <c r="S5" s="12">
        <f>+O5*E5</f>
        <v>0</v>
      </c>
      <c r="T5" s="12">
        <f>+O5*F5</f>
        <v>20731924</v>
      </c>
      <c r="U5" s="12">
        <f>+O5*G5</f>
        <v>103659620</v>
      </c>
      <c r="V5" s="12">
        <f>+O5*H5</f>
        <v>155489430</v>
      </c>
      <c r="W5" s="12">
        <f>+O5*I5</f>
        <v>51829810</v>
      </c>
      <c r="X5" s="12">
        <f>+O5*J5</f>
        <v>0</v>
      </c>
      <c r="Y5" s="11"/>
    </row>
    <row r="6" spans="2:25" ht="114.75" customHeight="1" x14ac:dyDescent="0.25">
      <c r="B6" s="39">
        <f>1+B5</f>
        <v>69</v>
      </c>
      <c r="C6" s="14" t="s">
        <v>112</v>
      </c>
      <c r="D6" s="14" t="s">
        <v>113</v>
      </c>
      <c r="E6" s="14">
        <v>5</v>
      </c>
      <c r="F6" s="14">
        <v>0</v>
      </c>
      <c r="G6" s="14">
        <v>0</v>
      </c>
      <c r="H6" s="14">
        <v>15</v>
      </c>
      <c r="I6" s="14">
        <v>0</v>
      </c>
      <c r="J6" s="14">
        <v>25</v>
      </c>
      <c r="K6" s="38">
        <f>SUM(E6:J6)</f>
        <v>45</v>
      </c>
      <c r="L6" s="12">
        <v>11138400</v>
      </c>
      <c r="M6" s="12">
        <v>10445820</v>
      </c>
      <c r="N6" s="12">
        <f>(8462995)*(1+(13.12/100))</f>
        <v>9573339.9440000001</v>
      </c>
      <c r="O6" s="12">
        <f>ROUND(GEOMEAN(L6:N6),0)</f>
        <v>10365962</v>
      </c>
      <c r="P6" s="13">
        <f>+O6*K6</f>
        <v>466468290</v>
      </c>
      <c r="Q6" s="19"/>
      <c r="S6" s="12">
        <f>+O6*E6</f>
        <v>51829810</v>
      </c>
      <c r="T6" s="12">
        <f>+O6*F6</f>
        <v>0</v>
      </c>
      <c r="U6" s="12">
        <f>+O6*G6</f>
        <v>0</v>
      </c>
      <c r="V6" s="12">
        <f>+O6*H6</f>
        <v>155489430</v>
      </c>
      <c r="W6" s="12">
        <f>+O6*I6</f>
        <v>0</v>
      </c>
      <c r="X6" s="12">
        <f>+O6*J6</f>
        <v>259149050</v>
      </c>
      <c r="Y6" s="11"/>
    </row>
    <row r="7" spans="2:25" x14ac:dyDescent="0.25">
      <c r="B7" s="144" t="s">
        <v>167</v>
      </c>
      <c r="C7" s="145"/>
      <c r="D7" s="145"/>
      <c r="E7" s="145"/>
      <c r="F7" s="145"/>
      <c r="G7" s="145"/>
      <c r="H7" s="145"/>
      <c r="I7" s="145"/>
      <c r="J7" s="145"/>
      <c r="K7" s="145"/>
      <c r="L7" s="145"/>
      <c r="M7" s="145"/>
      <c r="N7" s="145"/>
      <c r="O7" s="146"/>
      <c r="P7" s="23">
        <f>SUM(P5:P6)</f>
        <v>798179074</v>
      </c>
      <c r="S7" s="13">
        <f>SUM(S5:S6)</f>
        <v>51829810</v>
      </c>
      <c r="T7" s="13">
        <f t="shared" ref="T7:X7" si="0">SUM(T5:T6)</f>
        <v>20731924</v>
      </c>
      <c r="U7" s="13">
        <f t="shared" si="0"/>
        <v>103659620</v>
      </c>
      <c r="V7" s="13">
        <f t="shared" si="0"/>
        <v>310978860</v>
      </c>
      <c r="W7" s="13">
        <f t="shared" si="0"/>
        <v>51829810</v>
      </c>
      <c r="X7" s="13">
        <f t="shared" si="0"/>
        <v>259149050</v>
      </c>
    </row>
    <row r="8" spans="2:25" x14ac:dyDescent="0.25">
      <c r="S8" s="193">
        <f>+S7+T7+U7+V7+W7+X7</f>
        <v>798179074</v>
      </c>
      <c r="T8" s="194"/>
      <c r="U8" s="194"/>
      <c r="V8" s="194"/>
      <c r="W8" s="194"/>
      <c r="X8" s="194"/>
    </row>
    <row r="9" spans="2:25" ht="151.5" customHeight="1" x14ac:dyDescent="0.25">
      <c r="C9" s="103" t="s">
        <v>302</v>
      </c>
      <c r="D9" s="154" t="s">
        <v>345</v>
      </c>
      <c r="E9" s="154"/>
      <c r="F9" s="154"/>
      <c r="G9" s="154"/>
      <c r="H9" s="154"/>
      <c r="I9" s="154"/>
      <c r="J9" s="154"/>
      <c r="K9" s="154"/>
    </row>
    <row r="10" spans="2:25" x14ac:dyDescent="0.25">
      <c r="C10" s="104" t="s">
        <v>303</v>
      </c>
      <c r="D10" s="159" t="s">
        <v>305</v>
      </c>
      <c r="E10" s="159"/>
      <c r="F10" s="159"/>
      <c r="G10" s="159"/>
      <c r="H10" s="159"/>
      <c r="I10" s="159"/>
      <c r="J10" s="159"/>
      <c r="K10" s="159"/>
    </row>
    <row r="11" spans="2:25" x14ac:dyDescent="0.25">
      <c r="C11" s="105" t="s">
        <v>304</v>
      </c>
      <c r="D11" s="159" t="s">
        <v>305</v>
      </c>
      <c r="E11" s="159"/>
      <c r="F11" s="159"/>
      <c r="G11" s="159"/>
      <c r="H11" s="159"/>
      <c r="I11" s="159"/>
      <c r="J11" s="159"/>
      <c r="K11" s="159"/>
    </row>
  </sheetData>
  <mergeCells count="29">
    <mergeCell ref="X3:X4"/>
    <mergeCell ref="S2:X2"/>
    <mergeCell ref="S8:X8"/>
    <mergeCell ref="S3:S4"/>
    <mergeCell ref="T3:T4"/>
    <mergeCell ref="U3:U4"/>
    <mergeCell ref="V3:V4"/>
    <mergeCell ref="W3:W4"/>
    <mergeCell ref="D10:K10"/>
    <mergeCell ref="D11:K11"/>
    <mergeCell ref="Q2:Q4"/>
    <mergeCell ref="P3:P4"/>
    <mergeCell ref="N3:N4"/>
    <mergeCell ref="O3:O4"/>
    <mergeCell ref="L3:M3"/>
    <mergeCell ref="L2:P2"/>
    <mergeCell ref="B7:O7"/>
    <mergeCell ref="B2:K2"/>
    <mergeCell ref="B3:B4"/>
    <mergeCell ref="C3:C4"/>
    <mergeCell ref="D3:D4"/>
    <mergeCell ref="E3:E4"/>
    <mergeCell ref="F3:F4"/>
    <mergeCell ref="I3:I4"/>
    <mergeCell ref="J3:J4"/>
    <mergeCell ref="K3:K4"/>
    <mergeCell ref="G3:G4"/>
    <mergeCell ref="H3:H4"/>
    <mergeCell ref="D9:K9"/>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Z12"/>
  <sheetViews>
    <sheetView topLeftCell="A4" workbookViewId="0">
      <selection activeCell="C6" sqref="C6:C7"/>
    </sheetView>
  </sheetViews>
  <sheetFormatPr baseColWidth="10" defaultRowHeight="15" x14ac:dyDescent="0.25"/>
  <cols>
    <col min="2" max="2" width="6" style="9" customWidth="1"/>
    <col min="3" max="3" width="29.5703125" style="9" customWidth="1"/>
    <col min="4" max="4" width="14.7109375" style="9" customWidth="1"/>
    <col min="5" max="5" width="11.28515625" style="9" customWidth="1"/>
    <col min="6" max="6" width="13.7109375" style="9" customWidth="1"/>
    <col min="7" max="8" width="11.28515625" style="9" customWidth="1"/>
    <col min="9" max="9" width="13.42578125" style="9" customWidth="1"/>
    <col min="10" max="12" width="11.28515625" style="9" customWidth="1"/>
    <col min="13" max="13" width="15.140625" style="9" customWidth="1"/>
    <col min="14" max="14" width="13.140625" style="9" customWidth="1"/>
    <col min="15" max="15" width="16.5703125" style="9" customWidth="1"/>
    <col min="16" max="16" width="17.42578125" style="9" customWidth="1"/>
    <col min="17" max="17" width="42.5703125" style="30" customWidth="1"/>
    <col min="19" max="26" width="11.42578125" style="9"/>
  </cols>
  <sheetData>
    <row r="2" spans="2:25" ht="16.5" customHeight="1" x14ac:dyDescent="0.25"/>
    <row r="3" spans="2:25" x14ac:dyDescent="0.25">
      <c r="B3" s="157" t="s">
        <v>123</v>
      </c>
      <c r="C3" s="157"/>
      <c r="D3" s="157"/>
      <c r="E3" s="157"/>
      <c r="F3" s="157"/>
      <c r="G3" s="157"/>
      <c r="H3" s="157"/>
      <c r="I3" s="157"/>
      <c r="J3" s="157"/>
      <c r="K3" s="157"/>
      <c r="L3" s="157"/>
      <c r="M3" s="144" t="s">
        <v>59</v>
      </c>
      <c r="N3" s="145"/>
      <c r="O3" s="145"/>
      <c r="P3" s="146"/>
      <c r="Q3" s="158" t="s">
        <v>165</v>
      </c>
      <c r="S3" s="157" t="s">
        <v>317</v>
      </c>
      <c r="T3" s="157"/>
      <c r="U3" s="157"/>
      <c r="V3" s="157"/>
      <c r="W3" s="157"/>
      <c r="X3" s="157"/>
      <c r="Y3" s="157"/>
    </row>
    <row r="4" spans="2:25" ht="39" customHeight="1" x14ac:dyDescent="0.25">
      <c r="B4" s="158" t="s">
        <v>87</v>
      </c>
      <c r="C4" s="149" t="s">
        <v>299</v>
      </c>
      <c r="D4" s="147" t="s">
        <v>300</v>
      </c>
      <c r="E4" s="147" t="s">
        <v>4</v>
      </c>
      <c r="F4" s="147" t="s">
        <v>8</v>
      </c>
      <c r="G4" s="147" t="s">
        <v>9</v>
      </c>
      <c r="H4" s="147" t="s">
        <v>10</v>
      </c>
      <c r="I4" s="147" t="s">
        <v>11</v>
      </c>
      <c r="J4" s="147" t="s">
        <v>121</v>
      </c>
      <c r="K4" s="147" t="s">
        <v>122</v>
      </c>
      <c r="L4" s="147" t="s">
        <v>15</v>
      </c>
      <c r="M4" s="25" t="s">
        <v>49</v>
      </c>
      <c r="N4" s="158" t="s">
        <v>50</v>
      </c>
      <c r="O4" s="158" t="s">
        <v>51</v>
      </c>
      <c r="P4" s="158" t="s">
        <v>52</v>
      </c>
      <c r="Q4" s="158"/>
      <c r="S4" s="147" t="s">
        <v>4</v>
      </c>
      <c r="T4" s="147" t="s">
        <v>8</v>
      </c>
      <c r="U4" s="147" t="s">
        <v>9</v>
      </c>
      <c r="V4" s="147" t="s">
        <v>10</v>
      </c>
      <c r="W4" s="147" t="s">
        <v>11</v>
      </c>
      <c r="X4" s="147" t="s">
        <v>121</v>
      </c>
      <c r="Y4" s="147" t="s">
        <v>122</v>
      </c>
    </row>
    <row r="5" spans="2:25" x14ac:dyDescent="0.25">
      <c r="B5" s="158"/>
      <c r="C5" s="150"/>
      <c r="D5" s="148"/>
      <c r="E5" s="148"/>
      <c r="F5" s="148"/>
      <c r="G5" s="148"/>
      <c r="H5" s="148"/>
      <c r="I5" s="148"/>
      <c r="J5" s="148"/>
      <c r="K5" s="148"/>
      <c r="L5" s="148"/>
      <c r="M5" s="3" t="s">
        <v>168</v>
      </c>
      <c r="N5" s="158"/>
      <c r="O5" s="158"/>
      <c r="P5" s="158"/>
      <c r="Q5" s="158"/>
      <c r="S5" s="148"/>
      <c r="T5" s="148"/>
      <c r="U5" s="148"/>
      <c r="V5" s="148"/>
      <c r="W5" s="148"/>
      <c r="X5" s="148"/>
      <c r="Y5" s="148"/>
    </row>
    <row r="6" spans="2:25" ht="129" customHeight="1" x14ac:dyDescent="0.25">
      <c r="B6" s="32">
        <v>70</v>
      </c>
      <c r="C6" s="14" t="s">
        <v>118</v>
      </c>
      <c r="D6" s="14" t="s">
        <v>119</v>
      </c>
      <c r="E6" s="14">
        <v>0</v>
      </c>
      <c r="F6" s="14">
        <v>0</v>
      </c>
      <c r="G6" s="14">
        <v>0</v>
      </c>
      <c r="H6" s="14">
        <v>0</v>
      </c>
      <c r="I6" s="14">
        <v>4</v>
      </c>
      <c r="J6" s="14">
        <v>4</v>
      </c>
      <c r="K6" s="14">
        <v>0</v>
      </c>
      <c r="L6" s="24">
        <f>SUM(E6:K6)</f>
        <v>8</v>
      </c>
      <c r="M6" s="12">
        <f>808000*1.19</f>
        <v>961520</v>
      </c>
      <c r="N6" s="12">
        <f>(828240)*(1+(13.12/100))</f>
        <v>936905.08799999999</v>
      </c>
      <c r="O6" s="12">
        <f>ROUND(GEOMEAN(M6:N6),0)</f>
        <v>949133</v>
      </c>
      <c r="P6" s="13">
        <f>+O6*L6</f>
        <v>7593064</v>
      </c>
      <c r="Q6" s="31"/>
      <c r="S6" s="12">
        <f>+O6*E6</f>
        <v>0</v>
      </c>
      <c r="T6" s="12">
        <f>+O6*F6</f>
        <v>0</v>
      </c>
      <c r="U6" s="12">
        <f>+O6*G6</f>
        <v>0</v>
      </c>
      <c r="V6" s="12">
        <f>+O6*H6</f>
        <v>0</v>
      </c>
      <c r="W6" s="12">
        <f>+O6*I6</f>
        <v>3796532</v>
      </c>
      <c r="X6" s="12">
        <f>+O6*J6</f>
        <v>3796532</v>
      </c>
      <c r="Y6" s="12">
        <f>+O6*K6</f>
        <v>0</v>
      </c>
    </row>
    <row r="7" spans="2:25" ht="123.75" customHeight="1" x14ac:dyDescent="0.25">
      <c r="B7" s="32">
        <f>1+B6</f>
        <v>71</v>
      </c>
      <c r="C7" s="14" t="s">
        <v>120</v>
      </c>
      <c r="D7" s="14" t="s">
        <v>119</v>
      </c>
      <c r="E7" s="14">
        <v>12</v>
      </c>
      <c r="F7" s="14">
        <v>3</v>
      </c>
      <c r="G7" s="14">
        <v>3</v>
      </c>
      <c r="H7" s="14">
        <v>1</v>
      </c>
      <c r="I7" s="14">
        <v>10</v>
      </c>
      <c r="J7" s="14">
        <v>0</v>
      </c>
      <c r="K7" s="14">
        <v>2</v>
      </c>
      <c r="L7" s="24">
        <f>SUM(E7:K7)</f>
        <v>31</v>
      </c>
      <c r="M7" s="12">
        <f>2239000*1.19</f>
        <v>2664410</v>
      </c>
      <c r="N7" s="12">
        <f>(2296700)*(1+(13.12/100))</f>
        <v>2598027.04</v>
      </c>
      <c r="O7" s="12">
        <f>ROUND(GEOMEAN(M7:N7),0)</f>
        <v>2631009</v>
      </c>
      <c r="P7" s="13">
        <f>+O7*L7</f>
        <v>81561279</v>
      </c>
      <c r="Q7" s="31"/>
      <c r="S7" s="12">
        <f>+O7*E7</f>
        <v>31572108</v>
      </c>
      <c r="T7" s="12">
        <f>+O7*F7</f>
        <v>7893027</v>
      </c>
      <c r="U7" s="12">
        <f>+O7*G7</f>
        <v>7893027</v>
      </c>
      <c r="V7" s="12">
        <f>+O7*H7</f>
        <v>2631009</v>
      </c>
      <c r="W7" s="12">
        <f>+O7*I7</f>
        <v>26310090</v>
      </c>
      <c r="X7" s="12">
        <f>+O7*J7</f>
        <v>0</v>
      </c>
      <c r="Y7" s="12">
        <f>+O7*K7</f>
        <v>5262018</v>
      </c>
    </row>
    <row r="8" spans="2:25" x14ac:dyDescent="0.25">
      <c r="B8" s="157" t="s">
        <v>281</v>
      </c>
      <c r="C8" s="157"/>
      <c r="D8" s="157"/>
      <c r="E8" s="157"/>
      <c r="F8" s="157"/>
      <c r="G8" s="157"/>
      <c r="H8" s="157"/>
      <c r="I8" s="157"/>
      <c r="J8" s="157"/>
      <c r="K8" s="157"/>
      <c r="L8" s="157"/>
      <c r="M8" s="157"/>
      <c r="N8" s="157"/>
      <c r="O8" s="157"/>
      <c r="P8" s="23">
        <f>SUM(P6:P7)</f>
        <v>89154343</v>
      </c>
      <c r="S8" s="23">
        <f>SUM(S6:S7)</f>
        <v>31572108</v>
      </c>
      <c r="T8" s="23">
        <f t="shared" ref="T8:Y8" si="0">SUM(T6:T7)</f>
        <v>7893027</v>
      </c>
      <c r="U8" s="23">
        <f t="shared" si="0"/>
        <v>7893027</v>
      </c>
      <c r="V8" s="23">
        <f t="shared" si="0"/>
        <v>2631009</v>
      </c>
      <c r="W8" s="23">
        <f t="shared" si="0"/>
        <v>30106622</v>
      </c>
      <c r="X8" s="23">
        <f t="shared" si="0"/>
        <v>3796532</v>
      </c>
      <c r="Y8" s="23">
        <f t="shared" si="0"/>
        <v>5262018</v>
      </c>
    </row>
    <row r="9" spans="2:25" x14ac:dyDescent="0.25">
      <c r="S9" s="156">
        <f>+S8+T8+U8+V8+W8+X8+Y8</f>
        <v>89154343</v>
      </c>
      <c r="T9" s="157"/>
      <c r="U9" s="157"/>
      <c r="V9" s="157"/>
      <c r="W9" s="157"/>
      <c r="X9" s="157"/>
      <c r="Y9" s="157"/>
    </row>
    <row r="10" spans="2:25" ht="136.5" customHeight="1" x14ac:dyDescent="0.25">
      <c r="C10" s="103" t="s">
        <v>302</v>
      </c>
      <c r="D10" s="154" t="s">
        <v>345</v>
      </c>
      <c r="E10" s="154"/>
      <c r="F10" s="154"/>
      <c r="G10" s="154"/>
      <c r="H10" s="154"/>
      <c r="I10" s="154"/>
      <c r="J10" s="154"/>
      <c r="K10" s="154"/>
      <c r="L10" s="154"/>
      <c r="N10" s="44"/>
    </row>
    <row r="11" spans="2:25" x14ac:dyDescent="0.25">
      <c r="C11" s="104" t="s">
        <v>303</v>
      </c>
      <c r="D11" s="159" t="s">
        <v>305</v>
      </c>
      <c r="E11" s="159"/>
      <c r="F11" s="159"/>
      <c r="G11" s="159"/>
      <c r="H11" s="159"/>
      <c r="I11" s="159"/>
      <c r="J11" s="159"/>
      <c r="K11" s="159"/>
      <c r="L11" s="159"/>
    </row>
    <row r="12" spans="2:25" x14ac:dyDescent="0.25">
      <c r="C12" s="105" t="s">
        <v>304</v>
      </c>
      <c r="D12" s="159" t="s">
        <v>305</v>
      </c>
      <c r="E12" s="159"/>
      <c r="F12" s="159"/>
      <c r="G12" s="159"/>
      <c r="H12" s="159"/>
      <c r="I12" s="159"/>
      <c r="J12" s="159"/>
      <c r="K12" s="159"/>
      <c r="L12" s="159"/>
    </row>
  </sheetData>
  <mergeCells count="30">
    <mergeCell ref="X4:X5"/>
    <mergeCell ref="Y4:Y5"/>
    <mergeCell ref="S3:Y3"/>
    <mergeCell ref="S9:Y9"/>
    <mergeCell ref="S4:S5"/>
    <mergeCell ref="T4:T5"/>
    <mergeCell ref="U4:U5"/>
    <mergeCell ref="V4:V5"/>
    <mergeCell ref="W4:W5"/>
    <mergeCell ref="D10:L10"/>
    <mergeCell ref="D11:L11"/>
    <mergeCell ref="D12:L12"/>
    <mergeCell ref="K4:K5"/>
    <mergeCell ref="L4:L5"/>
    <mergeCell ref="F4:F5"/>
    <mergeCell ref="G4:G5"/>
    <mergeCell ref="H4:H5"/>
    <mergeCell ref="Q3:Q5"/>
    <mergeCell ref="P4:P5"/>
    <mergeCell ref="B8:O8"/>
    <mergeCell ref="B3:L3"/>
    <mergeCell ref="B4:B5"/>
    <mergeCell ref="C4:C5"/>
    <mergeCell ref="D4:D5"/>
    <mergeCell ref="E4:E5"/>
    <mergeCell ref="N4:N5"/>
    <mergeCell ref="O4:O5"/>
    <mergeCell ref="M3:P3"/>
    <mergeCell ref="I4:I5"/>
    <mergeCell ref="J4:J5"/>
  </mergeCells>
  <pageMargins left="0.7" right="0.7" top="0.75" bottom="0.75" header="0.3" footer="0.3"/>
  <pageSetup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E14"/>
  <sheetViews>
    <sheetView topLeftCell="A4" workbookViewId="0">
      <selection activeCell="J23" sqref="J23"/>
    </sheetView>
  </sheetViews>
  <sheetFormatPr baseColWidth="10" defaultRowHeight="15" x14ac:dyDescent="0.25"/>
  <cols>
    <col min="1" max="1" width="9" customWidth="1"/>
    <col min="2" max="2" width="4.7109375" style="30" bestFit="1" customWidth="1"/>
    <col min="3" max="3" width="23.28515625" style="30" customWidth="1"/>
    <col min="4" max="14" width="12.7109375" style="30" customWidth="1"/>
    <col min="15" max="15" width="11.42578125" style="120"/>
    <col min="16" max="16" width="12.28515625" style="120" customWidth="1"/>
    <col min="17" max="17" width="12.85546875" style="120" customWidth="1"/>
    <col min="18" max="19" width="11.42578125" style="120"/>
    <col min="20" max="20" width="11.42578125" style="30"/>
    <col min="21" max="21" width="46.42578125" customWidth="1"/>
    <col min="22" max="22" width="10.85546875" customWidth="1"/>
    <col min="23" max="23" width="11.42578125" style="9"/>
    <col min="24" max="24" width="13.42578125" style="9" customWidth="1"/>
    <col min="25" max="31" width="11.42578125" style="9"/>
  </cols>
  <sheetData>
    <row r="3" spans="2:31" x14ac:dyDescent="0.25">
      <c r="B3" s="157" t="s">
        <v>131</v>
      </c>
      <c r="C3" s="157"/>
      <c r="D3" s="157"/>
      <c r="E3" s="157"/>
      <c r="F3" s="157"/>
      <c r="G3" s="157"/>
      <c r="H3" s="157"/>
      <c r="I3" s="157"/>
      <c r="J3" s="157"/>
      <c r="K3" s="157"/>
      <c r="L3" s="157"/>
      <c r="M3" s="157"/>
      <c r="N3" s="157"/>
      <c r="O3" s="157" t="s">
        <v>59</v>
      </c>
      <c r="P3" s="157"/>
      <c r="Q3" s="157"/>
      <c r="R3" s="157"/>
      <c r="S3" s="157"/>
      <c r="T3" s="157"/>
      <c r="U3" s="170" t="s">
        <v>165</v>
      </c>
      <c r="W3" s="157" t="s">
        <v>318</v>
      </c>
      <c r="X3" s="157"/>
      <c r="Y3" s="157"/>
      <c r="Z3" s="157"/>
      <c r="AA3" s="157"/>
      <c r="AB3" s="157"/>
      <c r="AC3" s="157"/>
      <c r="AD3" s="157"/>
      <c r="AE3" s="157"/>
    </row>
    <row r="4" spans="2:31" ht="15.75" customHeight="1" x14ac:dyDescent="0.25">
      <c r="B4" s="158" t="s">
        <v>1</v>
      </c>
      <c r="C4" s="149" t="s">
        <v>299</v>
      </c>
      <c r="D4" s="147" t="s">
        <v>300</v>
      </c>
      <c r="E4" s="147" t="s">
        <v>104</v>
      </c>
      <c r="F4" s="147" t="s">
        <v>7</v>
      </c>
      <c r="G4" s="147" t="s">
        <v>8</v>
      </c>
      <c r="H4" s="147" t="s">
        <v>9</v>
      </c>
      <c r="I4" s="147" t="s">
        <v>10</v>
      </c>
      <c r="J4" s="147" t="s">
        <v>11</v>
      </c>
      <c r="K4" s="147" t="s">
        <v>12</v>
      </c>
      <c r="L4" s="147" t="s">
        <v>13</v>
      </c>
      <c r="M4" s="147" t="s">
        <v>14</v>
      </c>
      <c r="N4" s="147" t="s">
        <v>15</v>
      </c>
      <c r="O4" s="141" t="s">
        <v>49</v>
      </c>
      <c r="P4" s="142"/>
      <c r="Q4" s="143"/>
      <c r="R4" s="163" t="s">
        <v>50</v>
      </c>
      <c r="S4" s="163" t="s">
        <v>51</v>
      </c>
      <c r="T4" s="158" t="s">
        <v>52</v>
      </c>
      <c r="U4" s="170"/>
      <c r="W4" s="147" t="s">
        <v>104</v>
      </c>
      <c r="X4" s="147" t="s">
        <v>7</v>
      </c>
      <c r="Y4" s="147" t="s">
        <v>8</v>
      </c>
      <c r="Z4" s="147" t="s">
        <v>9</v>
      </c>
      <c r="AA4" s="147" t="s">
        <v>10</v>
      </c>
      <c r="AB4" s="147" t="s">
        <v>11</v>
      </c>
      <c r="AC4" s="147" t="s">
        <v>12</v>
      </c>
      <c r="AD4" s="147" t="s">
        <v>13</v>
      </c>
      <c r="AE4" s="147" t="s">
        <v>14</v>
      </c>
    </row>
    <row r="5" spans="2:31" ht="57" customHeight="1" x14ac:dyDescent="0.25">
      <c r="B5" s="158"/>
      <c r="C5" s="150"/>
      <c r="D5" s="148"/>
      <c r="E5" s="148"/>
      <c r="F5" s="148"/>
      <c r="G5" s="148"/>
      <c r="H5" s="148"/>
      <c r="I5" s="148"/>
      <c r="J5" s="148"/>
      <c r="K5" s="148"/>
      <c r="L5" s="148"/>
      <c r="M5" s="148"/>
      <c r="N5" s="148"/>
      <c r="O5" s="118" t="s">
        <v>53</v>
      </c>
      <c r="P5" s="116" t="s">
        <v>56</v>
      </c>
      <c r="Q5" s="116" t="s">
        <v>57</v>
      </c>
      <c r="R5" s="163"/>
      <c r="S5" s="163"/>
      <c r="T5" s="158"/>
      <c r="U5" s="170"/>
      <c r="W5" s="148"/>
      <c r="X5" s="148"/>
      <c r="Y5" s="148"/>
      <c r="Z5" s="148"/>
      <c r="AA5" s="148"/>
      <c r="AB5" s="148"/>
      <c r="AC5" s="148"/>
      <c r="AD5" s="148"/>
      <c r="AE5" s="148"/>
    </row>
    <row r="6" spans="2:31" ht="152.25" customHeight="1" x14ac:dyDescent="0.25">
      <c r="B6" s="8">
        <v>72</v>
      </c>
      <c r="C6" s="14" t="s">
        <v>124</v>
      </c>
      <c r="D6" s="14" t="s">
        <v>125</v>
      </c>
      <c r="E6" s="14">
        <v>61</v>
      </c>
      <c r="F6" s="14">
        <v>0</v>
      </c>
      <c r="G6" s="14">
        <v>2</v>
      </c>
      <c r="H6" s="14">
        <v>13</v>
      </c>
      <c r="I6" s="14">
        <v>0</v>
      </c>
      <c r="J6" s="14">
        <v>0</v>
      </c>
      <c r="K6" s="14">
        <v>0</v>
      </c>
      <c r="L6" s="14">
        <v>2</v>
      </c>
      <c r="M6" s="14">
        <v>0</v>
      </c>
      <c r="N6" s="20">
        <f>SUM(E6:M6)</f>
        <v>78</v>
      </c>
      <c r="O6" s="48"/>
      <c r="P6" s="48"/>
      <c r="Q6" s="48">
        <v>240284.79999999999</v>
      </c>
      <c r="R6" s="48"/>
      <c r="S6" s="48">
        <f>ROUND(GEOMEAN(O6:R6),0)</f>
        <v>240285</v>
      </c>
      <c r="T6" s="13">
        <f>+S6*N6</f>
        <v>18742230</v>
      </c>
      <c r="U6" s="19"/>
      <c r="W6" s="12">
        <f>+S6*E6</f>
        <v>14657385</v>
      </c>
      <c r="X6" s="12">
        <f>+S6*F6</f>
        <v>0</v>
      </c>
      <c r="Y6" s="12">
        <f>+S6*G6</f>
        <v>480570</v>
      </c>
      <c r="Z6" s="12">
        <f>+S6*H6</f>
        <v>3123705</v>
      </c>
      <c r="AA6" s="12">
        <f>+S6*I6</f>
        <v>0</v>
      </c>
      <c r="AB6" s="12">
        <f>+S6*J6</f>
        <v>0</v>
      </c>
      <c r="AC6" s="12">
        <f>+S6*K6</f>
        <v>0</v>
      </c>
      <c r="AD6" s="12">
        <f>+S6*L6</f>
        <v>480570</v>
      </c>
      <c r="AE6" s="12">
        <f>+S6*M6</f>
        <v>0</v>
      </c>
    </row>
    <row r="7" spans="2:31" ht="158.25" customHeight="1" x14ac:dyDescent="0.25">
      <c r="B7" s="8">
        <f>1+B6</f>
        <v>73</v>
      </c>
      <c r="C7" s="14" t="s">
        <v>126</v>
      </c>
      <c r="D7" s="14" t="s">
        <v>125</v>
      </c>
      <c r="E7" s="14">
        <v>80</v>
      </c>
      <c r="F7" s="14">
        <v>0</v>
      </c>
      <c r="G7" s="14">
        <v>0</v>
      </c>
      <c r="H7" s="14">
        <v>0</v>
      </c>
      <c r="I7" s="14">
        <v>0</v>
      </c>
      <c r="J7" s="14">
        <v>2</v>
      </c>
      <c r="K7" s="14">
        <v>0</v>
      </c>
      <c r="L7" s="14">
        <v>20</v>
      </c>
      <c r="M7" s="14">
        <v>0</v>
      </c>
      <c r="N7" s="108">
        <f t="shared" ref="N7:N9" si="0">SUM(E7:M7)</f>
        <v>102</v>
      </c>
      <c r="O7" s="48"/>
      <c r="P7" s="48"/>
      <c r="Q7" s="48">
        <v>562441.6</v>
      </c>
      <c r="R7" s="48"/>
      <c r="S7" s="48">
        <f t="shared" ref="S7:S8" si="1">ROUND(GEOMEAN(O7:R7),0)</f>
        <v>562442</v>
      </c>
      <c r="T7" s="13">
        <f t="shared" ref="T7:T9" si="2">+S7*N7</f>
        <v>57369084</v>
      </c>
      <c r="U7" s="19"/>
      <c r="W7" s="12">
        <f t="shared" ref="W7:W9" si="3">+S7*E7</f>
        <v>44995360</v>
      </c>
      <c r="X7" s="12">
        <f t="shared" ref="X7:X9" si="4">+S7*F7</f>
        <v>0</v>
      </c>
      <c r="Y7" s="12">
        <f t="shared" ref="Y7:Y9" si="5">+S7*G7</f>
        <v>0</v>
      </c>
      <c r="Z7" s="12">
        <f t="shared" ref="Z7:Z9" si="6">+S7*H7</f>
        <v>0</v>
      </c>
      <c r="AA7" s="12">
        <f t="shared" ref="AA7:AA9" si="7">+S7*I7</f>
        <v>0</v>
      </c>
      <c r="AB7" s="12">
        <f t="shared" ref="AB7:AB9" si="8">+S7*J7</f>
        <v>1124884</v>
      </c>
      <c r="AC7" s="12">
        <f t="shared" ref="AC7:AC9" si="9">+S7*K7</f>
        <v>0</v>
      </c>
      <c r="AD7" s="12">
        <f t="shared" ref="AD7:AD9" si="10">+S7*L7</f>
        <v>11248840</v>
      </c>
      <c r="AE7" s="12">
        <f t="shared" ref="AE7:AE9" si="11">+S7*M7</f>
        <v>0</v>
      </c>
    </row>
    <row r="8" spans="2:31" ht="165.75" customHeight="1" x14ac:dyDescent="0.25">
      <c r="B8" s="39">
        <f t="shared" ref="B8:B9" si="12">1+B7</f>
        <v>74</v>
      </c>
      <c r="C8" s="14" t="s">
        <v>127</v>
      </c>
      <c r="D8" s="14" t="s">
        <v>128</v>
      </c>
      <c r="E8" s="14">
        <v>3</v>
      </c>
      <c r="F8" s="14">
        <v>2</v>
      </c>
      <c r="G8" s="14">
        <v>0</v>
      </c>
      <c r="H8" s="14">
        <v>30</v>
      </c>
      <c r="I8" s="14">
        <v>0</v>
      </c>
      <c r="J8" s="14">
        <v>0</v>
      </c>
      <c r="K8" s="14">
        <v>0</v>
      </c>
      <c r="L8" s="14">
        <v>30</v>
      </c>
      <c r="M8" s="14">
        <v>2</v>
      </c>
      <c r="N8" s="108">
        <f t="shared" si="0"/>
        <v>67</v>
      </c>
      <c r="O8" s="48">
        <v>47124</v>
      </c>
      <c r="P8" s="48"/>
      <c r="Q8" s="48">
        <v>66640</v>
      </c>
      <c r="R8" s="48"/>
      <c r="S8" s="48">
        <f t="shared" si="1"/>
        <v>56039</v>
      </c>
      <c r="T8" s="13">
        <f t="shared" si="2"/>
        <v>3754613</v>
      </c>
      <c r="U8" s="19"/>
      <c r="W8" s="12">
        <f t="shared" si="3"/>
        <v>168117</v>
      </c>
      <c r="X8" s="12">
        <f t="shared" si="4"/>
        <v>112078</v>
      </c>
      <c r="Y8" s="12">
        <f t="shared" si="5"/>
        <v>0</v>
      </c>
      <c r="Z8" s="12">
        <f t="shared" si="6"/>
        <v>1681170</v>
      </c>
      <c r="AA8" s="12">
        <f t="shared" si="7"/>
        <v>0</v>
      </c>
      <c r="AB8" s="12">
        <f t="shared" si="8"/>
        <v>0</v>
      </c>
      <c r="AC8" s="12">
        <f t="shared" si="9"/>
        <v>0</v>
      </c>
      <c r="AD8" s="12">
        <f t="shared" si="10"/>
        <v>1681170</v>
      </c>
      <c r="AE8" s="12">
        <f t="shared" si="11"/>
        <v>112078</v>
      </c>
    </row>
    <row r="9" spans="2:31" ht="138" customHeight="1" x14ac:dyDescent="0.25">
      <c r="B9" s="39">
        <f t="shared" si="12"/>
        <v>75</v>
      </c>
      <c r="C9" s="14" t="s">
        <v>129</v>
      </c>
      <c r="D9" s="14" t="s">
        <v>130</v>
      </c>
      <c r="E9" s="14">
        <v>102</v>
      </c>
      <c r="F9" s="14">
        <v>0</v>
      </c>
      <c r="G9" s="14">
        <v>0</v>
      </c>
      <c r="H9" s="14">
        <v>2</v>
      </c>
      <c r="I9" s="14">
        <v>15</v>
      </c>
      <c r="J9" s="14">
        <v>5</v>
      </c>
      <c r="K9" s="14">
        <v>5</v>
      </c>
      <c r="L9" s="14">
        <v>16</v>
      </c>
      <c r="M9" s="14">
        <v>5</v>
      </c>
      <c r="N9" s="108">
        <f t="shared" si="0"/>
        <v>150</v>
      </c>
      <c r="O9" s="48">
        <v>119119</v>
      </c>
      <c r="P9" s="48">
        <v>76160</v>
      </c>
      <c r="Q9" s="48">
        <v>157437</v>
      </c>
      <c r="R9" s="48">
        <f>(50000)*((1+(13.12/100)))</f>
        <v>56560</v>
      </c>
      <c r="S9" s="48">
        <f>ROUND(HARMEAN(O9:R9),0)</f>
        <v>87802</v>
      </c>
      <c r="T9" s="13">
        <f t="shared" si="2"/>
        <v>13170300</v>
      </c>
      <c r="U9" s="19"/>
      <c r="W9" s="12">
        <f t="shared" si="3"/>
        <v>8955804</v>
      </c>
      <c r="X9" s="12">
        <f t="shared" si="4"/>
        <v>0</v>
      </c>
      <c r="Y9" s="12">
        <f t="shared" si="5"/>
        <v>0</v>
      </c>
      <c r="Z9" s="12">
        <f t="shared" si="6"/>
        <v>175604</v>
      </c>
      <c r="AA9" s="12">
        <f t="shared" si="7"/>
        <v>1317030</v>
      </c>
      <c r="AB9" s="12">
        <f t="shared" si="8"/>
        <v>439010</v>
      </c>
      <c r="AC9" s="12">
        <f t="shared" si="9"/>
        <v>439010</v>
      </c>
      <c r="AD9" s="12">
        <f t="shared" si="10"/>
        <v>1404832</v>
      </c>
      <c r="AE9" s="12">
        <f t="shared" si="11"/>
        <v>439010</v>
      </c>
    </row>
    <row r="10" spans="2:31" x14ac:dyDescent="0.25">
      <c r="B10" s="144" t="s">
        <v>169</v>
      </c>
      <c r="C10" s="145"/>
      <c r="D10" s="145"/>
      <c r="E10" s="145"/>
      <c r="F10" s="145"/>
      <c r="G10" s="145"/>
      <c r="H10" s="145"/>
      <c r="I10" s="145"/>
      <c r="J10" s="145"/>
      <c r="K10" s="145"/>
      <c r="L10" s="145"/>
      <c r="M10" s="145"/>
      <c r="N10" s="145"/>
      <c r="O10" s="145"/>
      <c r="P10" s="145"/>
      <c r="Q10" s="145"/>
      <c r="R10" s="145"/>
      <c r="S10" s="146"/>
      <c r="T10" s="27">
        <f>SUM(T6:T9)</f>
        <v>93036227</v>
      </c>
      <c r="W10" s="23">
        <f>SUM(W6:W9)</f>
        <v>68776666</v>
      </c>
      <c r="X10" s="23">
        <f t="shared" ref="X10:AE10" si="13">SUM(X6:X9)</f>
        <v>112078</v>
      </c>
      <c r="Y10" s="23">
        <f t="shared" si="13"/>
        <v>480570</v>
      </c>
      <c r="Z10" s="23">
        <f t="shared" si="13"/>
        <v>4980479</v>
      </c>
      <c r="AA10" s="23">
        <f t="shared" si="13"/>
        <v>1317030</v>
      </c>
      <c r="AB10" s="23">
        <f t="shared" si="13"/>
        <v>1563894</v>
      </c>
      <c r="AC10" s="23">
        <f t="shared" si="13"/>
        <v>439010</v>
      </c>
      <c r="AD10" s="23">
        <f t="shared" si="13"/>
        <v>14815412</v>
      </c>
      <c r="AE10" s="23">
        <f t="shared" si="13"/>
        <v>551088</v>
      </c>
    </row>
    <row r="11" spans="2:31" x14ac:dyDescent="0.25">
      <c r="W11" s="156">
        <f>+W10+X10+Y10+Z10+AA10+AB10+AC10+AD10+AE10</f>
        <v>93036227</v>
      </c>
      <c r="X11" s="157"/>
      <c r="Y11" s="157"/>
      <c r="Z11" s="157"/>
      <c r="AA11" s="157"/>
      <c r="AB11" s="157"/>
      <c r="AC11" s="157"/>
      <c r="AD11" s="157"/>
      <c r="AE11" s="157"/>
    </row>
    <row r="12" spans="2:31" ht="135" customHeight="1" x14ac:dyDescent="0.25">
      <c r="C12" s="103" t="s">
        <v>302</v>
      </c>
      <c r="D12" s="154" t="s">
        <v>345</v>
      </c>
      <c r="E12" s="154"/>
      <c r="F12" s="154"/>
      <c r="G12" s="154"/>
      <c r="H12" s="154"/>
      <c r="I12" s="154"/>
      <c r="J12" s="154"/>
      <c r="K12" s="154"/>
      <c r="L12" s="154"/>
      <c r="M12" s="154"/>
      <c r="N12" s="154"/>
    </row>
    <row r="13" spans="2:31" x14ac:dyDescent="0.25">
      <c r="C13" s="104" t="s">
        <v>303</v>
      </c>
      <c r="D13" s="159" t="s">
        <v>305</v>
      </c>
      <c r="E13" s="159"/>
      <c r="F13" s="159"/>
      <c r="G13" s="159"/>
      <c r="H13" s="159"/>
      <c r="I13" s="159"/>
      <c r="J13" s="159"/>
      <c r="K13" s="159"/>
      <c r="L13" s="159"/>
      <c r="M13" s="159"/>
      <c r="N13" s="159"/>
    </row>
    <row r="14" spans="2:31" ht="25.5" customHeight="1" x14ac:dyDescent="0.25">
      <c r="C14" s="105" t="s">
        <v>304</v>
      </c>
      <c r="D14" s="159" t="s">
        <v>305</v>
      </c>
      <c r="E14" s="159"/>
      <c r="F14" s="159"/>
      <c r="G14" s="159"/>
      <c r="H14" s="159"/>
      <c r="I14" s="159"/>
      <c r="J14" s="159"/>
      <c r="K14" s="159"/>
      <c r="L14" s="159"/>
      <c r="M14" s="159"/>
      <c r="N14" s="159"/>
    </row>
  </sheetData>
  <mergeCells count="35">
    <mergeCell ref="W11:AE11"/>
    <mergeCell ref="AB4:AB5"/>
    <mergeCell ref="AC4:AC5"/>
    <mergeCell ref="AD4:AD5"/>
    <mergeCell ref="AE4:AE5"/>
    <mergeCell ref="W3:AE3"/>
    <mergeCell ref="W4:W5"/>
    <mergeCell ref="X4:X5"/>
    <mergeCell ref="Y4:Y5"/>
    <mergeCell ref="Z4:Z5"/>
    <mergeCell ref="AA4:AA5"/>
    <mergeCell ref="D12:N12"/>
    <mergeCell ref="D13:N13"/>
    <mergeCell ref="D14:N14"/>
    <mergeCell ref="K4:K5"/>
    <mergeCell ref="L4:L5"/>
    <mergeCell ref="M4:M5"/>
    <mergeCell ref="N4:N5"/>
    <mergeCell ref="F4:F5"/>
    <mergeCell ref="G4:G5"/>
    <mergeCell ref="H4:H5"/>
    <mergeCell ref="I4:I5"/>
    <mergeCell ref="U3:U5"/>
    <mergeCell ref="O4:Q4"/>
    <mergeCell ref="B10:S10"/>
    <mergeCell ref="B4:B5"/>
    <mergeCell ref="C4:C5"/>
    <mergeCell ref="D4:D5"/>
    <mergeCell ref="E4:E5"/>
    <mergeCell ref="T4:T5"/>
    <mergeCell ref="R4:R5"/>
    <mergeCell ref="S4:S5"/>
    <mergeCell ref="B3:N3"/>
    <mergeCell ref="O3:T3"/>
    <mergeCell ref="J4:J5"/>
  </mergeCells>
  <pageMargins left="0.7" right="0.7" top="0.75" bottom="0.75" header="0.3" footer="0.3"/>
  <pageSetup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AD15"/>
  <sheetViews>
    <sheetView workbookViewId="0">
      <selection activeCell="K22" sqref="K22"/>
    </sheetView>
  </sheetViews>
  <sheetFormatPr baseColWidth="10" defaultRowHeight="15" x14ac:dyDescent="0.25"/>
  <cols>
    <col min="1" max="1" width="5.5703125" customWidth="1"/>
    <col min="2" max="2" width="4.5703125" style="9" customWidth="1"/>
    <col min="3" max="3" width="36.28515625" style="9" customWidth="1"/>
    <col min="4" max="13" width="12.85546875" style="9" customWidth="1"/>
    <col min="14" max="15" width="11.42578125" style="93"/>
    <col min="16" max="16" width="12" style="93" customWidth="1"/>
    <col min="17" max="17" width="13.85546875" style="93" customWidth="1"/>
    <col min="18" max="18" width="14.85546875" style="9" customWidth="1"/>
    <col min="19" max="19" width="14.140625" style="9" customWidth="1"/>
    <col min="20" max="20" width="40.7109375" customWidth="1"/>
    <col min="22" max="22" width="11.42578125" style="9"/>
    <col min="23" max="23" width="16.42578125" style="9" customWidth="1"/>
    <col min="24" max="25" width="11.42578125" style="9"/>
    <col min="26" max="26" width="14.85546875" style="9" customWidth="1"/>
    <col min="27" max="30" width="11.42578125" style="9"/>
  </cols>
  <sheetData>
    <row r="2" spans="2:29" ht="27" customHeight="1" x14ac:dyDescent="0.25"/>
    <row r="3" spans="2:29" x14ac:dyDescent="0.25">
      <c r="B3" s="144" t="s">
        <v>139</v>
      </c>
      <c r="C3" s="145"/>
      <c r="D3" s="145"/>
      <c r="E3" s="145"/>
      <c r="F3" s="145"/>
      <c r="G3" s="145"/>
      <c r="H3" s="145"/>
      <c r="I3" s="145"/>
      <c r="J3" s="145"/>
      <c r="K3" s="145"/>
      <c r="L3" s="145"/>
      <c r="M3" s="146"/>
      <c r="N3" s="151" t="s">
        <v>59</v>
      </c>
      <c r="O3" s="152"/>
      <c r="P3" s="152"/>
      <c r="Q3" s="153"/>
      <c r="R3" s="10"/>
      <c r="S3" s="10"/>
      <c r="T3" s="192" t="s">
        <v>165</v>
      </c>
      <c r="V3" s="157" t="s">
        <v>321</v>
      </c>
      <c r="W3" s="157"/>
      <c r="X3" s="157"/>
      <c r="Y3" s="157"/>
      <c r="Z3" s="157"/>
      <c r="AA3" s="157"/>
      <c r="AB3" s="157"/>
      <c r="AC3" s="157"/>
    </row>
    <row r="4" spans="2:29" ht="15" customHeight="1" x14ac:dyDescent="0.25">
      <c r="B4" s="158" t="s">
        <v>1</v>
      </c>
      <c r="C4" s="149" t="s">
        <v>299</v>
      </c>
      <c r="D4" s="147" t="s">
        <v>300</v>
      </c>
      <c r="E4" s="147" t="s">
        <v>4</v>
      </c>
      <c r="F4" s="147" t="s">
        <v>140</v>
      </c>
      <c r="G4" s="147" t="s">
        <v>106</v>
      </c>
      <c r="H4" s="147" t="s">
        <v>137</v>
      </c>
      <c r="I4" s="147" t="s">
        <v>138</v>
      </c>
      <c r="J4" s="147" t="s">
        <v>12</v>
      </c>
      <c r="K4" s="147" t="s">
        <v>13</v>
      </c>
      <c r="L4" s="147" t="s">
        <v>14</v>
      </c>
      <c r="M4" s="147" t="s">
        <v>15</v>
      </c>
      <c r="N4" s="195" t="s">
        <v>49</v>
      </c>
      <c r="O4" s="196"/>
      <c r="P4" s="196"/>
      <c r="Q4" s="197"/>
      <c r="R4" s="198" t="s">
        <v>51</v>
      </c>
      <c r="S4" s="198" t="s">
        <v>52</v>
      </c>
      <c r="T4" s="192"/>
      <c r="V4" s="147" t="s">
        <v>4</v>
      </c>
      <c r="W4" s="147" t="s">
        <v>140</v>
      </c>
      <c r="X4" s="147" t="s">
        <v>106</v>
      </c>
      <c r="Y4" s="147" t="s">
        <v>137</v>
      </c>
      <c r="Z4" s="147" t="s">
        <v>138</v>
      </c>
      <c r="AA4" s="147" t="s">
        <v>12</v>
      </c>
      <c r="AB4" s="147" t="s">
        <v>13</v>
      </c>
      <c r="AC4" s="147" t="s">
        <v>14</v>
      </c>
    </row>
    <row r="5" spans="2:29" ht="48.75" customHeight="1" x14ac:dyDescent="0.25">
      <c r="B5" s="158"/>
      <c r="C5" s="150"/>
      <c r="D5" s="148"/>
      <c r="E5" s="148"/>
      <c r="F5" s="148"/>
      <c r="G5" s="148"/>
      <c r="H5" s="148"/>
      <c r="I5" s="148"/>
      <c r="J5" s="148"/>
      <c r="K5" s="148"/>
      <c r="L5" s="148"/>
      <c r="M5" s="148"/>
      <c r="N5" s="121" t="s">
        <v>54</v>
      </c>
      <c r="O5" s="122" t="s">
        <v>55</v>
      </c>
      <c r="P5" s="122" t="s">
        <v>56</v>
      </c>
      <c r="Q5" s="122" t="s">
        <v>57</v>
      </c>
      <c r="R5" s="198"/>
      <c r="S5" s="198"/>
      <c r="T5" s="192"/>
      <c r="V5" s="148"/>
      <c r="W5" s="148"/>
      <c r="X5" s="148"/>
      <c r="Y5" s="148"/>
      <c r="Z5" s="148"/>
      <c r="AA5" s="148"/>
      <c r="AB5" s="148"/>
      <c r="AC5" s="148"/>
    </row>
    <row r="6" spans="2:29" ht="140.25" customHeight="1" x14ac:dyDescent="0.25">
      <c r="B6" s="39">
        <v>76</v>
      </c>
      <c r="C6" s="14" t="s">
        <v>132</v>
      </c>
      <c r="D6" s="14" t="s">
        <v>17</v>
      </c>
      <c r="E6" s="14">
        <v>0</v>
      </c>
      <c r="F6" s="14">
        <v>10</v>
      </c>
      <c r="G6" s="14">
        <v>0</v>
      </c>
      <c r="H6" s="14">
        <v>0</v>
      </c>
      <c r="I6" s="14">
        <v>0</v>
      </c>
      <c r="J6" s="14">
        <v>0</v>
      </c>
      <c r="K6" s="14">
        <v>14</v>
      </c>
      <c r="L6" s="14">
        <v>0</v>
      </c>
      <c r="M6" s="38">
        <v>24</v>
      </c>
      <c r="N6" s="28"/>
      <c r="O6" s="28"/>
      <c r="P6" s="28"/>
      <c r="Q6" s="28">
        <v>119527.17</v>
      </c>
      <c r="R6" s="15">
        <f>ROUND(HARMEAN(N6:Q6),0)</f>
        <v>119527</v>
      </c>
      <c r="S6" s="16">
        <f>+R6*M6</f>
        <v>2868648</v>
      </c>
      <c r="T6" s="19"/>
      <c r="V6" s="15">
        <f>+R6*E6</f>
        <v>0</v>
      </c>
      <c r="W6" s="15">
        <f>+R6*F6</f>
        <v>1195270</v>
      </c>
      <c r="X6" s="15">
        <f>+R6*G6</f>
        <v>0</v>
      </c>
      <c r="Y6" s="15">
        <f>+R6*H6</f>
        <v>0</v>
      </c>
      <c r="Z6" s="15">
        <f>+R6*I6</f>
        <v>0</v>
      </c>
      <c r="AA6" s="15">
        <f>+R6*J6</f>
        <v>0</v>
      </c>
      <c r="AB6" s="15">
        <f>+R6*K6</f>
        <v>1673378</v>
      </c>
      <c r="AC6" s="15">
        <f>+R6*L6</f>
        <v>0</v>
      </c>
    </row>
    <row r="7" spans="2:29" ht="130.5" customHeight="1" x14ac:dyDescent="0.25">
      <c r="B7" s="39">
        <f>1+B6</f>
        <v>77</v>
      </c>
      <c r="C7" s="14" t="s">
        <v>133</v>
      </c>
      <c r="D7" s="14" t="s">
        <v>17</v>
      </c>
      <c r="E7" s="14">
        <v>13</v>
      </c>
      <c r="F7" s="14">
        <v>0</v>
      </c>
      <c r="G7" s="14">
        <v>0</v>
      </c>
      <c r="H7" s="14">
        <v>0</v>
      </c>
      <c r="I7" s="14">
        <v>0</v>
      </c>
      <c r="J7" s="14">
        <v>0</v>
      </c>
      <c r="K7" s="14">
        <v>4</v>
      </c>
      <c r="L7" s="14">
        <v>6</v>
      </c>
      <c r="M7" s="38">
        <v>23</v>
      </c>
      <c r="N7" s="28"/>
      <c r="O7" s="28"/>
      <c r="P7" s="28">
        <v>54740</v>
      </c>
      <c r="Q7" s="28">
        <v>117663.62999999999</v>
      </c>
      <c r="R7" s="15">
        <f t="shared" ref="R7:R10" si="0">ROUND(HARMEAN(N7:Q7),0)</f>
        <v>74719</v>
      </c>
      <c r="S7" s="16">
        <f t="shared" ref="S7:S10" si="1">+R7*M7</f>
        <v>1718537</v>
      </c>
      <c r="T7" s="19"/>
      <c r="V7" s="15">
        <f t="shared" ref="V7:V10" si="2">+R7*E7</f>
        <v>971347</v>
      </c>
      <c r="W7" s="15">
        <f t="shared" ref="W7:W10" si="3">+R7*F7</f>
        <v>0</v>
      </c>
      <c r="X7" s="15">
        <f t="shared" ref="X7:X10" si="4">+R7*G7</f>
        <v>0</v>
      </c>
      <c r="Y7" s="15">
        <f t="shared" ref="Y7:Y10" si="5">+R7*H7</f>
        <v>0</v>
      </c>
      <c r="Z7" s="15">
        <f t="shared" ref="Z7:Z10" si="6">+R7*I7</f>
        <v>0</v>
      </c>
      <c r="AA7" s="15">
        <f t="shared" ref="AA7:AA10" si="7">+R7*J7</f>
        <v>0</v>
      </c>
      <c r="AB7" s="15">
        <f t="shared" ref="AB7:AB10" si="8">+R7*K7</f>
        <v>298876</v>
      </c>
      <c r="AC7" s="15">
        <f t="shared" ref="AC7:AC10" si="9">+R7*L7</f>
        <v>448314</v>
      </c>
    </row>
    <row r="8" spans="2:29" ht="130.5" customHeight="1" x14ac:dyDescent="0.25">
      <c r="B8" s="109">
        <f>1+B7</f>
        <v>78</v>
      </c>
      <c r="C8" s="14" t="s">
        <v>134</v>
      </c>
      <c r="D8" s="14" t="s">
        <v>17</v>
      </c>
      <c r="E8" s="14">
        <v>0</v>
      </c>
      <c r="F8" s="14">
        <v>5</v>
      </c>
      <c r="G8" s="14">
        <v>0</v>
      </c>
      <c r="H8" s="14">
        <v>0</v>
      </c>
      <c r="I8" s="14">
        <v>0</v>
      </c>
      <c r="J8" s="14">
        <v>0</v>
      </c>
      <c r="K8" s="14">
        <v>0</v>
      </c>
      <c r="L8" s="14">
        <v>0</v>
      </c>
      <c r="M8" s="38">
        <v>5</v>
      </c>
      <c r="N8" s="28"/>
      <c r="O8" s="28"/>
      <c r="P8" s="28"/>
      <c r="Q8" s="28">
        <v>186020.8</v>
      </c>
      <c r="R8" s="15">
        <f>ROUND(GEOMEAN(N8:Q8),0)</f>
        <v>186021</v>
      </c>
      <c r="S8" s="16">
        <f t="shared" si="1"/>
        <v>930105</v>
      </c>
      <c r="T8" s="19"/>
      <c r="V8" s="15">
        <f t="shared" si="2"/>
        <v>0</v>
      </c>
      <c r="W8" s="15">
        <f t="shared" si="3"/>
        <v>930105</v>
      </c>
      <c r="X8" s="15">
        <f t="shared" si="4"/>
        <v>0</v>
      </c>
      <c r="Y8" s="15">
        <f t="shared" si="5"/>
        <v>0</v>
      </c>
      <c r="Z8" s="15">
        <f t="shared" si="6"/>
        <v>0</v>
      </c>
      <c r="AA8" s="15">
        <f t="shared" si="7"/>
        <v>0</v>
      </c>
      <c r="AB8" s="15">
        <f t="shared" si="8"/>
        <v>0</v>
      </c>
      <c r="AC8" s="15">
        <f t="shared" si="9"/>
        <v>0</v>
      </c>
    </row>
    <row r="9" spans="2:29" ht="130.5" customHeight="1" x14ac:dyDescent="0.25">
      <c r="B9" s="39">
        <f t="shared" ref="B9:B10" si="10">1+B8</f>
        <v>79</v>
      </c>
      <c r="C9" s="14" t="s">
        <v>135</v>
      </c>
      <c r="D9" s="14" t="s">
        <v>17</v>
      </c>
      <c r="E9" s="14">
        <v>0</v>
      </c>
      <c r="F9" s="14">
        <v>0</v>
      </c>
      <c r="G9" s="14">
        <v>4</v>
      </c>
      <c r="H9" s="14">
        <v>0</v>
      </c>
      <c r="I9" s="14">
        <v>0</v>
      </c>
      <c r="J9" s="14">
        <v>0</v>
      </c>
      <c r="K9" s="14">
        <v>0</v>
      </c>
      <c r="L9" s="14">
        <v>5</v>
      </c>
      <c r="M9" s="38">
        <v>9</v>
      </c>
      <c r="N9" s="28"/>
      <c r="O9" s="28">
        <v>52123.189999999995</v>
      </c>
      <c r="P9" s="28"/>
      <c r="Q9" s="28">
        <v>119527.527</v>
      </c>
      <c r="R9" s="15">
        <f t="shared" si="0"/>
        <v>72591</v>
      </c>
      <c r="S9" s="16">
        <f t="shared" si="1"/>
        <v>653319</v>
      </c>
      <c r="T9" s="19"/>
      <c r="V9" s="15">
        <f t="shared" si="2"/>
        <v>0</v>
      </c>
      <c r="W9" s="15">
        <f t="shared" si="3"/>
        <v>0</v>
      </c>
      <c r="X9" s="15">
        <f>+R9*G9</f>
        <v>290364</v>
      </c>
      <c r="Y9" s="15">
        <f t="shared" si="5"/>
        <v>0</v>
      </c>
      <c r="Z9" s="15">
        <f t="shared" si="6"/>
        <v>0</v>
      </c>
      <c r="AA9" s="15">
        <f t="shared" si="7"/>
        <v>0</v>
      </c>
      <c r="AB9" s="15">
        <f t="shared" si="8"/>
        <v>0</v>
      </c>
      <c r="AC9" s="15">
        <f t="shared" si="9"/>
        <v>362955</v>
      </c>
    </row>
    <row r="10" spans="2:29" ht="130.5" customHeight="1" x14ac:dyDescent="0.25">
      <c r="B10" s="39">
        <f t="shared" si="10"/>
        <v>80</v>
      </c>
      <c r="C10" s="14" t="s">
        <v>136</v>
      </c>
      <c r="D10" s="14" t="s">
        <v>17</v>
      </c>
      <c r="E10" s="14">
        <v>0</v>
      </c>
      <c r="F10" s="14">
        <v>0</v>
      </c>
      <c r="G10" s="14">
        <v>0</v>
      </c>
      <c r="H10" s="14">
        <v>0</v>
      </c>
      <c r="I10" s="14">
        <v>6</v>
      </c>
      <c r="J10" s="14">
        <v>20</v>
      </c>
      <c r="K10" s="14">
        <v>20</v>
      </c>
      <c r="L10" s="14">
        <v>0</v>
      </c>
      <c r="M10" s="38">
        <v>46</v>
      </c>
      <c r="N10" s="28"/>
      <c r="O10" s="28">
        <v>60750.689999999995</v>
      </c>
      <c r="P10" s="28"/>
      <c r="Q10" s="28">
        <v>119527.527</v>
      </c>
      <c r="R10" s="15">
        <f t="shared" si="0"/>
        <v>80557</v>
      </c>
      <c r="S10" s="16">
        <f t="shared" si="1"/>
        <v>3705622</v>
      </c>
      <c r="T10" s="19"/>
      <c r="V10" s="15">
        <f t="shared" si="2"/>
        <v>0</v>
      </c>
      <c r="W10" s="15">
        <f t="shared" si="3"/>
        <v>0</v>
      </c>
      <c r="X10" s="15">
        <f t="shared" si="4"/>
        <v>0</v>
      </c>
      <c r="Y10" s="15">
        <f t="shared" si="5"/>
        <v>0</v>
      </c>
      <c r="Z10" s="15">
        <f t="shared" si="6"/>
        <v>483342</v>
      </c>
      <c r="AA10" s="15">
        <f t="shared" si="7"/>
        <v>1611140</v>
      </c>
      <c r="AB10" s="15">
        <f t="shared" si="8"/>
        <v>1611140</v>
      </c>
      <c r="AC10" s="15">
        <f t="shared" si="9"/>
        <v>0</v>
      </c>
    </row>
    <row r="11" spans="2:29" x14ac:dyDescent="0.25">
      <c r="B11" s="157" t="s">
        <v>170</v>
      </c>
      <c r="C11" s="157"/>
      <c r="D11" s="157"/>
      <c r="E11" s="157"/>
      <c r="F11" s="157"/>
      <c r="G11" s="157"/>
      <c r="H11" s="157"/>
      <c r="I11" s="157"/>
      <c r="J11" s="157"/>
      <c r="K11" s="157"/>
      <c r="L11" s="157"/>
      <c r="M11" s="157"/>
      <c r="N11" s="157"/>
      <c r="O11" s="157"/>
      <c r="P11" s="157"/>
      <c r="Q11" s="157"/>
      <c r="R11" s="157"/>
      <c r="S11" s="29">
        <f>SUM(S6:S10)</f>
        <v>9876231</v>
      </c>
      <c r="V11" s="15">
        <f t="shared" ref="V11:AC11" si="11">SUM(V6:V10)</f>
        <v>971347</v>
      </c>
      <c r="W11" s="15">
        <f t="shared" si="11"/>
        <v>2125375</v>
      </c>
      <c r="X11" s="15">
        <f t="shared" si="11"/>
        <v>290364</v>
      </c>
      <c r="Y11" s="15">
        <f t="shared" si="11"/>
        <v>0</v>
      </c>
      <c r="Z11" s="15">
        <f t="shared" si="11"/>
        <v>483342</v>
      </c>
      <c r="AA11" s="15">
        <f t="shared" si="11"/>
        <v>1611140</v>
      </c>
      <c r="AB11" s="15">
        <f t="shared" si="11"/>
        <v>3583394</v>
      </c>
      <c r="AC11" s="15">
        <f t="shared" si="11"/>
        <v>811269</v>
      </c>
    </row>
    <row r="12" spans="2:29" x14ac:dyDescent="0.25">
      <c r="V12" s="199">
        <f>+V11+W11+X11+Y11+Z11+AA11+AB11+AC11</f>
        <v>9876231</v>
      </c>
      <c r="W12" s="200"/>
      <c r="X12" s="200"/>
      <c r="Y12" s="200"/>
      <c r="Z12" s="200"/>
      <c r="AA12" s="200"/>
      <c r="AB12" s="200"/>
      <c r="AC12" s="201"/>
    </row>
    <row r="13" spans="2:29" ht="120" customHeight="1" x14ac:dyDescent="0.25">
      <c r="C13" s="103" t="s">
        <v>302</v>
      </c>
      <c r="D13" s="154" t="s">
        <v>345</v>
      </c>
      <c r="E13" s="154"/>
      <c r="F13" s="154"/>
      <c r="G13" s="154"/>
      <c r="H13" s="154"/>
      <c r="I13" s="154"/>
      <c r="J13" s="154"/>
      <c r="K13" s="154"/>
      <c r="L13" s="154"/>
      <c r="M13" s="154"/>
    </row>
    <row r="14" spans="2:29" x14ac:dyDescent="0.25">
      <c r="C14" s="104" t="s">
        <v>303</v>
      </c>
      <c r="D14" s="159" t="s">
        <v>305</v>
      </c>
      <c r="E14" s="159"/>
      <c r="F14" s="159"/>
      <c r="G14" s="159"/>
      <c r="H14" s="159"/>
      <c r="I14" s="159"/>
      <c r="J14" s="159"/>
      <c r="K14" s="159"/>
      <c r="L14" s="159"/>
      <c r="M14" s="159"/>
    </row>
    <row r="15" spans="2:29" x14ac:dyDescent="0.25">
      <c r="C15" s="105" t="s">
        <v>304</v>
      </c>
      <c r="D15" s="159" t="s">
        <v>305</v>
      </c>
      <c r="E15" s="159"/>
      <c r="F15" s="159"/>
      <c r="G15" s="159"/>
      <c r="H15" s="159"/>
      <c r="I15" s="159"/>
      <c r="J15" s="159"/>
      <c r="K15" s="159"/>
      <c r="L15" s="159"/>
      <c r="M15" s="159"/>
    </row>
  </sheetData>
  <mergeCells count="32">
    <mergeCell ref="AA4:AA5"/>
    <mergeCell ref="AB4:AB5"/>
    <mergeCell ref="AC4:AC5"/>
    <mergeCell ref="V12:AC12"/>
    <mergeCell ref="V3:AC3"/>
    <mergeCell ref="V4:V5"/>
    <mergeCell ref="W4:W5"/>
    <mergeCell ref="X4:X5"/>
    <mergeCell ref="Y4:Y5"/>
    <mergeCell ref="Z4:Z5"/>
    <mergeCell ref="D13:M13"/>
    <mergeCell ref="D14:M14"/>
    <mergeCell ref="D15:M15"/>
    <mergeCell ref="C4:C5"/>
    <mergeCell ref="D4:D5"/>
    <mergeCell ref="E4:E5"/>
    <mergeCell ref="B3:M3"/>
    <mergeCell ref="N3:Q3"/>
    <mergeCell ref="N4:Q4"/>
    <mergeCell ref="B11:R11"/>
    <mergeCell ref="T3:T5"/>
    <mergeCell ref="S4:S5"/>
    <mergeCell ref="R4:R5"/>
    <mergeCell ref="I4:I5"/>
    <mergeCell ref="J4:J5"/>
    <mergeCell ref="K4:K5"/>
    <mergeCell ref="L4:L5"/>
    <mergeCell ref="M4:M5"/>
    <mergeCell ref="F4:F5"/>
    <mergeCell ref="G4:G5"/>
    <mergeCell ref="H4:H5"/>
    <mergeCell ref="B4:B5"/>
  </mergeCells>
  <pageMargins left="0.7" right="0.7" top="0.75" bottom="0.75" header="0.3" footer="0.3"/>
  <pageSetup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0"/>
  <sheetViews>
    <sheetView workbookViewId="0">
      <selection activeCell="G13" sqref="G13"/>
    </sheetView>
  </sheetViews>
  <sheetFormatPr baseColWidth="10" defaultRowHeight="15" x14ac:dyDescent="0.25"/>
  <cols>
    <col min="1" max="1" width="7.28515625" customWidth="1"/>
    <col min="2" max="2" width="4.7109375" bestFit="1" customWidth="1"/>
    <col min="3" max="3" width="38.5703125" customWidth="1"/>
    <col min="4" max="5" width="9.5703125" customWidth="1"/>
    <col min="6" max="6" width="12.42578125" customWidth="1"/>
    <col min="7" max="8" width="9.5703125" customWidth="1"/>
    <col min="9" max="10" width="11.42578125" style="77"/>
    <col min="11" max="12" width="14.140625" style="77" customWidth="1"/>
    <col min="15" max="15" width="45" customWidth="1"/>
    <col min="17" max="17" width="17.28515625" style="9" customWidth="1"/>
    <col min="18" max="19" width="15.5703125" style="9" customWidth="1"/>
    <col min="20" max="20" width="13.5703125" customWidth="1"/>
  </cols>
  <sheetData>
    <row r="2" spans="2:19" x14ac:dyDescent="0.25">
      <c r="B2" s="157" t="s">
        <v>142</v>
      </c>
      <c r="C2" s="157"/>
      <c r="D2" s="157"/>
      <c r="E2" s="157"/>
      <c r="F2" s="157"/>
      <c r="G2" s="157"/>
      <c r="H2" s="157"/>
      <c r="I2" s="157" t="s">
        <v>59</v>
      </c>
      <c r="J2" s="157"/>
      <c r="K2" s="157"/>
      <c r="L2" s="157"/>
      <c r="M2" s="157"/>
      <c r="N2" s="157"/>
      <c r="O2" s="192" t="s">
        <v>165</v>
      </c>
      <c r="Q2" s="157" t="s">
        <v>320</v>
      </c>
      <c r="R2" s="159"/>
      <c r="S2" s="159"/>
    </row>
    <row r="3" spans="2:19" ht="15.75" customHeight="1" x14ac:dyDescent="0.25">
      <c r="B3" s="158" t="s">
        <v>1</v>
      </c>
      <c r="C3" s="149" t="s">
        <v>299</v>
      </c>
      <c r="D3" s="147" t="s">
        <v>300</v>
      </c>
      <c r="E3" s="147" t="s">
        <v>4</v>
      </c>
      <c r="F3" s="147" t="s">
        <v>11</v>
      </c>
      <c r="G3" s="147" t="s">
        <v>13</v>
      </c>
      <c r="H3" s="147" t="s">
        <v>15</v>
      </c>
      <c r="I3" s="141" t="s">
        <v>49</v>
      </c>
      <c r="J3" s="142"/>
      <c r="K3" s="142"/>
      <c r="L3" s="143"/>
      <c r="M3" s="158" t="s">
        <v>51</v>
      </c>
      <c r="N3" s="158" t="s">
        <v>52</v>
      </c>
      <c r="O3" s="192"/>
      <c r="Q3" s="147" t="s">
        <v>4</v>
      </c>
      <c r="R3" s="147" t="s">
        <v>11</v>
      </c>
      <c r="S3" s="147" t="s">
        <v>13</v>
      </c>
    </row>
    <row r="4" spans="2:19" x14ac:dyDescent="0.25">
      <c r="B4" s="158"/>
      <c r="C4" s="150"/>
      <c r="D4" s="148"/>
      <c r="E4" s="148"/>
      <c r="F4" s="148"/>
      <c r="G4" s="148"/>
      <c r="H4" s="148"/>
      <c r="I4" s="118" t="s">
        <v>54</v>
      </c>
      <c r="J4" s="116" t="s">
        <v>55</v>
      </c>
      <c r="K4" s="116" t="s">
        <v>56</v>
      </c>
      <c r="L4" s="116" t="s">
        <v>57</v>
      </c>
      <c r="M4" s="158"/>
      <c r="N4" s="158"/>
      <c r="O4" s="192"/>
      <c r="Q4" s="148"/>
      <c r="R4" s="148"/>
      <c r="S4" s="148"/>
    </row>
    <row r="5" spans="2:19" ht="120" customHeight="1" x14ac:dyDescent="0.25">
      <c r="B5" s="8">
        <v>81</v>
      </c>
      <c r="C5" s="14" t="s">
        <v>141</v>
      </c>
      <c r="D5" s="14" t="s">
        <v>17</v>
      </c>
      <c r="E5" s="14">
        <v>2</v>
      </c>
      <c r="F5" s="14">
        <v>6</v>
      </c>
      <c r="G5" s="14">
        <v>6</v>
      </c>
      <c r="H5" s="20">
        <v>14</v>
      </c>
      <c r="I5" s="48">
        <v>4910535</v>
      </c>
      <c r="J5" s="48">
        <v>2472820</v>
      </c>
      <c r="K5" s="48"/>
      <c r="L5" s="48">
        <v>3424332.0999999996</v>
      </c>
      <c r="M5" s="12">
        <f>ROUND(HARMEAN(I5:L5),0)</f>
        <v>3333081</v>
      </c>
      <c r="N5" s="13">
        <f>+M5*H5</f>
        <v>46663134</v>
      </c>
      <c r="O5" s="19"/>
      <c r="Q5" s="12">
        <f>+M5*E5</f>
        <v>6666162</v>
      </c>
      <c r="R5" s="12">
        <f>+M5*F5</f>
        <v>19998486</v>
      </c>
      <c r="S5" s="12">
        <f>+M5*G5</f>
        <v>19998486</v>
      </c>
    </row>
    <row r="6" spans="2:19" x14ac:dyDescent="0.25">
      <c r="B6" s="157" t="s">
        <v>171</v>
      </c>
      <c r="C6" s="157"/>
      <c r="D6" s="157"/>
      <c r="E6" s="157"/>
      <c r="F6" s="157"/>
      <c r="G6" s="157"/>
      <c r="H6" s="157"/>
      <c r="I6" s="157"/>
      <c r="J6" s="157"/>
      <c r="K6" s="157"/>
      <c r="L6" s="157"/>
      <c r="M6" s="157"/>
      <c r="N6" s="29">
        <f>SUM(N5)</f>
        <v>46663134</v>
      </c>
      <c r="Q6" s="156">
        <f>+Q5+R5+S5</f>
        <v>46663134</v>
      </c>
      <c r="R6" s="157"/>
      <c r="S6" s="157"/>
    </row>
    <row r="8" spans="2:19" ht="129" customHeight="1" x14ac:dyDescent="0.25">
      <c r="C8" s="103" t="s">
        <v>302</v>
      </c>
      <c r="D8" s="154" t="s">
        <v>345</v>
      </c>
      <c r="E8" s="154"/>
      <c r="F8" s="154"/>
      <c r="G8" s="154"/>
      <c r="H8" s="154"/>
      <c r="J8" s="119"/>
    </row>
    <row r="9" spans="2:19" x14ac:dyDescent="0.25">
      <c r="C9" s="104" t="s">
        <v>303</v>
      </c>
      <c r="D9" s="159" t="s">
        <v>305</v>
      </c>
      <c r="E9" s="159"/>
      <c r="F9" s="159"/>
      <c r="G9" s="159"/>
      <c r="H9" s="159"/>
      <c r="K9" s="119"/>
    </row>
    <row r="10" spans="2:19" x14ac:dyDescent="0.25">
      <c r="C10" s="105" t="s">
        <v>304</v>
      </c>
      <c r="D10" s="159" t="s">
        <v>305</v>
      </c>
      <c r="E10" s="159"/>
      <c r="F10" s="159"/>
      <c r="G10" s="159"/>
      <c r="H10" s="159"/>
    </row>
  </sheetData>
  <mergeCells count="22">
    <mergeCell ref="Q2:S2"/>
    <mergeCell ref="I3:L3"/>
    <mergeCell ref="Q3:Q4"/>
    <mergeCell ref="R3:R4"/>
    <mergeCell ref="S3:S4"/>
    <mergeCell ref="O2:O4"/>
    <mergeCell ref="N3:N4"/>
    <mergeCell ref="M3:M4"/>
    <mergeCell ref="I2:N2"/>
    <mergeCell ref="Q6:S6"/>
    <mergeCell ref="B6:M6"/>
    <mergeCell ref="D8:H8"/>
    <mergeCell ref="D9:H9"/>
    <mergeCell ref="D10:H10"/>
    <mergeCell ref="B3:B4"/>
    <mergeCell ref="C3:C4"/>
    <mergeCell ref="D3:D4"/>
    <mergeCell ref="E3:E4"/>
    <mergeCell ref="B2:H2"/>
    <mergeCell ref="F3:F4"/>
    <mergeCell ref="G3:G4"/>
    <mergeCell ref="H3:H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3:S11"/>
  <sheetViews>
    <sheetView workbookViewId="0">
      <selection activeCell="K9" sqref="K9"/>
    </sheetView>
  </sheetViews>
  <sheetFormatPr baseColWidth="10" defaultRowHeight="15" x14ac:dyDescent="0.25"/>
  <cols>
    <col min="1" max="1" width="6.5703125" customWidth="1"/>
    <col min="2" max="2" width="3.7109375" style="9" customWidth="1"/>
    <col min="3" max="3" width="31.28515625" style="9" customWidth="1"/>
    <col min="4" max="8" width="14.140625" style="9" customWidth="1"/>
    <col min="9" max="9" width="11.42578125" style="93" customWidth="1"/>
    <col min="10" max="11" width="12.28515625" style="93" customWidth="1"/>
    <col min="12" max="12" width="13.7109375" style="93" customWidth="1"/>
    <col min="13" max="13" width="14.5703125" style="9" customWidth="1"/>
    <col min="14" max="14" width="15.28515625" style="9" customWidth="1"/>
    <col min="15" max="15" width="39" style="9" customWidth="1"/>
    <col min="17" max="17" width="16.85546875" style="9" customWidth="1"/>
    <col min="18" max="19" width="14.5703125" style="9" customWidth="1"/>
    <col min="20" max="20" width="14.5703125" customWidth="1"/>
  </cols>
  <sheetData>
    <row r="3" spans="2:19" x14ac:dyDescent="0.25">
      <c r="B3" s="144" t="s">
        <v>145</v>
      </c>
      <c r="C3" s="145"/>
      <c r="D3" s="145"/>
      <c r="E3" s="145"/>
      <c r="F3" s="145"/>
      <c r="G3" s="145"/>
      <c r="H3" s="146"/>
      <c r="I3" s="151" t="s">
        <v>144</v>
      </c>
      <c r="J3" s="152"/>
      <c r="K3" s="153"/>
      <c r="L3" s="123"/>
      <c r="M3" s="10"/>
      <c r="N3" s="10"/>
      <c r="O3" s="170" t="s">
        <v>165</v>
      </c>
      <c r="Q3" s="157" t="s">
        <v>319</v>
      </c>
      <c r="R3" s="157"/>
      <c r="S3" s="157"/>
    </row>
    <row r="4" spans="2:19" ht="15" customHeight="1" x14ac:dyDescent="0.25">
      <c r="B4" s="202" t="s">
        <v>87</v>
      </c>
      <c r="C4" s="149" t="s">
        <v>299</v>
      </c>
      <c r="D4" s="147" t="s">
        <v>300</v>
      </c>
      <c r="E4" s="147" t="s">
        <v>105</v>
      </c>
      <c r="F4" s="147" t="s">
        <v>107</v>
      </c>
      <c r="G4" s="147" t="s">
        <v>13</v>
      </c>
      <c r="H4" s="147" t="s">
        <v>15</v>
      </c>
      <c r="I4" s="141" t="s">
        <v>49</v>
      </c>
      <c r="J4" s="142"/>
      <c r="K4" s="143"/>
      <c r="L4" s="163" t="s">
        <v>50</v>
      </c>
      <c r="M4" s="158" t="s">
        <v>51</v>
      </c>
      <c r="N4" s="158" t="s">
        <v>52</v>
      </c>
      <c r="O4" s="170"/>
      <c r="Q4" s="147" t="s">
        <v>105</v>
      </c>
      <c r="R4" s="147" t="s">
        <v>107</v>
      </c>
      <c r="S4" s="147" t="s">
        <v>13</v>
      </c>
    </row>
    <row r="5" spans="2:19" x14ac:dyDescent="0.25">
      <c r="B5" s="203"/>
      <c r="C5" s="150"/>
      <c r="D5" s="148"/>
      <c r="E5" s="148"/>
      <c r="F5" s="148"/>
      <c r="G5" s="148"/>
      <c r="H5" s="148"/>
      <c r="I5" s="118" t="s">
        <v>54</v>
      </c>
      <c r="J5" s="116" t="s">
        <v>56</v>
      </c>
      <c r="K5" s="116" t="s">
        <v>57</v>
      </c>
      <c r="L5" s="163"/>
      <c r="M5" s="158"/>
      <c r="N5" s="158"/>
      <c r="O5" s="170"/>
      <c r="Q5" s="148"/>
      <c r="R5" s="148"/>
      <c r="S5" s="148"/>
    </row>
    <row r="6" spans="2:19" ht="132.75" customHeight="1" x14ac:dyDescent="0.25">
      <c r="B6" s="14">
        <v>82</v>
      </c>
      <c r="C6" s="14" t="s">
        <v>143</v>
      </c>
      <c r="D6" s="14" t="s">
        <v>17</v>
      </c>
      <c r="E6" s="14">
        <v>10</v>
      </c>
      <c r="F6" s="14">
        <v>2</v>
      </c>
      <c r="G6" s="14">
        <v>4</v>
      </c>
      <c r="H6" s="20">
        <v>16</v>
      </c>
      <c r="I6" s="48"/>
      <c r="J6" s="48">
        <v>22372</v>
      </c>
      <c r="K6" s="48">
        <v>45398.5</v>
      </c>
      <c r="L6" s="48">
        <f>(29250)*(1+(13.12/100))</f>
        <v>33087.599999999999</v>
      </c>
      <c r="M6" s="12">
        <f>ROUND(HARMEAN(I6:L6),0)</f>
        <v>30944</v>
      </c>
      <c r="N6" s="13">
        <f>+M6*H6</f>
        <v>495104</v>
      </c>
      <c r="O6" s="26"/>
      <c r="Q6" s="12">
        <f>+M6*E6</f>
        <v>309440</v>
      </c>
      <c r="R6" s="12">
        <f>+M6*F6</f>
        <v>61888</v>
      </c>
      <c r="S6" s="12">
        <f>+M6*G6</f>
        <v>123776</v>
      </c>
    </row>
    <row r="7" spans="2:19" x14ac:dyDescent="0.25">
      <c r="B7" s="157" t="s">
        <v>172</v>
      </c>
      <c r="C7" s="157"/>
      <c r="D7" s="157"/>
      <c r="E7" s="157"/>
      <c r="F7" s="157"/>
      <c r="G7" s="157"/>
      <c r="H7" s="157"/>
      <c r="I7" s="157"/>
      <c r="J7" s="157"/>
      <c r="K7" s="157"/>
      <c r="L7" s="157"/>
      <c r="M7" s="157"/>
      <c r="N7" s="29">
        <f>SUM(N6)</f>
        <v>495104</v>
      </c>
      <c r="Q7" s="156">
        <f>+Q6+R6+S6</f>
        <v>495104</v>
      </c>
      <c r="R7" s="157"/>
      <c r="S7" s="157"/>
    </row>
    <row r="9" spans="2:19" ht="120.75" customHeight="1" x14ac:dyDescent="0.25">
      <c r="C9" s="103" t="s">
        <v>302</v>
      </c>
      <c r="D9" s="154" t="s">
        <v>345</v>
      </c>
      <c r="E9" s="155"/>
      <c r="F9" s="155"/>
    </row>
    <row r="10" spans="2:19" x14ac:dyDescent="0.25">
      <c r="C10" s="104" t="s">
        <v>303</v>
      </c>
      <c r="D10" s="159" t="s">
        <v>305</v>
      </c>
      <c r="E10" s="159"/>
      <c r="F10" s="159"/>
    </row>
    <row r="11" spans="2:19" x14ac:dyDescent="0.25">
      <c r="C11" s="105" t="s">
        <v>304</v>
      </c>
      <c r="D11" s="159" t="s">
        <v>305</v>
      </c>
      <c r="E11" s="159"/>
      <c r="F11" s="159"/>
    </row>
  </sheetData>
  <mergeCells count="23">
    <mergeCell ref="Q4:Q5"/>
    <mergeCell ref="R4:R5"/>
    <mergeCell ref="S4:S5"/>
    <mergeCell ref="Q7:S7"/>
    <mergeCell ref="Q3:S3"/>
    <mergeCell ref="N4:N5"/>
    <mergeCell ref="L4:L5"/>
    <mergeCell ref="M4:M5"/>
    <mergeCell ref="H4:H5"/>
    <mergeCell ref="O3:O5"/>
    <mergeCell ref="D9:F9"/>
    <mergeCell ref="D10:F10"/>
    <mergeCell ref="D11:F11"/>
    <mergeCell ref="B7:M7"/>
    <mergeCell ref="B3:H3"/>
    <mergeCell ref="I4:K4"/>
    <mergeCell ref="I3:K3"/>
    <mergeCell ref="B4:B5"/>
    <mergeCell ref="C4:C5"/>
    <mergeCell ref="D4:D5"/>
    <mergeCell ref="E4:E5"/>
    <mergeCell ref="F4:F5"/>
    <mergeCell ref="G4:G5"/>
  </mergeCells>
  <pageMargins left="0.7" right="0.7" top="0.75" bottom="0.75" header="0.3" footer="0.3"/>
  <pageSetup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T11"/>
  <sheetViews>
    <sheetView workbookViewId="0">
      <selection activeCell="H9" sqref="H9"/>
    </sheetView>
  </sheetViews>
  <sheetFormatPr baseColWidth="10" defaultRowHeight="15" x14ac:dyDescent="0.25"/>
  <cols>
    <col min="2" max="2" width="4.5703125" style="9" bestFit="1" customWidth="1"/>
    <col min="3" max="3" width="25" style="9" customWidth="1"/>
    <col min="4" max="4" width="12.42578125" style="9" customWidth="1"/>
    <col min="5" max="5" width="11.140625" style="9" customWidth="1"/>
    <col min="6" max="6" width="13.5703125" style="9" customWidth="1"/>
    <col min="7" max="7" width="13.42578125" style="9" customWidth="1"/>
    <col min="8" max="8" width="13.28515625" style="9" customWidth="1"/>
    <col min="9" max="10" width="11.140625" style="9" customWidth="1"/>
    <col min="11" max="11" width="17" style="9" customWidth="1"/>
    <col min="12" max="12" width="14.42578125" style="9" customWidth="1"/>
    <col min="13" max="13" width="15.5703125" style="9" customWidth="1"/>
    <col min="14" max="14" width="47.140625" style="9" customWidth="1"/>
    <col min="16" max="20" width="11.42578125" style="9"/>
  </cols>
  <sheetData>
    <row r="3" spans="2:20" ht="23.25" x14ac:dyDescent="0.25">
      <c r="B3" s="144" t="s">
        <v>148</v>
      </c>
      <c r="C3" s="145"/>
      <c r="D3" s="145"/>
      <c r="E3" s="145"/>
      <c r="F3" s="145"/>
      <c r="G3" s="145"/>
      <c r="H3" s="145"/>
      <c r="I3" s="145"/>
      <c r="J3" s="146"/>
      <c r="K3" s="53" t="s">
        <v>59</v>
      </c>
      <c r="L3" s="164" t="s">
        <v>51</v>
      </c>
      <c r="M3" s="147" t="s">
        <v>52</v>
      </c>
      <c r="N3" s="170" t="s">
        <v>165</v>
      </c>
      <c r="P3" s="170" t="s">
        <v>322</v>
      </c>
      <c r="Q3" s="170"/>
      <c r="R3" s="170"/>
      <c r="S3" s="170"/>
      <c r="T3" s="170"/>
    </row>
    <row r="4" spans="2:20" ht="36.75" customHeight="1" x14ac:dyDescent="0.25">
      <c r="B4" s="155" t="s">
        <v>1</v>
      </c>
      <c r="C4" s="149" t="s">
        <v>299</v>
      </c>
      <c r="D4" s="147" t="s">
        <v>300</v>
      </c>
      <c r="E4" s="147" t="s">
        <v>4</v>
      </c>
      <c r="F4" s="147" t="s">
        <v>5</v>
      </c>
      <c r="G4" s="147" t="s">
        <v>8</v>
      </c>
      <c r="H4" s="147" t="s">
        <v>11</v>
      </c>
      <c r="I4" s="147" t="s">
        <v>14</v>
      </c>
      <c r="J4" s="147" t="s">
        <v>15</v>
      </c>
      <c r="K4" s="33" t="s">
        <v>49</v>
      </c>
      <c r="L4" s="164"/>
      <c r="M4" s="204"/>
      <c r="N4" s="170"/>
      <c r="P4" s="147" t="s">
        <v>4</v>
      </c>
      <c r="Q4" s="147" t="s">
        <v>5</v>
      </c>
      <c r="R4" s="147" t="s">
        <v>8</v>
      </c>
      <c r="S4" s="147" t="s">
        <v>11</v>
      </c>
      <c r="T4" s="147" t="s">
        <v>14</v>
      </c>
    </row>
    <row r="5" spans="2:20" ht="75.75" customHeight="1" x14ac:dyDescent="0.25">
      <c r="B5" s="155"/>
      <c r="C5" s="150"/>
      <c r="D5" s="148"/>
      <c r="E5" s="148"/>
      <c r="F5" s="148"/>
      <c r="G5" s="148"/>
      <c r="H5" s="148"/>
      <c r="I5" s="148"/>
      <c r="J5" s="148"/>
      <c r="K5" s="34" t="s">
        <v>149</v>
      </c>
      <c r="L5" s="164"/>
      <c r="M5" s="148"/>
      <c r="N5" s="170"/>
      <c r="P5" s="148"/>
      <c r="Q5" s="148"/>
      <c r="R5" s="148"/>
      <c r="S5" s="148"/>
      <c r="T5" s="148"/>
    </row>
    <row r="6" spans="2:20" ht="136.5" customHeight="1" x14ac:dyDescent="0.25">
      <c r="B6" s="8">
        <v>83</v>
      </c>
      <c r="C6" s="35" t="s">
        <v>146</v>
      </c>
      <c r="D6" s="35" t="s">
        <v>147</v>
      </c>
      <c r="E6" s="35">
        <v>2</v>
      </c>
      <c r="F6" s="35">
        <v>3</v>
      </c>
      <c r="G6" s="35">
        <v>2</v>
      </c>
      <c r="H6" s="35">
        <v>2</v>
      </c>
      <c r="I6" s="35">
        <v>2</v>
      </c>
      <c r="J6" s="21">
        <v>11</v>
      </c>
      <c r="K6" s="17">
        <f>2740000*1.19</f>
        <v>3260600</v>
      </c>
      <c r="L6" s="17">
        <f>ROUND(GEOMEAN(K6),0)</f>
        <v>3260600</v>
      </c>
      <c r="M6" s="18">
        <f>+L6*J6</f>
        <v>35866600</v>
      </c>
      <c r="N6" s="26"/>
      <c r="P6" s="17">
        <f>+L6*E6</f>
        <v>6521200</v>
      </c>
      <c r="Q6" s="17">
        <f>+L6*F6</f>
        <v>9781800</v>
      </c>
      <c r="R6" s="17">
        <f>+L6*G6</f>
        <v>6521200</v>
      </c>
      <c r="S6" s="17">
        <f>+L6*H6</f>
        <v>6521200</v>
      </c>
      <c r="T6" s="17">
        <f>+L6*I6</f>
        <v>6521200</v>
      </c>
    </row>
    <row r="7" spans="2:20" x14ac:dyDescent="0.25">
      <c r="B7" s="157" t="s">
        <v>282</v>
      </c>
      <c r="C7" s="157"/>
      <c r="D7" s="157"/>
      <c r="E7" s="157"/>
      <c r="F7" s="157"/>
      <c r="G7" s="157"/>
      <c r="H7" s="157"/>
      <c r="I7" s="157"/>
      <c r="J7" s="157"/>
      <c r="K7" s="157"/>
      <c r="L7" s="157"/>
      <c r="M7" s="23">
        <f>SUM(M6)</f>
        <v>35866600</v>
      </c>
      <c r="P7" s="156">
        <f>+P6+Q6+R6+S6+T6</f>
        <v>35866600</v>
      </c>
      <c r="Q7" s="157"/>
      <c r="R7" s="157"/>
      <c r="S7" s="157"/>
      <c r="T7" s="157"/>
    </row>
    <row r="9" spans="2:20" ht="124.5" customHeight="1" x14ac:dyDescent="0.25">
      <c r="C9" s="103" t="s">
        <v>302</v>
      </c>
      <c r="D9" s="154" t="s">
        <v>345</v>
      </c>
      <c r="E9" s="155"/>
      <c r="F9" s="155"/>
    </row>
    <row r="10" spans="2:20" x14ac:dyDescent="0.25">
      <c r="C10" s="104" t="s">
        <v>303</v>
      </c>
      <c r="D10" s="159" t="s">
        <v>305</v>
      </c>
      <c r="E10" s="159"/>
      <c r="F10" s="159"/>
    </row>
    <row r="11" spans="2:20" ht="23.25" x14ac:dyDescent="0.25">
      <c r="C11" s="105" t="s">
        <v>304</v>
      </c>
      <c r="D11" s="159" t="s">
        <v>305</v>
      </c>
      <c r="E11" s="159"/>
      <c r="F11" s="159"/>
    </row>
  </sheetData>
  <mergeCells count="24">
    <mergeCell ref="P7:T7"/>
    <mergeCell ref="P3:T3"/>
    <mergeCell ref="P4:P5"/>
    <mergeCell ref="Q4:Q5"/>
    <mergeCell ref="R4:R5"/>
    <mergeCell ref="S4:S5"/>
    <mergeCell ref="T4:T5"/>
    <mergeCell ref="N3:N5"/>
    <mergeCell ref="L3:L5"/>
    <mergeCell ref="M3:M5"/>
    <mergeCell ref="B3:J3"/>
    <mergeCell ref="J4:J5"/>
    <mergeCell ref="B4:B5"/>
    <mergeCell ref="G4:G5"/>
    <mergeCell ref="H4:H5"/>
    <mergeCell ref="C4:C5"/>
    <mergeCell ref="D4:D5"/>
    <mergeCell ref="E4:E5"/>
    <mergeCell ref="D9:F9"/>
    <mergeCell ref="D10:F10"/>
    <mergeCell ref="D11:F11"/>
    <mergeCell ref="B7:L7"/>
    <mergeCell ref="F4:F5"/>
    <mergeCell ref="I4:I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B2:Z9"/>
  <sheetViews>
    <sheetView workbookViewId="0">
      <selection activeCell="G17" sqref="G17"/>
    </sheetView>
  </sheetViews>
  <sheetFormatPr baseColWidth="10" defaultRowHeight="15" x14ac:dyDescent="0.25"/>
  <cols>
    <col min="1" max="1" width="7.5703125" customWidth="1"/>
    <col min="2" max="2" width="8.5703125" style="9" customWidth="1"/>
    <col min="3" max="3" width="22.85546875" style="9" customWidth="1"/>
    <col min="4" max="4" width="15.140625" style="9" customWidth="1"/>
    <col min="5" max="7" width="9.5703125" style="9" customWidth="1"/>
    <col min="8" max="8" width="11.140625" style="9" customWidth="1"/>
    <col min="9" max="11" width="9.5703125" style="9" customWidth="1"/>
    <col min="12" max="12" width="11.42578125" style="9"/>
    <col min="13" max="13" width="14.42578125" style="93" customWidth="1"/>
    <col min="14" max="14" width="12.140625" style="93" customWidth="1"/>
    <col min="15" max="15" width="15.7109375" style="93" customWidth="1"/>
    <col min="16" max="16" width="17.85546875" style="9" customWidth="1"/>
    <col min="17" max="17" width="15" style="9" customWidth="1"/>
    <col min="18" max="18" width="39" style="9" customWidth="1"/>
    <col min="20" max="26" width="11.42578125" style="9"/>
  </cols>
  <sheetData>
    <row r="2" spans="2:26" ht="15" customHeight="1" x14ac:dyDescent="0.25">
      <c r="B2" s="157" t="s">
        <v>283</v>
      </c>
      <c r="C2" s="157"/>
      <c r="D2" s="157"/>
      <c r="E2" s="157"/>
      <c r="F2" s="157"/>
      <c r="G2" s="157"/>
      <c r="H2" s="157"/>
      <c r="I2" s="157"/>
      <c r="J2" s="157"/>
      <c r="K2" s="157"/>
      <c r="L2" s="157"/>
      <c r="M2" s="209" t="s">
        <v>144</v>
      </c>
      <c r="N2" s="209"/>
      <c r="O2" s="209"/>
      <c r="P2" s="208" t="s">
        <v>51</v>
      </c>
      <c r="Q2" s="208" t="s">
        <v>160</v>
      </c>
      <c r="R2" s="170" t="s">
        <v>279</v>
      </c>
      <c r="T2" s="157" t="s">
        <v>325</v>
      </c>
      <c r="U2" s="157"/>
      <c r="V2" s="157"/>
      <c r="W2" s="157"/>
      <c r="X2" s="157"/>
      <c r="Y2" s="157"/>
      <c r="Z2" s="157"/>
    </row>
    <row r="3" spans="2:26" ht="91.5" customHeight="1" x14ac:dyDescent="0.25">
      <c r="B3" s="42" t="s">
        <v>87</v>
      </c>
      <c r="C3" s="43" t="s">
        <v>299</v>
      </c>
      <c r="D3" s="43" t="s">
        <v>300</v>
      </c>
      <c r="E3" s="40" t="s">
        <v>150</v>
      </c>
      <c r="F3" s="40" t="s">
        <v>151</v>
      </c>
      <c r="G3" s="40" t="s">
        <v>152</v>
      </c>
      <c r="H3" s="40" t="s">
        <v>153</v>
      </c>
      <c r="I3" s="40" t="s">
        <v>154</v>
      </c>
      <c r="J3" s="40" t="s">
        <v>155</v>
      </c>
      <c r="K3" s="40" t="s">
        <v>156</v>
      </c>
      <c r="L3" s="41" t="s">
        <v>339</v>
      </c>
      <c r="M3" s="133" t="s">
        <v>157</v>
      </c>
      <c r="N3" s="133" t="s">
        <v>158</v>
      </c>
      <c r="O3" s="133" t="s">
        <v>159</v>
      </c>
      <c r="P3" s="208"/>
      <c r="Q3" s="208"/>
      <c r="R3" s="170"/>
      <c r="T3" s="40" t="s">
        <v>150</v>
      </c>
      <c r="U3" s="40" t="s">
        <v>151</v>
      </c>
      <c r="V3" s="40" t="s">
        <v>152</v>
      </c>
      <c r="W3" s="40" t="s">
        <v>153</v>
      </c>
      <c r="X3" s="40" t="s">
        <v>154</v>
      </c>
      <c r="Y3" s="40" t="s">
        <v>155</v>
      </c>
      <c r="Z3" s="40" t="s">
        <v>156</v>
      </c>
    </row>
    <row r="4" spans="2:26" ht="117.75" customHeight="1" x14ac:dyDescent="0.25">
      <c r="B4" s="115">
        <v>84</v>
      </c>
      <c r="C4" s="14" t="s">
        <v>364</v>
      </c>
      <c r="D4" s="14" t="s">
        <v>280</v>
      </c>
      <c r="E4" s="36">
        <v>60</v>
      </c>
      <c r="F4" s="36">
        <v>15</v>
      </c>
      <c r="G4" s="36">
        <v>67</v>
      </c>
      <c r="H4" s="36">
        <v>265</v>
      </c>
      <c r="I4" s="36">
        <v>48</v>
      </c>
      <c r="J4" s="36">
        <v>15</v>
      </c>
      <c r="K4" s="46">
        <v>40</v>
      </c>
      <c r="L4" s="45">
        <f>SUM(E4:K4)</f>
        <v>510</v>
      </c>
      <c r="M4" s="134">
        <v>41700</v>
      </c>
      <c r="N4" s="135">
        <f>48500*1.19</f>
        <v>57715</v>
      </c>
      <c r="O4" s="134">
        <v>78469</v>
      </c>
      <c r="P4" s="37">
        <f>ROUND(HARMEAN(M4:O4),0)</f>
        <v>55503</v>
      </c>
      <c r="Q4" s="37">
        <f>+P4*L4</f>
        <v>28306530</v>
      </c>
      <c r="R4" s="26"/>
      <c r="T4" s="37">
        <f>+P4*E4</f>
        <v>3330180</v>
      </c>
      <c r="U4" s="37">
        <f>+P4*F4</f>
        <v>832545</v>
      </c>
      <c r="V4" s="37">
        <f>+P4*G4</f>
        <v>3718701</v>
      </c>
      <c r="W4" s="37">
        <f>+P4*H4</f>
        <v>14708295</v>
      </c>
      <c r="X4" s="37">
        <f>+P4*I4</f>
        <v>2664144</v>
      </c>
      <c r="Y4" s="37">
        <f>+P4*J4</f>
        <v>832545</v>
      </c>
      <c r="Z4" s="37">
        <f>+P4*K4</f>
        <v>2220120</v>
      </c>
    </row>
    <row r="5" spans="2:26" x14ac:dyDescent="0.25">
      <c r="B5" s="157" t="s">
        <v>173</v>
      </c>
      <c r="C5" s="157"/>
      <c r="D5" s="157"/>
      <c r="E5" s="157"/>
      <c r="F5" s="157"/>
      <c r="G5" s="157"/>
      <c r="H5" s="157"/>
      <c r="I5" s="157"/>
      <c r="J5" s="157"/>
      <c r="K5" s="157"/>
      <c r="L5" s="157"/>
      <c r="M5" s="157"/>
      <c r="N5" s="157"/>
      <c r="O5" s="157"/>
      <c r="P5" s="157"/>
      <c r="Q5" s="80">
        <f>SUM(Q4)</f>
        <v>28306530</v>
      </c>
      <c r="T5" s="205">
        <f>+T4+U4+V4+W4+X4+Y4+Z4</f>
        <v>28306530</v>
      </c>
      <c r="U5" s="206"/>
      <c r="V5" s="206"/>
      <c r="W5" s="206"/>
      <c r="X5" s="206"/>
      <c r="Y5" s="206"/>
      <c r="Z5" s="207"/>
    </row>
    <row r="6" spans="2:26" x14ac:dyDescent="0.25">
      <c r="M6" s="136"/>
      <c r="N6" s="136"/>
      <c r="O6" s="136"/>
      <c r="P6" s="79"/>
    </row>
    <row r="7" spans="2:26" ht="67.5" x14ac:dyDescent="0.25">
      <c r="C7" s="103" t="s">
        <v>302</v>
      </c>
      <c r="D7" s="154" t="s">
        <v>343</v>
      </c>
      <c r="E7" s="155"/>
      <c r="F7" s="155"/>
      <c r="M7" s="137"/>
      <c r="N7" s="137"/>
      <c r="O7" s="137"/>
      <c r="P7" s="113"/>
    </row>
    <row r="8" spans="2:26" x14ac:dyDescent="0.25">
      <c r="C8" s="104" t="s">
        <v>303</v>
      </c>
      <c r="D8" s="159" t="s">
        <v>305</v>
      </c>
      <c r="E8" s="159"/>
      <c r="F8" s="159"/>
      <c r="M8" s="137"/>
      <c r="N8" s="137"/>
      <c r="O8" s="137"/>
      <c r="P8" s="79"/>
    </row>
    <row r="9" spans="2:26" ht="23.25" x14ac:dyDescent="0.25">
      <c r="C9" s="105" t="s">
        <v>304</v>
      </c>
      <c r="D9" s="159" t="s">
        <v>305</v>
      </c>
      <c r="E9" s="159"/>
      <c r="F9" s="159"/>
    </row>
  </sheetData>
  <mergeCells count="11">
    <mergeCell ref="T5:Z5"/>
    <mergeCell ref="T2:Z2"/>
    <mergeCell ref="D7:F7"/>
    <mergeCell ref="D8:F8"/>
    <mergeCell ref="D9:F9"/>
    <mergeCell ref="R2:R3"/>
    <mergeCell ref="B5:P5"/>
    <mergeCell ref="Q2:Q3"/>
    <mergeCell ref="B2:L2"/>
    <mergeCell ref="M2:O2"/>
    <mergeCell ref="P2:P3"/>
  </mergeCells>
  <pageMargins left="0.7" right="0.7" top="0.75" bottom="0.75" header="0.3" footer="0.3"/>
  <pageSetup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3:Z73"/>
  <sheetViews>
    <sheetView topLeftCell="A67" workbookViewId="0">
      <selection activeCell="G84" sqref="G84"/>
    </sheetView>
  </sheetViews>
  <sheetFormatPr baseColWidth="10" defaultRowHeight="15" x14ac:dyDescent="0.25"/>
  <cols>
    <col min="1" max="1" width="9.7109375" customWidth="1"/>
    <col min="2" max="2" width="7.5703125" style="49" customWidth="1"/>
    <col min="3" max="3" width="29.5703125" style="62" customWidth="1"/>
    <col min="4" max="4" width="18.42578125" style="62" customWidth="1"/>
    <col min="5" max="5" width="12.85546875" style="49" customWidth="1"/>
    <col min="6" max="10" width="11.42578125" style="49"/>
    <col min="11" max="12" width="11.42578125" style="127"/>
    <col min="13" max="13" width="16.140625" style="127" customWidth="1"/>
    <col min="14" max="14" width="12.140625" style="127" customWidth="1"/>
    <col min="15" max="15" width="11.42578125" style="127"/>
    <col min="16" max="16" width="13.85546875" style="49" customWidth="1"/>
    <col min="17" max="17" width="43.7109375" customWidth="1"/>
    <col min="19" max="19" width="11.42578125" hidden="1" customWidth="1"/>
    <col min="20" max="26" width="11.42578125" style="9"/>
  </cols>
  <sheetData>
    <row r="3" spans="2:26" ht="22.5" x14ac:dyDescent="0.25">
      <c r="B3" s="170" t="s">
        <v>285</v>
      </c>
      <c r="C3" s="170"/>
      <c r="D3" s="170"/>
      <c r="E3" s="170"/>
      <c r="F3" s="170"/>
      <c r="G3" s="170"/>
      <c r="H3" s="170"/>
      <c r="I3" s="170"/>
      <c r="J3" s="170"/>
      <c r="K3" s="170"/>
      <c r="L3" s="170"/>
      <c r="M3" s="103" t="s">
        <v>59</v>
      </c>
      <c r="N3" s="212" t="s">
        <v>50</v>
      </c>
      <c r="O3" s="212" t="s">
        <v>265</v>
      </c>
      <c r="P3" s="211" t="s">
        <v>266</v>
      </c>
      <c r="Q3" s="211" t="s">
        <v>165</v>
      </c>
      <c r="T3" s="157" t="s">
        <v>324</v>
      </c>
      <c r="U3" s="157"/>
      <c r="V3" s="157"/>
      <c r="W3" s="157"/>
      <c r="X3" s="157"/>
      <c r="Y3" s="157"/>
      <c r="Z3" s="157"/>
    </row>
    <row r="4" spans="2:26" ht="27.75" customHeight="1" x14ac:dyDescent="0.25">
      <c r="B4" s="170" t="s">
        <v>1</v>
      </c>
      <c r="C4" s="147" t="s">
        <v>306</v>
      </c>
      <c r="D4" s="147" t="s">
        <v>307</v>
      </c>
      <c r="E4" s="164" t="s">
        <v>8</v>
      </c>
      <c r="F4" s="164" t="s">
        <v>9</v>
      </c>
      <c r="G4" s="164" t="s">
        <v>10</v>
      </c>
      <c r="H4" s="164" t="s">
        <v>12</v>
      </c>
      <c r="I4" s="164" t="s">
        <v>13</v>
      </c>
      <c r="J4" s="164" t="s">
        <v>4</v>
      </c>
      <c r="K4" s="210" t="s">
        <v>14</v>
      </c>
      <c r="L4" s="210" t="s">
        <v>174</v>
      </c>
      <c r="M4" s="163" t="s">
        <v>267</v>
      </c>
      <c r="N4" s="212"/>
      <c r="O4" s="212"/>
      <c r="P4" s="211"/>
      <c r="Q4" s="211"/>
      <c r="R4" s="57"/>
      <c r="S4" s="147"/>
      <c r="T4" s="164" t="s">
        <v>8</v>
      </c>
      <c r="U4" s="164" t="s">
        <v>9</v>
      </c>
      <c r="V4" s="164" t="s">
        <v>10</v>
      </c>
      <c r="W4" s="164" t="s">
        <v>12</v>
      </c>
      <c r="X4" s="164" t="s">
        <v>13</v>
      </c>
      <c r="Y4" s="164" t="s">
        <v>4</v>
      </c>
      <c r="Z4" s="164" t="s">
        <v>14</v>
      </c>
    </row>
    <row r="5" spans="2:26" ht="15.75" thickBot="1" x14ac:dyDescent="0.3">
      <c r="B5" s="170"/>
      <c r="C5" s="148"/>
      <c r="D5" s="148"/>
      <c r="E5" s="164"/>
      <c r="F5" s="164"/>
      <c r="G5" s="164"/>
      <c r="H5" s="164"/>
      <c r="I5" s="164"/>
      <c r="J5" s="164"/>
      <c r="K5" s="210"/>
      <c r="L5" s="210"/>
      <c r="M5" s="163"/>
      <c r="N5" s="212"/>
      <c r="O5" s="212"/>
      <c r="P5" s="211"/>
      <c r="Q5" s="211"/>
      <c r="R5" s="57"/>
      <c r="S5" s="213"/>
      <c r="T5" s="164"/>
      <c r="U5" s="164"/>
      <c r="V5" s="164"/>
      <c r="W5" s="164"/>
      <c r="X5" s="164"/>
      <c r="Y5" s="164"/>
      <c r="Z5" s="164"/>
    </row>
    <row r="6" spans="2:26" ht="123" customHeight="1" thickBot="1" x14ac:dyDescent="0.3">
      <c r="B6" s="60">
        <v>85</v>
      </c>
      <c r="C6" s="61" t="s">
        <v>175</v>
      </c>
      <c r="D6" s="55" t="s">
        <v>176</v>
      </c>
      <c r="E6" s="51">
        <v>2</v>
      </c>
      <c r="F6" s="51">
        <v>2</v>
      </c>
      <c r="G6" s="51">
        <v>2</v>
      </c>
      <c r="H6" s="51">
        <v>0</v>
      </c>
      <c r="I6" s="51">
        <v>0</v>
      </c>
      <c r="J6" s="51">
        <v>0</v>
      </c>
      <c r="K6" s="124">
        <v>1</v>
      </c>
      <c r="L6" s="125">
        <f>SUM(E6:K6)</f>
        <v>7</v>
      </c>
      <c r="M6" s="63">
        <v>674730</v>
      </c>
      <c r="N6" s="63">
        <f>(S6)*(1+(13.12/100))</f>
        <v>542719.21759999997</v>
      </c>
      <c r="O6" s="64">
        <f>ROUND(GEOMEAN(M6:N6),0)</f>
        <v>605135</v>
      </c>
      <c r="P6" s="63">
        <f>+O6*L6</f>
        <v>4235945</v>
      </c>
      <c r="Q6" s="59"/>
      <c r="R6" s="58"/>
      <c r="S6" s="54">
        <v>479773</v>
      </c>
      <c r="T6" s="63">
        <f>+O6*E6</f>
        <v>1210270</v>
      </c>
      <c r="U6" s="63">
        <f>+O6*F6</f>
        <v>1210270</v>
      </c>
      <c r="V6" s="63">
        <f>+O6*G6</f>
        <v>1210270</v>
      </c>
      <c r="W6" s="63">
        <f>+O6*H6</f>
        <v>0</v>
      </c>
      <c r="X6" s="63">
        <f>+O6*I6</f>
        <v>0</v>
      </c>
      <c r="Y6" s="63">
        <f>+O6*J6</f>
        <v>0</v>
      </c>
      <c r="Z6" s="63">
        <f>+O6*K6</f>
        <v>605135</v>
      </c>
    </row>
    <row r="7" spans="2:26" ht="123" customHeight="1" thickBot="1" x14ac:dyDescent="0.3">
      <c r="B7" s="83">
        <f>1+B6</f>
        <v>86</v>
      </c>
      <c r="C7" s="52" t="s">
        <v>177</v>
      </c>
      <c r="D7" s="35" t="s">
        <v>178</v>
      </c>
      <c r="E7" s="50">
        <v>2</v>
      </c>
      <c r="F7" s="50">
        <v>4</v>
      </c>
      <c r="G7" s="50">
        <v>0</v>
      </c>
      <c r="H7" s="50">
        <v>0</v>
      </c>
      <c r="I7" s="50">
        <v>0</v>
      </c>
      <c r="J7" s="50">
        <v>20</v>
      </c>
      <c r="K7" s="126">
        <v>0</v>
      </c>
      <c r="L7" s="125">
        <f t="shared" ref="L7:L67" si="0">SUM(E7:K7)</f>
        <v>26</v>
      </c>
      <c r="M7" s="63">
        <v>340221</v>
      </c>
      <c r="N7" s="63">
        <f t="shared" ref="N7:N59" si="1">(S7)*(1+(13.12/100))</f>
        <v>248773.50399999999</v>
      </c>
      <c r="O7" s="64">
        <f t="shared" ref="O7:O67" si="2">ROUND(GEOMEAN(M7:N7),0)</f>
        <v>290926</v>
      </c>
      <c r="P7" s="63">
        <f t="shared" ref="P7:P67" si="3">+O7*L7</f>
        <v>7564076</v>
      </c>
      <c r="Q7" s="59"/>
      <c r="R7" s="58"/>
      <c r="S7" s="54">
        <v>219920</v>
      </c>
      <c r="T7" s="63">
        <f t="shared" ref="T7:T67" si="4">+O7*E7</f>
        <v>581852</v>
      </c>
      <c r="U7" s="63">
        <f t="shared" ref="U7:U67" si="5">+O7*F7</f>
        <v>1163704</v>
      </c>
      <c r="V7" s="63">
        <f t="shared" ref="V7:V67" si="6">+O7*G7</f>
        <v>0</v>
      </c>
      <c r="W7" s="63">
        <f t="shared" ref="W7:W67" si="7">+O7*H7</f>
        <v>0</v>
      </c>
      <c r="X7" s="63">
        <f t="shared" ref="X7:X67" si="8">+O7*I7</f>
        <v>0</v>
      </c>
      <c r="Y7" s="63">
        <f t="shared" ref="Y7:Y67" si="9">+O7*J7</f>
        <v>5818520</v>
      </c>
      <c r="Z7" s="63">
        <f t="shared" ref="Z7:Z67" si="10">+O7*K7</f>
        <v>0</v>
      </c>
    </row>
    <row r="8" spans="2:26" ht="123" customHeight="1" thickBot="1" x14ac:dyDescent="0.3">
      <c r="B8" s="128">
        <f t="shared" ref="B8:B68" si="11">1+B7</f>
        <v>87</v>
      </c>
      <c r="C8" s="52" t="s">
        <v>179</v>
      </c>
      <c r="D8" s="35" t="s">
        <v>180</v>
      </c>
      <c r="E8" s="50">
        <v>8</v>
      </c>
      <c r="F8" s="50">
        <v>0</v>
      </c>
      <c r="G8" s="50">
        <v>4</v>
      </c>
      <c r="H8" s="50">
        <v>0</v>
      </c>
      <c r="I8" s="50">
        <v>0</v>
      </c>
      <c r="J8" s="50">
        <v>10</v>
      </c>
      <c r="K8" s="126">
        <v>0</v>
      </c>
      <c r="L8" s="125">
        <f t="shared" si="0"/>
        <v>22</v>
      </c>
      <c r="M8" s="63">
        <v>46291</v>
      </c>
      <c r="N8" s="63">
        <f t="shared" si="1"/>
        <v>40170.0432</v>
      </c>
      <c r="O8" s="64">
        <f t="shared" si="2"/>
        <v>43122</v>
      </c>
      <c r="P8" s="63">
        <f t="shared" si="3"/>
        <v>948684</v>
      </c>
      <c r="Q8" s="59"/>
      <c r="R8" s="58"/>
      <c r="S8" s="54">
        <v>35511</v>
      </c>
      <c r="T8" s="63">
        <f>+O8*8</f>
        <v>344976</v>
      </c>
      <c r="U8" s="63">
        <f t="shared" si="5"/>
        <v>0</v>
      </c>
      <c r="V8" s="63">
        <f>+O8*G8</f>
        <v>172488</v>
      </c>
      <c r="W8" s="63">
        <f t="shared" si="7"/>
        <v>0</v>
      </c>
      <c r="X8" s="63">
        <f t="shared" si="8"/>
        <v>0</v>
      </c>
      <c r="Y8" s="63">
        <f>+O8*J8</f>
        <v>431220</v>
      </c>
      <c r="Z8" s="63">
        <f t="shared" si="10"/>
        <v>0</v>
      </c>
    </row>
    <row r="9" spans="2:26" ht="123" customHeight="1" thickBot="1" x14ac:dyDescent="0.3">
      <c r="B9" s="128">
        <f t="shared" si="11"/>
        <v>88</v>
      </c>
      <c r="C9" s="52" t="s">
        <v>181</v>
      </c>
      <c r="D9" s="35" t="s">
        <v>182</v>
      </c>
      <c r="E9" s="50">
        <v>1</v>
      </c>
      <c r="F9" s="50">
        <v>0</v>
      </c>
      <c r="G9" s="50">
        <v>0</v>
      </c>
      <c r="H9" s="50">
        <v>0</v>
      </c>
      <c r="I9" s="50">
        <v>0</v>
      </c>
      <c r="J9" s="50">
        <v>0</v>
      </c>
      <c r="K9" s="126">
        <v>0</v>
      </c>
      <c r="L9" s="125">
        <f t="shared" si="0"/>
        <v>1</v>
      </c>
      <c r="M9" s="63">
        <v>186116</v>
      </c>
      <c r="N9" s="63"/>
      <c r="O9" s="64">
        <f t="shared" si="2"/>
        <v>186116</v>
      </c>
      <c r="P9" s="63">
        <f t="shared" si="3"/>
        <v>186116</v>
      </c>
      <c r="Q9" s="59"/>
      <c r="R9" s="58"/>
      <c r="S9" s="54">
        <v>171360</v>
      </c>
      <c r="T9" s="63">
        <f t="shared" si="4"/>
        <v>186116</v>
      </c>
      <c r="U9" s="63">
        <f t="shared" si="5"/>
        <v>0</v>
      </c>
      <c r="V9" s="63">
        <f t="shared" si="6"/>
        <v>0</v>
      </c>
      <c r="W9" s="63">
        <f t="shared" si="7"/>
        <v>0</v>
      </c>
      <c r="X9" s="63">
        <f t="shared" si="8"/>
        <v>0</v>
      </c>
      <c r="Y9" s="63">
        <f t="shared" si="9"/>
        <v>0</v>
      </c>
      <c r="Z9" s="63">
        <f t="shared" si="10"/>
        <v>0</v>
      </c>
    </row>
    <row r="10" spans="2:26" ht="123" customHeight="1" thickBot="1" x14ac:dyDescent="0.3">
      <c r="B10" s="128">
        <f t="shared" si="11"/>
        <v>89</v>
      </c>
      <c r="C10" s="52" t="s">
        <v>183</v>
      </c>
      <c r="D10" s="35" t="s">
        <v>182</v>
      </c>
      <c r="E10" s="50">
        <v>1</v>
      </c>
      <c r="F10" s="50">
        <v>0</v>
      </c>
      <c r="G10" s="50">
        <v>0</v>
      </c>
      <c r="H10" s="50">
        <v>0</v>
      </c>
      <c r="I10" s="50">
        <v>0</v>
      </c>
      <c r="J10" s="50">
        <v>0</v>
      </c>
      <c r="K10" s="126">
        <v>0</v>
      </c>
      <c r="L10" s="125">
        <f t="shared" si="0"/>
        <v>1</v>
      </c>
      <c r="M10" s="63">
        <v>244664</v>
      </c>
      <c r="N10" s="63"/>
      <c r="O10" s="64">
        <f t="shared" si="2"/>
        <v>244664</v>
      </c>
      <c r="P10" s="63">
        <f t="shared" si="3"/>
        <v>244664</v>
      </c>
      <c r="Q10" s="59"/>
      <c r="R10" s="58"/>
      <c r="S10" s="54">
        <v>224910</v>
      </c>
      <c r="T10" s="63">
        <f t="shared" si="4"/>
        <v>244664</v>
      </c>
      <c r="U10" s="63">
        <f t="shared" si="5"/>
        <v>0</v>
      </c>
      <c r="V10" s="63">
        <f t="shared" si="6"/>
        <v>0</v>
      </c>
      <c r="W10" s="63">
        <f t="shared" si="7"/>
        <v>0</v>
      </c>
      <c r="X10" s="63">
        <f t="shared" si="8"/>
        <v>0</v>
      </c>
      <c r="Y10" s="63">
        <f t="shared" si="9"/>
        <v>0</v>
      </c>
      <c r="Z10" s="63">
        <f t="shared" si="10"/>
        <v>0</v>
      </c>
    </row>
    <row r="11" spans="2:26" ht="123" customHeight="1" thickBot="1" x14ac:dyDescent="0.3">
      <c r="B11" s="128">
        <f t="shared" si="11"/>
        <v>90</v>
      </c>
      <c r="C11" s="52" t="s">
        <v>184</v>
      </c>
      <c r="D11" s="35" t="s">
        <v>182</v>
      </c>
      <c r="E11" s="50">
        <v>1</v>
      </c>
      <c r="F11" s="50">
        <v>0</v>
      </c>
      <c r="G11" s="50">
        <v>0</v>
      </c>
      <c r="H11" s="50">
        <v>0</v>
      </c>
      <c r="I11" s="50">
        <v>0</v>
      </c>
      <c r="J11" s="50">
        <v>0</v>
      </c>
      <c r="K11" s="126">
        <v>0</v>
      </c>
      <c r="L11" s="125">
        <f t="shared" si="0"/>
        <v>1</v>
      </c>
      <c r="M11" s="63">
        <v>630343</v>
      </c>
      <c r="N11" s="63">
        <f t="shared" si="1"/>
        <v>602560.82880000002</v>
      </c>
      <c r="O11" s="64">
        <f t="shared" si="2"/>
        <v>616295</v>
      </c>
      <c r="P11" s="63">
        <f t="shared" si="3"/>
        <v>616295</v>
      </c>
      <c r="Q11" s="59"/>
      <c r="R11" s="58"/>
      <c r="S11" s="54">
        <v>532674</v>
      </c>
      <c r="T11" s="63">
        <f t="shared" si="4"/>
        <v>616295</v>
      </c>
      <c r="U11" s="63">
        <f t="shared" si="5"/>
        <v>0</v>
      </c>
      <c r="V11" s="63">
        <f t="shared" si="6"/>
        <v>0</v>
      </c>
      <c r="W11" s="63">
        <f t="shared" si="7"/>
        <v>0</v>
      </c>
      <c r="X11" s="63">
        <f t="shared" si="8"/>
        <v>0</v>
      </c>
      <c r="Y11" s="63">
        <f t="shared" si="9"/>
        <v>0</v>
      </c>
      <c r="Z11" s="63">
        <f t="shared" si="10"/>
        <v>0</v>
      </c>
    </row>
    <row r="12" spans="2:26" ht="123" customHeight="1" thickBot="1" x14ac:dyDescent="0.3">
      <c r="B12" s="128">
        <f t="shared" si="11"/>
        <v>91</v>
      </c>
      <c r="C12" s="52" t="s">
        <v>365</v>
      </c>
      <c r="D12" s="35" t="s">
        <v>17</v>
      </c>
      <c r="E12" s="50">
        <v>5</v>
      </c>
      <c r="F12" s="50">
        <v>0</v>
      </c>
      <c r="G12" s="50">
        <v>0</v>
      </c>
      <c r="H12" s="50">
        <v>0</v>
      </c>
      <c r="I12" s="50">
        <v>0</v>
      </c>
      <c r="J12" s="50">
        <v>1</v>
      </c>
      <c r="K12" s="126">
        <v>0</v>
      </c>
      <c r="L12" s="125">
        <f t="shared" si="0"/>
        <v>6</v>
      </c>
      <c r="M12" s="63">
        <f>98200*1.19</f>
        <v>116858</v>
      </c>
      <c r="N12" s="63"/>
      <c r="O12" s="64">
        <f t="shared" si="2"/>
        <v>116858</v>
      </c>
      <c r="P12" s="63">
        <f t="shared" si="3"/>
        <v>701148</v>
      </c>
      <c r="Q12" s="59"/>
      <c r="R12" s="58"/>
      <c r="S12" s="54">
        <v>103709</v>
      </c>
      <c r="T12" s="63">
        <f t="shared" si="4"/>
        <v>584290</v>
      </c>
      <c r="U12" s="63">
        <f t="shared" si="5"/>
        <v>0</v>
      </c>
      <c r="V12" s="63">
        <f t="shared" si="6"/>
        <v>0</v>
      </c>
      <c r="W12" s="63">
        <f t="shared" si="7"/>
        <v>0</v>
      </c>
      <c r="X12" s="63">
        <f t="shared" si="8"/>
        <v>0</v>
      </c>
      <c r="Y12" s="63">
        <f t="shared" si="9"/>
        <v>116858</v>
      </c>
      <c r="Z12" s="63">
        <f t="shared" si="10"/>
        <v>0</v>
      </c>
    </row>
    <row r="13" spans="2:26" ht="123" customHeight="1" thickBot="1" x14ac:dyDescent="0.3">
      <c r="B13" s="128">
        <f t="shared" si="11"/>
        <v>92</v>
      </c>
      <c r="C13" s="52" t="s">
        <v>185</v>
      </c>
      <c r="D13" s="35" t="s">
        <v>17</v>
      </c>
      <c r="E13" s="50">
        <v>5</v>
      </c>
      <c r="F13" s="50">
        <v>0</v>
      </c>
      <c r="G13" s="50">
        <v>0</v>
      </c>
      <c r="H13" s="50">
        <v>0</v>
      </c>
      <c r="I13" s="50">
        <v>0</v>
      </c>
      <c r="J13" s="50">
        <v>2</v>
      </c>
      <c r="K13" s="126">
        <v>0</v>
      </c>
      <c r="L13" s="125">
        <f t="shared" si="0"/>
        <v>7</v>
      </c>
      <c r="M13" s="63">
        <v>244664</v>
      </c>
      <c r="N13" s="63">
        <f t="shared" si="1"/>
        <v>233023.8064</v>
      </c>
      <c r="O13" s="64">
        <f t="shared" si="2"/>
        <v>238773</v>
      </c>
      <c r="P13" s="63">
        <f t="shared" si="3"/>
        <v>1671411</v>
      </c>
      <c r="Q13" s="59"/>
      <c r="R13" s="58"/>
      <c r="S13" s="54">
        <v>205997</v>
      </c>
      <c r="T13" s="63">
        <f t="shared" si="4"/>
        <v>1193865</v>
      </c>
      <c r="U13" s="63">
        <f t="shared" si="5"/>
        <v>0</v>
      </c>
      <c r="V13" s="63">
        <f t="shared" si="6"/>
        <v>0</v>
      </c>
      <c r="W13" s="63">
        <f t="shared" si="7"/>
        <v>0</v>
      </c>
      <c r="X13" s="63">
        <f t="shared" si="8"/>
        <v>0</v>
      </c>
      <c r="Y13" s="63">
        <f t="shared" si="9"/>
        <v>477546</v>
      </c>
      <c r="Z13" s="63">
        <f t="shared" si="10"/>
        <v>0</v>
      </c>
    </row>
    <row r="14" spans="2:26" ht="123" customHeight="1" thickBot="1" x14ac:dyDescent="0.3">
      <c r="B14" s="128">
        <f t="shared" si="11"/>
        <v>93</v>
      </c>
      <c r="C14" s="52" t="s">
        <v>186</v>
      </c>
      <c r="D14" s="35" t="s">
        <v>17</v>
      </c>
      <c r="E14" s="50">
        <v>5</v>
      </c>
      <c r="F14" s="50">
        <v>0</v>
      </c>
      <c r="G14" s="50">
        <v>0</v>
      </c>
      <c r="H14" s="50">
        <v>0</v>
      </c>
      <c r="I14" s="50">
        <v>0</v>
      </c>
      <c r="J14" s="50">
        <v>0</v>
      </c>
      <c r="K14" s="126">
        <v>0</v>
      </c>
      <c r="L14" s="125">
        <f t="shared" si="0"/>
        <v>5</v>
      </c>
      <c r="M14" s="63">
        <v>87703</v>
      </c>
      <c r="N14" s="63"/>
      <c r="O14" s="64">
        <f t="shared" si="2"/>
        <v>87703</v>
      </c>
      <c r="P14" s="63">
        <f t="shared" si="3"/>
        <v>438515</v>
      </c>
      <c r="Q14" s="59"/>
      <c r="R14" s="58"/>
      <c r="S14" s="54">
        <v>84103</v>
      </c>
      <c r="T14" s="63">
        <f t="shared" si="4"/>
        <v>438515</v>
      </c>
      <c r="U14" s="63">
        <f t="shared" si="5"/>
        <v>0</v>
      </c>
      <c r="V14" s="63">
        <f t="shared" si="6"/>
        <v>0</v>
      </c>
      <c r="W14" s="63">
        <f t="shared" si="7"/>
        <v>0</v>
      </c>
      <c r="X14" s="63">
        <f t="shared" si="8"/>
        <v>0</v>
      </c>
      <c r="Y14" s="63">
        <f t="shared" si="9"/>
        <v>0</v>
      </c>
      <c r="Z14" s="63">
        <f t="shared" si="10"/>
        <v>0</v>
      </c>
    </row>
    <row r="15" spans="2:26" ht="123" customHeight="1" thickBot="1" x14ac:dyDescent="0.3">
      <c r="B15" s="128">
        <f t="shared" si="11"/>
        <v>94</v>
      </c>
      <c r="C15" s="52" t="s">
        <v>187</v>
      </c>
      <c r="D15" s="35" t="s">
        <v>17</v>
      </c>
      <c r="E15" s="50">
        <v>2</v>
      </c>
      <c r="F15" s="50">
        <v>0</v>
      </c>
      <c r="G15" s="50">
        <v>0</v>
      </c>
      <c r="H15" s="50">
        <v>0</v>
      </c>
      <c r="I15" s="50">
        <v>0</v>
      </c>
      <c r="J15" s="50">
        <v>3</v>
      </c>
      <c r="K15" s="126">
        <v>0</v>
      </c>
      <c r="L15" s="125">
        <f t="shared" si="0"/>
        <v>5</v>
      </c>
      <c r="M15" s="63">
        <v>572033</v>
      </c>
      <c r="N15" s="63">
        <f t="shared" si="1"/>
        <v>538530.38399999996</v>
      </c>
      <c r="O15" s="64">
        <f t="shared" si="2"/>
        <v>555029</v>
      </c>
      <c r="P15" s="63">
        <f t="shared" si="3"/>
        <v>2775145</v>
      </c>
      <c r="Q15" s="59"/>
      <c r="R15" s="58"/>
      <c r="S15" s="54">
        <v>476070</v>
      </c>
      <c r="T15" s="63">
        <f t="shared" si="4"/>
        <v>1110058</v>
      </c>
      <c r="U15" s="63">
        <f t="shared" si="5"/>
        <v>0</v>
      </c>
      <c r="V15" s="63">
        <f t="shared" si="6"/>
        <v>0</v>
      </c>
      <c r="W15" s="63">
        <f t="shared" si="7"/>
        <v>0</v>
      </c>
      <c r="X15" s="63">
        <f t="shared" si="8"/>
        <v>0</v>
      </c>
      <c r="Y15" s="63">
        <f t="shared" si="9"/>
        <v>1665087</v>
      </c>
      <c r="Z15" s="63">
        <f t="shared" si="10"/>
        <v>0</v>
      </c>
    </row>
    <row r="16" spans="2:26" ht="123" customHeight="1" thickBot="1" x14ac:dyDescent="0.3">
      <c r="B16" s="128">
        <f t="shared" si="11"/>
        <v>95</v>
      </c>
      <c r="C16" s="52" t="s">
        <v>188</v>
      </c>
      <c r="D16" s="35" t="s">
        <v>17</v>
      </c>
      <c r="E16" s="50">
        <v>2</v>
      </c>
      <c r="F16" s="50">
        <v>0</v>
      </c>
      <c r="G16" s="50">
        <v>0</v>
      </c>
      <c r="H16" s="50">
        <v>0</v>
      </c>
      <c r="I16" s="50">
        <v>0</v>
      </c>
      <c r="J16" s="50">
        <v>2</v>
      </c>
      <c r="K16" s="126">
        <v>1</v>
      </c>
      <c r="L16" s="125">
        <f t="shared" si="0"/>
        <v>5</v>
      </c>
      <c r="M16" s="63">
        <v>686392</v>
      </c>
      <c r="N16" s="63">
        <f t="shared" si="1"/>
        <v>646029.45120000001</v>
      </c>
      <c r="O16" s="64">
        <f t="shared" si="2"/>
        <v>665905</v>
      </c>
      <c r="P16" s="63">
        <f t="shared" si="3"/>
        <v>3329525</v>
      </c>
      <c r="Q16" s="59"/>
      <c r="R16" s="58"/>
      <c r="S16" s="54">
        <v>571101</v>
      </c>
      <c r="T16" s="63">
        <f t="shared" si="4"/>
        <v>1331810</v>
      </c>
      <c r="U16" s="63">
        <f t="shared" si="5"/>
        <v>0</v>
      </c>
      <c r="V16" s="63">
        <f t="shared" si="6"/>
        <v>0</v>
      </c>
      <c r="W16" s="63">
        <f t="shared" si="7"/>
        <v>0</v>
      </c>
      <c r="X16" s="63">
        <f t="shared" si="8"/>
        <v>0</v>
      </c>
      <c r="Y16" s="63">
        <f t="shared" si="9"/>
        <v>1331810</v>
      </c>
      <c r="Z16" s="63">
        <f t="shared" si="10"/>
        <v>665905</v>
      </c>
    </row>
    <row r="17" spans="2:26" ht="123" customHeight="1" thickBot="1" x14ac:dyDescent="0.3">
      <c r="B17" s="128">
        <f t="shared" si="11"/>
        <v>96</v>
      </c>
      <c r="C17" s="52" t="s">
        <v>189</v>
      </c>
      <c r="D17" s="35" t="s">
        <v>17</v>
      </c>
      <c r="E17" s="50">
        <v>10</v>
      </c>
      <c r="F17" s="50">
        <v>0</v>
      </c>
      <c r="G17" s="50">
        <v>0</v>
      </c>
      <c r="H17" s="50">
        <v>0</v>
      </c>
      <c r="I17" s="50">
        <v>12</v>
      </c>
      <c r="J17" s="50">
        <v>0</v>
      </c>
      <c r="K17" s="126">
        <v>0</v>
      </c>
      <c r="L17" s="125">
        <f t="shared" si="0"/>
        <v>22</v>
      </c>
      <c r="M17" s="63">
        <v>118167</v>
      </c>
      <c r="N17" s="63">
        <f t="shared" si="1"/>
        <v>112205.9904</v>
      </c>
      <c r="O17" s="64">
        <f t="shared" si="2"/>
        <v>115148</v>
      </c>
      <c r="P17" s="63">
        <f t="shared" si="3"/>
        <v>2533256</v>
      </c>
      <c r="Q17" s="59"/>
      <c r="R17" s="58"/>
      <c r="S17" s="54">
        <v>99192</v>
      </c>
      <c r="T17" s="63">
        <f t="shared" si="4"/>
        <v>1151480</v>
      </c>
      <c r="U17" s="63">
        <f t="shared" si="5"/>
        <v>0</v>
      </c>
      <c r="V17" s="63">
        <f t="shared" si="6"/>
        <v>0</v>
      </c>
      <c r="W17" s="63">
        <f t="shared" si="7"/>
        <v>0</v>
      </c>
      <c r="X17" s="63">
        <f t="shared" si="8"/>
        <v>1381776</v>
      </c>
      <c r="Y17" s="63">
        <f t="shared" si="9"/>
        <v>0</v>
      </c>
      <c r="Z17" s="63">
        <f t="shared" si="10"/>
        <v>0</v>
      </c>
    </row>
    <row r="18" spans="2:26" ht="138" customHeight="1" thickBot="1" x14ac:dyDescent="0.3">
      <c r="B18" s="128">
        <f t="shared" si="11"/>
        <v>97</v>
      </c>
      <c r="C18" s="52" t="s">
        <v>190</v>
      </c>
      <c r="D18" s="35" t="s">
        <v>17</v>
      </c>
      <c r="E18" s="50">
        <v>10</v>
      </c>
      <c r="F18" s="50">
        <v>0</v>
      </c>
      <c r="G18" s="50">
        <v>0</v>
      </c>
      <c r="H18" s="50">
        <v>5</v>
      </c>
      <c r="I18" s="50">
        <v>10</v>
      </c>
      <c r="J18" s="50">
        <v>15</v>
      </c>
      <c r="K18" s="126">
        <v>2</v>
      </c>
      <c r="L18" s="125">
        <f t="shared" si="0"/>
        <v>42</v>
      </c>
      <c r="M18" s="63">
        <v>141253</v>
      </c>
      <c r="N18" s="63">
        <f t="shared" si="1"/>
        <v>133149.02720000001</v>
      </c>
      <c r="O18" s="64">
        <f t="shared" si="2"/>
        <v>137141</v>
      </c>
      <c r="P18" s="63">
        <f t="shared" si="3"/>
        <v>5759922</v>
      </c>
      <c r="Q18" s="59"/>
      <c r="R18" s="58"/>
      <c r="S18" s="54">
        <v>117706</v>
      </c>
      <c r="T18" s="63">
        <f t="shared" si="4"/>
        <v>1371410</v>
      </c>
      <c r="U18" s="63">
        <f t="shared" si="5"/>
        <v>0</v>
      </c>
      <c r="V18" s="63">
        <f t="shared" si="6"/>
        <v>0</v>
      </c>
      <c r="W18" s="63">
        <f t="shared" si="7"/>
        <v>685705</v>
      </c>
      <c r="X18" s="63">
        <f t="shared" si="8"/>
        <v>1371410</v>
      </c>
      <c r="Y18" s="63">
        <f t="shared" si="9"/>
        <v>2057115</v>
      </c>
      <c r="Z18" s="63">
        <f t="shared" si="10"/>
        <v>274282</v>
      </c>
    </row>
    <row r="19" spans="2:26" ht="123" customHeight="1" thickBot="1" x14ac:dyDescent="0.3">
      <c r="B19" s="128">
        <f t="shared" si="11"/>
        <v>98</v>
      </c>
      <c r="C19" s="52" t="s">
        <v>191</v>
      </c>
      <c r="D19" s="35" t="s">
        <v>192</v>
      </c>
      <c r="E19" s="50">
        <v>10</v>
      </c>
      <c r="F19" s="50">
        <v>0</v>
      </c>
      <c r="G19" s="50">
        <v>0</v>
      </c>
      <c r="H19" s="50">
        <v>10</v>
      </c>
      <c r="I19" s="50">
        <v>12</v>
      </c>
      <c r="J19" s="50">
        <v>5</v>
      </c>
      <c r="K19" s="126">
        <v>5</v>
      </c>
      <c r="L19" s="125">
        <f t="shared" si="0"/>
        <v>42</v>
      </c>
      <c r="M19" s="63">
        <v>57239</v>
      </c>
      <c r="N19" s="63">
        <f t="shared" si="1"/>
        <v>55675.401599999997</v>
      </c>
      <c r="O19" s="64">
        <f t="shared" si="2"/>
        <v>56452</v>
      </c>
      <c r="P19" s="63">
        <f t="shared" si="3"/>
        <v>2370984</v>
      </c>
      <c r="Q19" s="59"/>
      <c r="R19" s="58"/>
      <c r="S19" s="54">
        <v>49218</v>
      </c>
      <c r="T19" s="63">
        <f t="shared" si="4"/>
        <v>564520</v>
      </c>
      <c r="U19" s="63">
        <f t="shared" si="5"/>
        <v>0</v>
      </c>
      <c r="V19" s="63">
        <f t="shared" si="6"/>
        <v>0</v>
      </c>
      <c r="W19" s="63">
        <f t="shared" si="7"/>
        <v>564520</v>
      </c>
      <c r="X19" s="63">
        <f t="shared" si="8"/>
        <v>677424</v>
      </c>
      <c r="Y19" s="63">
        <f t="shared" si="9"/>
        <v>282260</v>
      </c>
      <c r="Z19" s="63">
        <f t="shared" si="10"/>
        <v>282260</v>
      </c>
    </row>
    <row r="20" spans="2:26" ht="123" customHeight="1" thickBot="1" x14ac:dyDescent="0.3">
      <c r="B20" s="128">
        <f t="shared" si="11"/>
        <v>99</v>
      </c>
      <c r="C20" s="52" t="s">
        <v>193</v>
      </c>
      <c r="D20" s="35" t="s">
        <v>17</v>
      </c>
      <c r="E20" s="50">
        <v>5</v>
      </c>
      <c r="F20" s="50">
        <v>0</v>
      </c>
      <c r="G20" s="50">
        <v>0</v>
      </c>
      <c r="H20" s="50">
        <v>5</v>
      </c>
      <c r="I20" s="50">
        <v>6</v>
      </c>
      <c r="J20" s="50">
        <v>0</v>
      </c>
      <c r="K20" s="126">
        <v>5</v>
      </c>
      <c r="L20" s="125">
        <f t="shared" si="0"/>
        <v>21</v>
      </c>
      <c r="M20" s="63">
        <v>210511</v>
      </c>
      <c r="N20" s="63"/>
      <c r="O20" s="64">
        <f t="shared" si="2"/>
        <v>210511</v>
      </c>
      <c r="P20" s="63">
        <f t="shared" si="3"/>
        <v>4420731</v>
      </c>
      <c r="Q20" s="59"/>
      <c r="R20" s="58"/>
      <c r="S20" s="54">
        <v>187730</v>
      </c>
      <c r="T20" s="63">
        <f t="shared" si="4"/>
        <v>1052555</v>
      </c>
      <c r="U20" s="63">
        <f t="shared" si="5"/>
        <v>0</v>
      </c>
      <c r="V20" s="63">
        <f t="shared" si="6"/>
        <v>0</v>
      </c>
      <c r="W20" s="63">
        <f t="shared" si="7"/>
        <v>1052555</v>
      </c>
      <c r="X20" s="63">
        <f t="shared" si="8"/>
        <v>1263066</v>
      </c>
      <c r="Y20" s="63">
        <f t="shared" si="9"/>
        <v>0</v>
      </c>
      <c r="Z20" s="63">
        <f t="shared" si="10"/>
        <v>1052555</v>
      </c>
    </row>
    <row r="21" spans="2:26" ht="123" customHeight="1" thickBot="1" x14ac:dyDescent="0.3">
      <c r="B21" s="128">
        <f t="shared" si="11"/>
        <v>100</v>
      </c>
      <c r="C21" s="52" t="s">
        <v>194</v>
      </c>
      <c r="D21" s="35" t="s">
        <v>195</v>
      </c>
      <c r="E21" s="50">
        <v>2</v>
      </c>
      <c r="F21" s="50">
        <v>0</v>
      </c>
      <c r="G21" s="50">
        <v>0</v>
      </c>
      <c r="H21" s="50">
        <v>0</v>
      </c>
      <c r="I21" s="50">
        <v>6</v>
      </c>
      <c r="J21" s="50">
        <v>1</v>
      </c>
      <c r="K21" s="126">
        <v>0</v>
      </c>
      <c r="L21" s="125">
        <f t="shared" si="0"/>
        <v>9</v>
      </c>
      <c r="M21" s="63">
        <v>250733</v>
      </c>
      <c r="N21" s="63"/>
      <c r="O21" s="64">
        <f t="shared" si="2"/>
        <v>250733</v>
      </c>
      <c r="P21" s="63">
        <f t="shared" si="3"/>
        <v>2256597</v>
      </c>
      <c r="Q21" s="59"/>
      <c r="R21" s="58"/>
      <c r="S21" s="54">
        <v>313603</v>
      </c>
      <c r="T21" s="63">
        <f t="shared" si="4"/>
        <v>501466</v>
      </c>
      <c r="U21" s="63">
        <f t="shared" si="5"/>
        <v>0</v>
      </c>
      <c r="V21" s="63">
        <f t="shared" si="6"/>
        <v>0</v>
      </c>
      <c r="W21" s="63">
        <f t="shared" si="7"/>
        <v>0</v>
      </c>
      <c r="X21" s="63">
        <f t="shared" si="8"/>
        <v>1504398</v>
      </c>
      <c r="Y21" s="63">
        <f t="shared" si="9"/>
        <v>250733</v>
      </c>
      <c r="Z21" s="63">
        <f t="shared" si="10"/>
        <v>0</v>
      </c>
    </row>
    <row r="22" spans="2:26" ht="123" customHeight="1" thickBot="1" x14ac:dyDescent="0.3">
      <c r="B22" s="128">
        <f t="shared" si="11"/>
        <v>101</v>
      </c>
      <c r="C22" s="52" t="s">
        <v>196</v>
      </c>
      <c r="D22" s="35" t="s">
        <v>17</v>
      </c>
      <c r="E22" s="50">
        <v>5</v>
      </c>
      <c r="F22" s="50">
        <v>0</v>
      </c>
      <c r="G22" s="50">
        <v>0</v>
      </c>
      <c r="H22" s="50">
        <v>0</v>
      </c>
      <c r="I22" s="50">
        <v>0</v>
      </c>
      <c r="J22" s="50">
        <v>0</v>
      </c>
      <c r="K22" s="126">
        <v>0</v>
      </c>
      <c r="L22" s="125">
        <f t="shared" si="0"/>
        <v>5</v>
      </c>
      <c r="M22" s="63">
        <v>68187</v>
      </c>
      <c r="N22" s="63"/>
      <c r="O22" s="64">
        <f t="shared" si="2"/>
        <v>68187</v>
      </c>
      <c r="P22" s="63">
        <f t="shared" si="3"/>
        <v>340935</v>
      </c>
      <c r="Q22" s="59"/>
      <c r="R22" s="58"/>
      <c r="S22" s="54">
        <v>63070</v>
      </c>
      <c r="T22" s="63">
        <f t="shared" si="4"/>
        <v>340935</v>
      </c>
      <c r="U22" s="63">
        <f t="shared" si="5"/>
        <v>0</v>
      </c>
      <c r="V22" s="63">
        <f t="shared" si="6"/>
        <v>0</v>
      </c>
      <c r="W22" s="63">
        <f t="shared" si="7"/>
        <v>0</v>
      </c>
      <c r="X22" s="63">
        <f t="shared" si="8"/>
        <v>0</v>
      </c>
      <c r="Y22" s="63">
        <f t="shared" si="9"/>
        <v>0</v>
      </c>
      <c r="Z22" s="63">
        <f t="shared" si="10"/>
        <v>0</v>
      </c>
    </row>
    <row r="23" spans="2:26" ht="131.25" customHeight="1" thickBot="1" x14ac:dyDescent="0.3">
      <c r="B23" s="128">
        <f t="shared" si="11"/>
        <v>102</v>
      </c>
      <c r="C23" s="52" t="s">
        <v>197</v>
      </c>
      <c r="D23" s="35" t="s">
        <v>17</v>
      </c>
      <c r="E23" s="50">
        <v>5</v>
      </c>
      <c r="F23" s="50">
        <v>0</v>
      </c>
      <c r="G23" s="50">
        <v>0</v>
      </c>
      <c r="H23" s="50">
        <v>0</v>
      </c>
      <c r="I23" s="50">
        <v>0</v>
      </c>
      <c r="J23" s="50">
        <v>0</v>
      </c>
      <c r="K23" s="126">
        <v>0</v>
      </c>
      <c r="L23" s="125">
        <f t="shared" si="0"/>
        <v>5</v>
      </c>
      <c r="M23" s="63">
        <v>73066</v>
      </c>
      <c r="N23" s="63"/>
      <c r="O23" s="64">
        <f t="shared" si="2"/>
        <v>73066</v>
      </c>
      <c r="P23" s="63">
        <f t="shared" si="3"/>
        <v>365330</v>
      </c>
      <c r="Q23" s="59"/>
      <c r="R23" s="58"/>
      <c r="S23" s="54">
        <v>67830</v>
      </c>
      <c r="T23" s="63">
        <f t="shared" si="4"/>
        <v>365330</v>
      </c>
      <c r="U23" s="63">
        <f t="shared" si="5"/>
        <v>0</v>
      </c>
      <c r="V23" s="63">
        <f t="shared" si="6"/>
        <v>0</v>
      </c>
      <c r="W23" s="63">
        <f t="shared" si="7"/>
        <v>0</v>
      </c>
      <c r="X23" s="63">
        <f t="shared" si="8"/>
        <v>0</v>
      </c>
      <c r="Y23" s="63">
        <f t="shared" si="9"/>
        <v>0</v>
      </c>
      <c r="Z23" s="63">
        <f t="shared" si="10"/>
        <v>0</v>
      </c>
    </row>
    <row r="24" spans="2:26" ht="123" customHeight="1" thickBot="1" x14ac:dyDescent="0.3">
      <c r="B24" s="128">
        <f t="shared" si="11"/>
        <v>103</v>
      </c>
      <c r="C24" s="52" t="s">
        <v>198</v>
      </c>
      <c r="D24" s="35" t="s">
        <v>199</v>
      </c>
      <c r="E24" s="50">
        <v>5</v>
      </c>
      <c r="F24" s="50">
        <v>0</v>
      </c>
      <c r="G24" s="50">
        <v>0</v>
      </c>
      <c r="H24" s="50">
        <v>2</v>
      </c>
      <c r="I24" s="50">
        <v>0</v>
      </c>
      <c r="J24" s="50">
        <v>0</v>
      </c>
      <c r="K24" s="126">
        <v>0</v>
      </c>
      <c r="L24" s="125">
        <f t="shared" si="0"/>
        <v>7</v>
      </c>
      <c r="M24" s="63">
        <v>102340</v>
      </c>
      <c r="N24" s="63">
        <f t="shared" si="1"/>
        <v>84373.945599999992</v>
      </c>
      <c r="O24" s="64">
        <f t="shared" si="2"/>
        <v>92924</v>
      </c>
      <c r="P24" s="63">
        <f t="shared" si="3"/>
        <v>650468</v>
      </c>
      <c r="Q24" s="59"/>
      <c r="R24" s="58"/>
      <c r="S24" s="54">
        <v>74588</v>
      </c>
      <c r="T24" s="63">
        <f t="shared" si="4"/>
        <v>464620</v>
      </c>
      <c r="U24" s="63">
        <f t="shared" si="5"/>
        <v>0</v>
      </c>
      <c r="V24" s="63">
        <f t="shared" si="6"/>
        <v>0</v>
      </c>
      <c r="W24" s="63">
        <f t="shared" si="7"/>
        <v>185848</v>
      </c>
      <c r="X24" s="63">
        <f t="shared" si="8"/>
        <v>0</v>
      </c>
      <c r="Y24" s="63">
        <f t="shared" si="9"/>
        <v>0</v>
      </c>
      <c r="Z24" s="63">
        <f t="shared" si="10"/>
        <v>0</v>
      </c>
    </row>
    <row r="25" spans="2:26" ht="123" customHeight="1" thickBot="1" x14ac:dyDescent="0.3">
      <c r="B25" s="128">
        <f t="shared" si="11"/>
        <v>104</v>
      </c>
      <c r="C25" s="52" t="s">
        <v>200</v>
      </c>
      <c r="D25" s="35" t="s">
        <v>268</v>
      </c>
      <c r="E25" s="50">
        <v>20</v>
      </c>
      <c r="F25" s="50">
        <v>4</v>
      </c>
      <c r="G25" s="50">
        <v>1</v>
      </c>
      <c r="H25" s="50">
        <v>0</v>
      </c>
      <c r="I25" s="50">
        <v>0</v>
      </c>
      <c r="J25" s="50">
        <v>10</v>
      </c>
      <c r="K25" s="126">
        <v>0</v>
      </c>
      <c r="L25" s="125">
        <f t="shared" si="0"/>
        <v>35</v>
      </c>
      <c r="M25" s="63">
        <v>265846</v>
      </c>
      <c r="N25" s="63">
        <f t="shared" si="1"/>
        <v>222435.77439999999</v>
      </c>
      <c r="O25" s="64">
        <f t="shared" si="2"/>
        <v>243174</v>
      </c>
      <c r="P25" s="63">
        <f t="shared" si="3"/>
        <v>8511090</v>
      </c>
      <c r="Q25" s="59"/>
      <c r="R25" s="58"/>
      <c r="S25" s="54">
        <v>196637</v>
      </c>
      <c r="T25" s="63">
        <f t="shared" si="4"/>
        <v>4863480</v>
      </c>
      <c r="U25" s="63">
        <f t="shared" si="5"/>
        <v>972696</v>
      </c>
      <c r="V25" s="63">
        <f t="shared" si="6"/>
        <v>243174</v>
      </c>
      <c r="W25" s="63">
        <f t="shared" si="7"/>
        <v>0</v>
      </c>
      <c r="X25" s="63">
        <f t="shared" si="8"/>
        <v>0</v>
      </c>
      <c r="Y25" s="63">
        <f t="shared" si="9"/>
        <v>2431740</v>
      </c>
      <c r="Z25" s="63">
        <f t="shared" si="10"/>
        <v>0</v>
      </c>
    </row>
    <row r="26" spans="2:26" ht="123" customHeight="1" thickBot="1" x14ac:dyDescent="0.3">
      <c r="B26" s="128">
        <f t="shared" si="11"/>
        <v>105</v>
      </c>
      <c r="C26" s="52" t="s">
        <v>201</v>
      </c>
      <c r="D26" s="35" t="s">
        <v>202</v>
      </c>
      <c r="E26" s="50">
        <v>2</v>
      </c>
      <c r="F26" s="50">
        <v>0</v>
      </c>
      <c r="G26" s="50">
        <v>0</v>
      </c>
      <c r="H26" s="50">
        <v>0</v>
      </c>
      <c r="I26" s="50">
        <v>0</v>
      </c>
      <c r="J26" s="50">
        <v>0</v>
      </c>
      <c r="K26" s="126">
        <v>0</v>
      </c>
      <c r="L26" s="125">
        <f t="shared" si="0"/>
        <v>2</v>
      </c>
      <c r="M26" s="63">
        <v>339507</v>
      </c>
      <c r="N26" s="63"/>
      <c r="O26" s="64">
        <f t="shared" si="2"/>
        <v>339507</v>
      </c>
      <c r="P26" s="63">
        <f t="shared" si="3"/>
        <v>679014</v>
      </c>
      <c r="Q26" s="59"/>
      <c r="R26" s="58"/>
      <c r="S26" s="54">
        <v>305570</v>
      </c>
      <c r="T26" s="63">
        <f t="shared" si="4"/>
        <v>679014</v>
      </c>
      <c r="U26" s="63">
        <f t="shared" si="5"/>
        <v>0</v>
      </c>
      <c r="V26" s="63">
        <f t="shared" si="6"/>
        <v>0</v>
      </c>
      <c r="W26" s="63">
        <f t="shared" si="7"/>
        <v>0</v>
      </c>
      <c r="X26" s="63">
        <f t="shared" si="8"/>
        <v>0</v>
      </c>
      <c r="Y26" s="63">
        <f t="shared" si="9"/>
        <v>0</v>
      </c>
      <c r="Z26" s="63">
        <f t="shared" si="10"/>
        <v>0</v>
      </c>
    </row>
    <row r="27" spans="2:26" ht="123" customHeight="1" thickBot="1" x14ac:dyDescent="0.3">
      <c r="B27" s="128">
        <f t="shared" si="11"/>
        <v>106</v>
      </c>
      <c r="C27" s="52" t="s">
        <v>203</v>
      </c>
      <c r="D27" s="35" t="s">
        <v>202</v>
      </c>
      <c r="E27" s="50">
        <v>10</v>
      </c>
      <c r="F27" s="50">
        <v>0</v>
      </c>
      <c r="G27" s="50">
        <v>0</v>
      </c>
      <c r="H27" s="50">
        <v>0</v>
      </c>
      <c r="I27" s="50">
        <v>0</v>
      </c>
      <c r="J27" s="50">
        <v>0</v>
      </c>
      <c r="K27" s="126">
        <v>0</v>
      </c>
      <c r="L27" s="125">
        <f t="shared" si="0"/>
        <v>10</v>
      </c>
      <c r="M27" s="63">
        <v>218960</v>
      </c>
      <c r="N27" s="63">
        <f t="shared" si="1"/>
        <v>186340.31359999999</v>
      </c>
      <c r="O27" s="64">
        <f t="shared" si="2"/>
        <v>201993</v>
      </c>
      <c r="P27" s="63">
        <f t="shared" si="3"/>
        <v>2019930</v>
      </c>
      <c r="Q27" s="59"/>
      <c r="R27" s="58"/>
      <c r="S27" s="54">
        <v>164728</v>
      </c>
      <c r="T27" s="63">
        <f t="shared" si="4"/>
        <v>2019930</v>
      </c>
      <c r="U27" s="63">
        <f t="shared" si="5"/>
        <v>0</v>
      </c>
      <c r="V27" s="63">
        <f t="shared" si="6"/>
        <v>0</v>
      </c>
      <c r="W27" s="63">
        <f t="shared" si="7"/>
        <v>0</v>
      </c>
      <c r="X27" s="63">
        <f t="shared" si="8"/>
        <v>0</v>
      </c>
      <c r="Y27" s="63">
        <f t="shared" si="9"/>
        <v>0</v>
      </c>
      <c r="Z27" s="63">
        <f t="shared" si="10"/>
        <v>0</v>
      </c>
    </row>
    <row r="28" spans="2:26" ht="134.25" customHeight="1" thickBot="1" x14ac:dyDescent="0.3">
      <c r="B28" s="128">
        <f t="shared" si="11"/>
        <v>107</v>
      </c>
      <c r="C28" s="52" t="s">
        <v>204</v>
      </c>
      <c r="D28" s="35" t="s">
        <v>205</v>
      </c>
      <c r="E28" s="50">
        <v>2</v>
      </c>
      <c r="F28" s="50">
        <v>0</v>
      </c>
      <c r="G28" s="50">
        <v>0</v>
      </c>
      <c r="H28" s="50">
        <v>0</v>
      </c>
      <c r="I28" s="50">
        <v>0</v>
      </c>
      <c r="J28" s="50">
        <v>0</v>
      </c>
      <c r="K28" s="126">
        <v>0</v>
      </c>
      <c r="L28" s="125">
        <f t="shared" si="0"/>
        <v>2</v>
      </c>
      <c r="M28" s="63">
        <v>114478</v>
      </c>
      <c r="N28" s="63">
        <f t="shared" si="1"/>
        <v>107483.2304</v>
      </c>
      <c r="O28" s="64">
        <f t="shared" si="2"/>
        <v>110925</v>
      </c>
      <c r="P28" s="63">
        <f t="shared" si="3"/>
        <v>221850</v>
      </c>
      <c r="Q28" s="59"/>
      <c r="R28" s="58"/>
      <c r="S28" s="54">
        <v>95017</v>
      </c>
      <c r="T28" s="63">
        <f t="shared" si="4"/>
        <v>221850</v>
      </c>
      <c r="U28" s="63">
        <f t="shared" si="5"/>
        <v>0</v>
      </c>
      <c r="V28" s="63">
        <f t="shared" si="6"/>
        <v>0</v>
      </c>
      <c r="W28" s="63">
        <f t="shared" si="7"/>
        <v>0</v>
      </c>
      <c r="X28" s="63">
        <f t="shared" si="8"/>
        <v>0</v>
      </c>
      <c r="Y28" s="63">
        <f t="shared" si="9"/>
        <v>0</v>
      </c>
      <c r="Z28" s="63">
        <f t="shared" si="10"/>
        <v>0</v>
      </c>
    </row>
    <row r="29" spans="2:26" ht="123" customHeight="1" thickBot="1" x14ac:dyDescent="0.3">
      <c r="B29" s="128">
        <f t="shared" si="11"/>
        <v>108</v>
      </c>
      <c r="C29" s="52" t="s">
        <v>206</v>
      </c>
      <c r="D29" s="35" t="s">
        <v>207</v>
      </c>
      <c r="E29" s="50">
        <v>1</v>
      </c>
      <c r="F29" s="50">
        <v>0</v>
      </c>
      <c r="G29" s="50">
        <v>0</v>
      </c>
      <c r="H29" s="50">
        <v>0</v>
      </c>
      <c r="I29" s="50">
        <v>0</v>
      </c>
      <c r="J29" s="50">
        <v>0</v>
      </c>
      <c r="K29" s="126">
        <v>0</v>
      </c>
      <c r="L29" s="125">
        <f t="shared" si="0"/>
        <v>1</v>
      </c>
      <c r="M29" s="63">
        <v>795991</v>
      </c>
      <c r="N29" s="63">
        <f t="shared" si="1"/>
        <v>631900.76320000004</v>
      </c>
      <c r="O29" s="64">
        <f t="shared" si="2"/>
        <v>709216</v>
      </c>
      <c r="P29" s="63">
        <f t="shared" si="3"/>
        <v>709216</v>
      </c>
      <c r="Q29" s="59"/>
      <c r="R29" s="58"/>
      <c r="S29" s="54">
        <v>558611</v>
      </c>
      <c r="T29" s="63">
        <f t="shared" si="4"/>
        <v>709216</v>
      </c>
      <c r="U29" s="63">
        <f t="shared" si="5"/>
        <v>0</v>
      </c>
      <c r="V29" s="63">
        <f t="shared" si="6"/>
        <v>0</v>
      </c>
      <c r="W29" s="63">
        <f t="shared" si="7"/>
        <v>0</v>
      </c>
      <c r="X29" s="63">
        <f t="shared" si="8"/>
        <v>0</v>
      </c>
      <c r="Y29" s="63">
        <f t="shared" si="9"/>
        <v>0</v>
      </c>
      <c r="Z29" s="63">
        <f t="shared" si="10"/>
        <v>0</v>
      </c>
    </row>
    <row r="30" spans="2:26" ht="123" customHeight="1" thickBot="1" x14ac:dyDescent="0.3">
      <c r="B30" s="128">
        <f t="shared" si="11"/>
        <v>109</v>
      </c>
      <c r="C30" s="52" t="s">
        <v>208</v>
      </c>
      <c r="D30" s="35" t="s">
        <v>209</v>
      </c>
      <c r="E30" s="50">
        <v>3</v>
      </c>
      <c r="F30" s="50">
        <v>0</v>
      </c>
      <c r="G30" s="50">
        <v>0</v>
      </c>
      <c r="H30" s="50">
        <v>0</v>
      </c>
      <c r="I30" s="50">
        <v>0</v>
      </c>
      <c r="J30" s="50">
        <v>0</v>
      </c>
      <c r="K30" s="126">
        <v>0</v>
      </c>
      <c r="L30" s="125">
        <f t="shared" si="0"/>
        <v>3</v>
      </c>
      <c r="M30" s="63">
        <v>360213</v>
      </c>
      <c r="N30" s="63">
        <f t="shared" si="1"/>
        <v>354876.6704</v>
      </c>
      <c r="O30" s="64">
        <f t="shared" si="2"/>
        <v>357535</v>
      </c>
      <c r="P30" s="63">
        <f t="shared" si="3"/>
        <v>1072605</v>
      </c>
      <c r="Q30" s="59"/>
      <c r="R30" s="58"/>
      <c r="S30" s="54">
        <v>313717</v>
      </c>
      <c r="T30" s="63">
        <f t="shared" si="4"/>
        <v>1072605</v>
      </c>
      <c r="U30" s="63">
        <f t="shared" si="5"/>
        <v>0</v>
      </c>
      <c r="V30" s="63">
        <f t="shared" si="6"/>
        <v>0</v>
      </c>
      <c r="W30" s="63">
        <f t="shared" si="7"/>
        <v>0</v>
      </c>
      <c r="X30" s="63">
        <f t="shared" si="8"/>
        <v>0</v>
      </c>
      <c r="Y30" s="63">
        <f t="shared" si="9"/>
        <v>0</v>
      </c>
      <c r="Z30" s="63">
        <f t="shared" si="10"/>
        <v>0</v>
      </c>
    </row>
    <row r="31" spans="2:26" ht="123" customHeight="1" thickBot="1" x14ac:dyDescent="0.3">
      <c r="B31" s="128">
        <f t="shared" si="11"/>
        <v>110</v>
      </c>
      <c r="C31" s="52" t="s">
        <v>210</v>
      </c>
      <c r="D31" s="35" t="s">
        <v>211</v>
      </c>
      <c r="E31" s="50">
        <v>5</v>
      </c>
      <c r="F31" s="50">
        <v>0</v>
      </c>
      <c r="G31" s="50">
        <v>0</v>
      </c>
      <c r="H31" s="50">
        <v>0</v>
      </c>
      <c r="I31" s="50">
        <v>0</v>
      </c>
      <c r="J31" s="50">
        <v>0</v>
      </c>
      <c r="K31" s="126">
        <v>0</v>
      </c>
      <c r="L31" s="125">
        <f t="shared" si="0"/>
        <v>5</v>
      </c>
      <c r="M31" s="63">
        <v>484925</v>
      </c>
      <c r="N31" s="63">
        <f t="shared" si="1"/>
        <v>366042.74559999997</v>
      </c>
      <c r="O31" s="64">
        <f t="shared" si="2"/>
        <v>421311</v>
      </c>
      <c r="P31" s="63">
        <f t="shared" si="3"/>
        <v>2106555</v>
      </c>
      <c r="Q31" s="59"/>
      <c r="R31" s="58"/>
      <c r="S31" s="54">
        <v>323588</v>
      </c>
      <c r="T31" s="63">
        <f t="shared" si="4"/>
        <v>2106555</v>
      </c>
      <c r="U31" s="63">
        <f t="shared" si="5"/>
        <v>0</v>
      </c>
      <c r="V31" s="63">
        <f t="shared" si="6"/>
        <v>0</v>
      </c>
      <c r="W31" s="63">
        <f t="shared" si="7"/>
        <v>0</v>
      </c>
      <c r="X31" s="63">
        <f t="shared" si="8"/>
        <v>0</v>
      </c>
      <c r="Y31" s="63">
        <f t="shared" si="9"/>
        <v>0</v>
      </c>
      <c r="Z31" s="63">
        <f t="shared" si="10"/>
        <v>0</v>
      </c>
    </row>
    <row r="32" spans="2:26" ht="123" customHeight="1" thickBot="1" x14ac:dyDescent="0.3">
      <c r="B32" s="128">
        <f t="shared" si="11"/>
        <v>111</v>
      </c>
      <c r="C32" s="52" t="s">
        <v>212</v>
      </c>
      <c r="D32" s="35" t="s">
        <v>213</v>
      </c>
      <c r="E32" s="50">
        <v>5</v>
      </c>
      <c r="F32" s="50">
        <v>3</v>
      </c>
      <c r="G32" s="50">
        <v>1</v>
      </c>
      <c r="H32" s="50">
        <v>2</v>
      </c>
      <c r="I32" s="50">
        <v>0</v>
      </c>
      <c r="J32" s="50">
        <v>0</v>
      </c>
      <c r="K32" s="126">
        <v>0</v>
      </c>
      <c r="L32" s="125">
        <f t="shared" si="0"/>
        <v>11</v>
      </c>
      <c r="M32" s="63">
        <v>530145</v>
      </c>
      <c r="N32" s="63">
        <f t="shared" si="1"/>
        <v>413053.15519999998</v>
      </c>
      <c r="O32" s="64">
        <f t="shared" si="2"/>
        <v>467951</v>
      </c>
      <c r="P32" s="63">
        <f t="shared" si="3"/>
        <v>5147461</v>
      </c>
      <c r="Q32" s="59"/>
      <c r="R32" s="58"/>
      <c r="S32" s="54">
        <v>365146</v>
      </c>
      <c r="T32" s="63">
        <f t="shared" si="4"/>
        <v>2339755</v>
      </c>
      <c r="U32" s="63">
        <f t="shared" si="5"/>
        <v>1403853</v>
      </c>
      <c r="V32" s="63">
        <f t="shared" si="6"/>
        <v>467951</v>
      </c>
      <c r="W32" s="63">
        <f t="shared" si="7"/>
        <v>935902</v>
      </c>
      <c r="X32" s="63">
        <f t="shared" si="8"/>
        <v>0</v>
      </c>
      <c r="Y32" s="63">
        <f t="shared" si="9"/>
        <v>0</v>
      </c>
      <c r="Z32" s="63">
        <f t="shared" si="10"/>
        <v>0</v>
      </c>
    </row>
    <row r="33" spans="2:26" ht="123" customHeight="1" thickBot="1" x14ac:dyDescent="0.3">
      <c r="B33" s="128">
        <f t="shared" si="11"/>
        <v>112</v>
      </c>
      <c r="C33" s="52" t="s">
        <v>214</v>
      </c>
      <c r="D33" s="35" t="s">
        <v>263</v>
      </c>
      <c r="E33" s="50">
        <v>5</v>
      </c>
      <c r="F33" s="50">
        <v>3</v>
      </c>
      <c r="G33" s="50">
        <v>0</v>
      </c>
      <c r="H33" s="50">
        <v>0</v>
      </c>
      <c r="I33" s="50">
        <v>0</v>
      </c>
      <c r="J33" s="50">
        <v>0</v>
      </c>
      <c r="K33" s="126">
        <v>0</v>
      </c>
      <c r="L33" s="125">
        <f t="shared" si="0"/>
        <v>8</v>
      </c>
      <c r="M33" s="63">
        <v>375445</v>
      </c>
      <c r="N33" s="63">
        <f t="shared" si="1"/>
        <v>294358.60159999999</v>
      </c>
      <c r="O33" s="64">
        <f t="shared" si="2"/>
        <v>332439</v>
      </c>
      <c r="P33" s="63">
        <f t="shared" si="3"/>
        <v>2659512</v>
      </c>
      <c r="Q33" s="59"/>
      <c r="R33" s="58"/>
      <c r="S33" s="54">
        <v>260218</v>
      </c>
      <c r="T33" s="63">
        <f t="shared" si="4"/>
        <v>1662195</v>
      </c>
      <c r="U33" s="63">
        <f t="shared" si="5"/>
        <v>997317</v>
      </c>
      <c r="V33" s="63">
        <f t="shared" si="6"/>
        <v>0</v>
      </c>
      <c r="W33" s="63">
        <f t="shared" si="7"/>
        <v>0</v>
      </c>
      <c r="X33" s="63">
        <f t="shared" si="8"/>
        <v>0</v>
      </c>
      <c r="Y33" s="63">
        <f t="shared" si="9"/>
        <v>0</v>
      </c>
      <c r="Z33" s="63">
        <f t="shared" si="10"/>
        <v>0</v>
      </c>
    </row>
    <row r="34" spans="2:26" ht="123" customHeight="1" thickBot="1" x14ac:dyDescent="0.3">
      <c r="B34" s="128">
        <f t="shared" si="11"/>
        <v>113</v>
      </c>
      <c r="C34" s="52" t="s">
        <v>215</v>
      </c>
      <c r="D34" s="35" t="s">
        <v>216</v>
      </c>
      <c r="E34" s="50">
        <v>1</v>
      </c>
      <c r="F34" s="50">
        <v>0</v>
      </c>
      <c r="G34" s="50">
        <v>0</v>
      </c>
      <c r="H34" s="50">
        <v>0</v>
      </c>
      <c r="I34" s="50">
        <v>0</v>
      </c>
      <c r="J34" s="50">
        <v>2</v>
      </c>
      <c r="K34" s="126">
        <v>0</v>
      </c>
      <c r="L34" s="125">
        <f t="shared" si="0"/>
        <v>3</v>
      </c>
      <c r="M34" s="63">
        <v>100793</v>
      </c>
      <c r="N34" s="63">
        <f t="shared" si="1"/>
        <v>82027.836800000005</v>
      </c>
      <c r="O34" s="64">
        <f t="shared" si="2"/>
        <v>90928</v>
      </c>
      <c r="P34" s="63">
        <f t="shared" si="3"/>
        <v>272784</v>
      </c>
      <c r="Q34" s="59"/>
      <c r="R34" s="58"/>
      <c r="S34" s="54">
        <v>72514</v>
      </c>
      <c r="T34" s="63">
        <f t="shared" si="4"/>
        <v>90928</v>
      </c>
      <c r="U34" s="63">
        <f t="shared" si="5"/>
        <v>0</v>
      </c>
      <c r="V34" s="63">
        <f t="shared" si="6"/>
        <v>0</v>
      </c>
      <c r="W34" s="63">
        <f t="shared" si="7"/>
        <v>0</v>
      </c>
      <c r="X34" s="63">
        <f t="shared" si="8"/>
        <v>0</v>
      </c>
      <c r="Y34" s="63">
        <f t="shared" si="9"/>
        <v>181856</v>
      </c>
      <c r="Z34" s="63">
        <f t="shared" si="10"/>
        <v>0</v>
      </c>
    </row>
    <row r="35" spans="2:26" ht="123" customHeight="1" thickBot="1" x14ac:dyDescent="0.3">
      <c r="B35" s="128">
        <f t="shared" si="11"/>
        <v>114</v>
      </c>
      <c r="C35" s="52" t="s">
        <v>217</v>
      </c>
      <c r="D35" s="35" t="s">
        <v>218</v>
      </c>
      <c r="E35" s="50">
        <v>1</v>
      </c>
      <c r="F35" s="50">
        <v>0</v>
      </c>
      <c r="G35" s="50">
        <v>0</v>
      </c>
      <c r="H35" s="50">
        <v>0</v>
      </c>
      <c r="I35" s="50">
        <v>0</v>
      </c>
      <c r="J35" s="50">
        <v>0</v>
      </c>
      <c r="K35" s="126">
        <v>0</v>
      </c>
      <c r="L35" s="125">
        <f t="shared" si="0"/>
        <v>1</v>
      </c>
      <c r="M35" s="63">
        <v>290836</v>
      </c>
      <c r="N35" s="63">
        <f t="shared" si="1"/>
        <v>295727.35359999997</v>
      </c>
      <c r="O35" s="64">
        <f t="shared" si="2"/>
        <v>293271</v>
      </c>
      <c r="P35" s="63">
        <f t="shared" si="3"/>
        <v>293271</v>
      </c>
      <c r="Q35" s="59"/>
      <c r="R35" s="58"/>
      <c r="S35" s="54">
        <v>261428</v>
      </c>
      <c r="T35" s="63">
        <f t="shared" si="4"/>
        <v>293271</v>
      </c>
      <c r="U35" s="63">
        <f t="shared" si="5"/>
        <v>0</v>
      </c>
      <c r="V35" s="63">
        <f t="shared" si="6"/>
        <v>0</v>
      </c>
      <c r="W35" s="63">
        <f t="shared" si="7"/>
        <v>0</v>
      </c>
      <c r="X35" s="63">
        <f t="shared" si="8"/>
        <v>0</v>
      </c>
      <c r="Y35" s="63">
        <f t="shared" si="9"/>
        <v>0</v>
      </c>
      <c r="Z35" s="63">
        <f t="shared" si="10"/>
        <v>0</v>
      </c>
    </row>
    <row r="36" spans="2:26" ht="123" customHeight="1" thickBot="1" x14ac:dyDescent="0.3">
      <c r="B36" s="128">
        <f t="shared" si="11"/>
        <v>115</v>
      </c>
      <c r="C36" s="52" t="s">
        <v>219</v>
      </c>
      <c r="D36" s="35" t="s">
        <v>213</v>
      </c>
      <c r="E36" s="50">
        <v>3</v>
      </c>
      <c r="F36" s="50">
        <v>0</v>
      </c>
      <c r="G36" s="50">
        <v>1</v>
      </c>
      <c r="H36" s="50">
        <v>0</v>
      </c>
      <c r="I36" s="50">
        <v>0</v>
      </c>
      <c r="J36" s="50">
        <v>0</v>
      </c>
      <c r="K36" s="126">
        <v>0</v>
      </c>
      <c r="L36" s="125">
        <f t="shared" si="0"/>
        <v>4</v>
      </c>
      <c r="M36" s="63">
        <v>608804</v>
      </c>
      <c r="N36" s="63">
        <f t="shared" si="1"/>
        <v>502844.41759999999</v>
      </c>
      <c r="O36" s="64">
        <f t="shared" si="2"/>
        <v>553293</v>
      </c>
      <c r="P36" s="63">
        <f t="shared" si="3"/>
        <v>2213172</v>
      </c>
      <c r="Q36" s="59"/>
      <c r="R36" s="58"/>
      <c r="S36" s="54">
        <v>444523</v>
      </c>
      <c r="T36" s="63">
        <f t="shared" si="4"/>
        <v>1659879</v>
      </c>
      <c r="U36" s="63">
        <f t="shared" si="5"/>
        <v>0</v>
      </c>
      <c r="V36" s="63">
        <f t="shared" si="6"/>
        <v>553293</v>
      </c>
      <c r="W36" s="63">
        <f t="shared" si="7"/>
        <v>0</v>
      </c>
      <c r="X36" s="63">
        <f t="shared" si="8"/>
        <v>0</v>
      </c>
      <c r="Y36" s="63">
        <f t="shared" si="9"/>
        <v>0</v>
      </c>
      <c r="Z36" s="63">
        <f t="shared" si="10"/>
        <v>0</v>
      </c>
    </row>
    <row r="37" spans="2:26" ht="123" customHeight="1" thickBot="1" x14ac:dyDescent="0.3">
      <c r="B37" s="128">
        <f t="shared" si="11"/>
        <v>116</v>
      </c>
      <c r="C37" s="52" t="s">
        <v>220</v>
      </c>
      <c r="D37" s="35" t="s">
        <v>221</v>
      </c>
      <c r="E37" s="50">
        <v>3</v>
      </c>
      <c r="F37" s="50">
        <v>1</v>
      </c>
      <c r="G37" s="50">
        <v>1</v>
      </c>
      <c r="H37" s="50">
        <v>0</v>
      </c>
      <c r="I37" s="50">
        <v>0</v>
      </c>
      <c r="J37" s="50">
        <v>0</v>
      </c>
      <c r="K37" s="126">
        <v>0</v>
      </c>
      <c r="L37" s="125">
        <f t="shared" si="0"/>
        <v>5</v>
      </c>
      <c r="M37" s="63">
        <v>200158</v>
      </c>
      <c r="N37" s="63">
        <f t="shared" si="1"/>
        <v>172425.42240000001</v>
      </c>
      <c r="O37" s="64">
        <f t="shared" si="2"/>
        <v>185775</v>
      </c>
      <c r="P37" s="63">
        <f t="shared" si="3"/>
        <v>928875</v>
      </c>
      <c r="Q37" s="59"/>
      <c r="R37" s="58"/>
      <c r="S37" s="54">
        <v>152427</v>
      </c>
      <c r="T37" s="63">
        <f t="shared" si="4"/>
        <v>557325</v>
      </c>
      <c r="U37" s="63">
        <f t="shared" si="5"/>
        <v>185775</v>
      </c>
      <c r="V37" s="63">
        <f t="shared" si="6"/>
        <v>185775</v>
      </c>
      <c r="W37" s="63">
        <f t="shared" si="7"/>
        <v>0</v>
      </c>
      <c r="X37" s="63">
        <f t="shared" si="8"/>
        <v>0</v>
      </c>
      <c r="Y37" s="63">
        <f t="shared" si="9"/>
        <v>0</v>
      </c>
      <c r="Z37" s="63">
        <f t="shared" si="10"/>
        <v>0</v>
      </c>
    </row>
    <row r="38" spans="2:26" ht="123" customHeight="1" thickBot="1" x14ac:dyDescent="0.3">
      <c r="B38" s="128">
        <f t="shared" si="11"/>
        <v>117</v>
      </c>
      <c r="C38" s="52" t="s">
        <v>222</v>
      </c>
      <c r="D38" s="35" t="s">
        <v>223</v>
      </c>
      <c r="E38" s="50">
        <v>1</v>
      </c>
      <c r="F38" s="50">
        <v>0</v>
      </c>
      <c r="G38" s="50">
        <v>0</v>
      </c>
      <c r="H38" s="50">
        <v>0</v>
      </c>
      <c r="I38" s="50">
        <v>0</v>
      </c>
      <c r="J38" s="50">
        <v>0</v>
      </c>
      <c r="K38" s="126">
        <v>0</v>
      </c>
      <c r="L38" s="125">
        <f t="shared" si="0"/>
        <v>1</v>
      </c>
      <c r="M38" s="63">
        <v>584171</v>
      </c>
      <c r="N38" s="63">
        <f t="shared" si="1"/>
        <v>426412.62719999999</v>
      </c>
      <c r="O38" s="64">
        <f t="shared" si="2"/>
        <v>499097</v>
      </c>
      <c r="P38" s="63">
        <f t="shared" si="3"/>
        <v>499097</v>
      </c>
      <c r="Q38" s="59"/>
      <c r="R38" s="58"/>
      <c r="S38" s="54">
        <v>376956</v>
      </c>
      <c r="T38" s="63">
        <f t="shared" si="4"/>
        <v>499097</v>
      </c>
      <c r="U38" s="63">
        <f t="shared" si="5"/>
        <v>0</v>
      </c>
      <c r="V38" s="63">
        <f t="shared" si="6"/>
        <v>0</v>
      </c>
      <c r="W38" s="63">
        <f t="shared" si="7"/>
        <v>0</v>
      </c>
      <c r="X38" s="63">
        <f t="shared" si="8"/>
        <v>0</v>
      </c>
      <c r="Y38" s="63">
        <f t="shared" si="9"/>
        <v>0</v>
      </c>
      <c r="Z38" s="63">
        <f t="shared" si="10"/>
        <v>0</v>
      </c>
    </row>
    <row r="39" spans="2:26" ht="123" customHeight="1" thickBot="1" x14ac:dyDescent="0.3">
      <c r="B39" s="128">
        <f t="shared" si="11"/>
        <v>118</v>
      </c>
      <c r="C39" s="52" t="s">
        <v>224</v>
      </c>
      <c r="D39" s="35" t="s">
        <v>17</v>
      </c>
      <c r="E39" s="50">
        <v>2</v>
      </c>
      <c r="F39" s="50">
        <v>0</v>
      </c>
      <c r="G39" s="50">
        <v>0</v>
      </c>
      <c r="H39" s="50">
        <v>0</v>
      </c>
      <c r="I39" s="50">
        <v>0</v>
      </c>
      <c r="J39" s="50">
        <v>0</v>
      </c>
      <c r="K39" s="126">
        <v>0</v>
      </c>
      <c r="L39" s="125">
        <f t="shared" si="0"/>
        <v>2</v>
      </c>
      <c r="M39" s="63">
        <v>321300</v>
      </c>
      <c r="N39" s="63"/>
      <c r="O39" s="64">
        <f t="shared" si="2"/>
        <v>321300</v>
      </c>
      <c r="P39" s="63">
        <f t="shared" si="3"/>
        <v>642600</v>
      </c>
      <c r="Q39" s="59"/>
      <c r="R39" s="58"/>
      <c r="S39" s="54">
        <v>288718</v>
      </c>
      <c r="T39" s="63">
        <f t="shared" si="4"/>
        <v>642600</v>
      </c>
      <c r="U39" s="63">
        <f t="shared" si="5"/>
        <v>0</v>
      </c>
      <c r="V39" s="63">
        <f t="shared" si="6"/>
        <v>0</v>
      </c>
      <c r="W39" s="63">
        <f t="shared" si="7"/>
        <v>0</v>
      </c>
      <c r="X39" s="63">
        <f t="shared" si="8"/>
        <v>0</v>
      </c>
      <c r="Y39" s="63">
        <f t="shared" si="9"/>
        <v>0</v>
      </c>
      <c r="Z39" s="63">
        <f t="shared" si="10"/>
        <v>0</v>
      </c>
    </row>
    <row r="40" spans="2:26" ht="123" customHeight="1" thickBot="1" x14ac:dyDescent="0.3">
      <c r="B40" s="128">
        <f t="shared" si="11"/>
        <v>119</v>
      </c>
      <c r="C40" s="52" t="s">
        <v>225</v>
      </c>
      <c r="D40" s="35" t="s">
        <v>226</v>
      </c>
      <c r="E40" s="50">
        <v>1</v>
      </c>
      <c r="F40" s="50">
        <v>0</v>
      </c>
      <c r="G40" s="50">
        <v>0</v>
      </c>
      <c r="H40" s="50">
        <v>0</v>
      </c>
      <c r="I40" s="50">
        <v>0</v>
      </c>
      <c r="J40" s="50">
        <v>0</v>
      </c>
      <c r="K40" s="126">
        <v>0</v>
      </c>
      <c r="L40" s="125">
        <f t="shared" si="0"/>
        <v>1</v>
      </c>
      <c r="M40" s="63">
        <v>91273</v>
      </c>
      <c r="N40" s="63">
        <f t="shared" si="1"/>
        <v>87498.319999999992</v>
      </c>
      <c r="O40" s="64">
        <f t="shared" si="2"/>
        <v>89366</v>
      </c>
      <c r="P40" s="63">
        <f t="shared" si="3"/>
        <v>89366</v>
      </c>
      <c r="Q40" s="59"/>
      <c r="R40" s="58"/>
      <c r="S40" s="54">
        <v>77350</v>
      </c>
      <c r="T40" s="63">
        <f t="shared" si="4"/>
        <v>89366</v>
      </c>
      <c r="U40" s="63">
        <f t="shared" si="5"/>
        <v>0</v>
      </c>
      <c r="V40" s="63">
        <f t="shared" si="6"/>
        <v>0</v>
      </c>
      <c r="W40" s="63">
        <f t="shared" si="7"/>
        <v>0</v>
      </c>
      <c r="X40" s="63">
        <f t="shared" si="8"/>
        <v>0</v>
      </c>
      <c r="Y40" s="63">
        <f t="shared" si="9"/>
        <v>0</v>
      </c>
      <c r="Z40" s="63">
        <f t="shared" si="10"/>
        <v>0</v>
      </c>
    </row>
    <row r="41" spans="2:26" ht="123" customHeight="1" thickBot="1" x14ac:dyDescent="0.3">
      <c r="B41" s="128">
        <f t="shared" si="11"/>
        <v>120</v>
      </c>
      <c r="C41" s="52" t="s">
        <v>227</v>
      </c>
      <c r="D41" s="35" t="s">
        <v>228</v>
      </c>
      <c r="E41" s="50">
        <v>1</v>
      </c>
      <c r="F41" s="50">
        <v>0</v>
      </c>
      <c r="G41" s="50">
        <v>0</v>
      </c>
      <c r="H41" s="50">
        <v>0</v>
      </c>
      <c r="I41" s="50">
        <v>0</v>
      </c>
      <c r="J41" s="50">
        <v>0</v>
      </c>
      <c r="K41" s="126">
        <v>0</v>
      </c>
      <c r="L41" s="125">
        <f t="shared" si="0"/>
        <v>1</v>
      </c>
      <c r="M41" s="63">
        <v>102221</v>
      </c>
      <c r="N41" s="63"/>
      <c r="O41" s="64">
        <f t="shared" si="2"/>
        <v>102221</v>
      </c>
      <c r="P41" s="63">
        <f t="shared" si="3"/>
        <v>102221</v>
      </c>
      <c r="Q41" s="59"/>
      <c r="R41" s="58"/>
      <c r="S41" s="54">
        <v>94010</v>
      </c>
      <c r="T41" s="63">
        <f t="shared" si="4"/>
        <v>102221</v>
      </c>
      <c r="U41" s="63">
        <f t="shared" si="5"/>
        <v>0</v>
      </c>
      <c r="V41" s="63">
        <f t="shared" si="6"/>
        <v>0</v>
      </c>
      <c r="W41" s="63">
        <f t="shared" si="7"/>
        <v>0</v>
      </c>
      <c r="X41" s="63">
        <f t="shared" si="8"/>
        <v>0</v>
      </c>
      <c r="Y41" s="63">
        <f t="shared" si="9"/>
        <v>0</v>
      </c>
      <c r="Z41" s="63">
        <f t="shared" si="10"/>
        <v>0</v>
      </c>
    </row>
    <row r="42" spans="2:26" ht="123" customHeight="1" thickBot="1" x14ac:dyDescent="0.3">
      <c r="B42" s="128">
        <f t="shared" si="11"/>
        <v>121</v>
      </c>
      <c r="C42" s="52" t="s">
        <v>229</v>
      </c>
      <c r="D42" s="35" t="s">
        <v>226</v>
      </c>
      <c r="E42" s="50">
        <v>1</v>
      </c>
      <c r="F42" s="50">
        <v>0</v>
      </c>
      <c r="G42" s="50">
        <v>0</v>
      </c>
      <c r="H42" s="50">
        <v>0</v>
      </c>
      <c r="I42" s="50">
        <v>0</v>
      </c>
      <c r="J42" s="50">
        <v>0</v>
      </c>
      <c r="K42" s="126">
        <v>0</v>
      </c>
      <c r="L42" s="125">
        <f t="shared" si="0"/>
        <v>1</v>
      </c>
      <c r="M42" s="63">
        <v>65688</v>
      </c>
      <c r="N42" s="63"/>
      <c r="O42" s="64">
        <f t="shared" si="2"/>
        <v>65688</v>
      </c>
      <c r="P42" s="63">
        <f t="shared" si="3"/>
        <v>65688</v>
      </c>
      <c r="Q42" s="59"/>
      <c r="R42" s="58"/>
      <c r="S42" s="54">
        <v>60771</v>
      </c>
      <c r="T42" s="63">
        <f t="shared" si="4"/>
        <v>65688</v>
      </c>
      <c r="U42" s="63">
        <f t="shared" si="5"/>
        <v>0</v>
      </c>
      <c r="V42" s="63">
        <f t="shared" si="6"/>
        <v>0</v>
      </c>
      <c r="W42" s="63">
        <f t="shared" si="7"/>
        <v>0</v>
      </c>
      <c r="X42" s="63">
        <f t="shared" si="8"/>
        <v>0</v>
      </c>
      <c r="Y42" s="63">
        <f t="shared" si="9"/>
        <v>0</v>
      </c>
      <c r="Z42" s="63">
        <f t="shared" si="10"/>
        <v>0</v>
      </c>
    </row>
    <row r="43" spans="2:26" ht="123" customHeight="1" thickBot="1" x14ac:dyDescent="0.3">
      <c r="B43" s="128">
        <f t="shared" si="11"/>
        <v>122</v>
      </c>
      <c r="C43" s="52" t="s">
        <v>230</v>
      </c>
      <c r="D43" s="35" t="s">
        <v>176</v>
      </c>
      <c r="E43" s="50">
        <v>1</v>
      </c>
      <c r="F43" s="50">
        <v>0</v>
      </c>
      <c r="G43" s="50">
        <v>0</v>
      </c>
      <c r="H43" s="50">
        <v>0</v>
      </c>
      <c r="I43" s="50">
        <v>0</v>
      </c>
      <c r="J43" s="50">
        <v>0</v>
      </c>
      <c r="K43" s="126">
        <v>0</v>
      </c>
      <c r="L43" s="125">
        <f t="shared" si="0"/>
        <v>1</v>
      </c>
      <c r="M43" s="63">
        <v>555016</v>
      </c>
      <c r="N43" s="63">
        <f t="shared" si="1"/>
        <v>536520.24159999995</v>
      </c>
      <c r="O43" s="64">
        <f t="shared" si="2"/>
        <v>545690</v>
      </c>
      <c r="P43" s="63">
        <f t="shared" si="3"/>
        <v>545690</v>
      </c>
      <c r="Q43" s="59"/>
      <c r="R43" s="58"/>
      <c r="S43" s="54">
        <v>474293</v>
      </c>
      <c r="T43" s="63">
        <f t="shared" si="4"/>
        <v>545690</v>
      </c>
      <c r="U43" s="63">
        <f t="shared" si="5"/>
        <v>0</v>
      </c>
      <c r="V43" s="63">
        <f t="shared" si="6"/>
        <v>0</v>
      </c>
      <c r="W43" s="63">
        <f t="shared" si="7"/>
        <v>0</v>
      </c>
      <c r="X43" s="63">
        <f t="shared" si="8"/>
        <v>0</v>
      </c>
      <c r="Y43" s="63">
        <f t="shared" si="9"/>
        <v>0</v>
      </c>
      <c r="Z43" s="63">
        <f t="shared" si="10"/>
        <v>0</v>
      </c>
    </row>
    <row r="44" spans="2:26" ht="123" customHeight="1" thickBot="1" x14ac:dyDescent="0.3">
      <c r="B44" s="128">
        <f t="shared" si="11"/>
        <v>123</v>
      </c>
      <c r="C44" s="52" t="s">
        <v>231</v>
      </c>
      <c r="D44" s="35" t="s">
        <v>226</v>
      </c>
      <c r="E44" s="50">
        <v>1</v>
      </c>
      <c r="F44" s="50">
        <v>0</v>
      </c>
      <c r="G44" s="50">
        <v>0</v>
      </c>
      <c r="H44" s="50">
        <v>0</v>
      </c>
      <c r="I44" s="50">
        <v>0</v>
      </c>
      <c r="J44" s="50">
        <v>0</v>
      </c>
      <c r="K44" s="126">
        <v>0</v>
      </c>
      <c r="L44" s="125">
        <f t="shared" si="0"/>
        <v>1</v>
      </c>
      <c r="M44" s="63">
        <v>84014</v>
      </c>
      <c r="N44" s="63">
        <f t="shared" si="1"/>
        <v>78748.487999999998</v>
      </c>
      <c r="O44" s="64">
        <f t="shared" si="2"/>
        <v>81339</v>
      </c>
      <c r="P44" s="63">
        <f t="shared" si="3"/>
        <v>81339</v>
      </c>
      <c r="Q44" s="59"/>
      <c r="R44" s="58"/>
      <c r="S44" s="54">
        <v>69615</v>
      </c>
      <c r="T44" s="63">
        <f t="shared" si="4"/>
        <v>81339</v>
      </c>
      <c r="U44" s="63">
        <f t="shared" si="5"/>
        <v>0</v>
      </c>
      <c r="V44" s="63">
        <f t="shared" si="6"/>
        <v>0</v>
      </c>
      <c r="W44" s="63">
        <f t="shared" si="7"/>
        <v>0</v>
      </c>
      <c r="X44" s="63">
        <f t="shared" si="8"/>
        <v>0</v>
      </c>
      <c r="Y44" s="63">
        <f t="shared" si="9"/>
        <v>0</v>
      </c>
      <c r="Z44" s="63">
        <f t="shared" si="10"/>
        <v>0</v>
      </c>
    </row>
    <row r="45" spans="2:26" ht="123" customHeight="1" thickBot="1" x14ac:dyDescent="0.3">
      <c r="B45" s="128">
        <f t="shared" si="11"/>
        <v>124</v>
      </c>
      <c r="C45" s="52" t="s">
        <v>232</v>
      </c>
      <c r="D45" s="35" t="s">
        <v>226</v>
      </c>
      <c r="E45" s="50">
        <v>1</v>
      </c>
      <c r="F45" s="50">
        <v>0</v>
      </c>
      <c r="G45" s="50">
        <v>0</v>
      </c>
      <c r="H45" s="50">
        <v>0</v>
      </c>
      <c r="I45" s="50">
        <v>0</v>
      </c>
      <c r="J45" s="50">
        <v>0</v>
      </c>
      <c r="K45" s="126">
        <v>0</v>
      </c>
      <c r="L45" s="125">
        <f t="shared" si="0"/>
        <v>1</v>
      </c>
      <c r="M45" s="63">
        <v>75565</v>
      </c>
      <c r="N45" s="63">
        <f t="shared" si="1"/>
        <v>74710.103999999992</v>
      </c>
      <c r="O45" s="64">
        <f t="shared" si="2"/>
        <v>75136</v>
      </c>
      <c r="P45" s="63">
        <f t="shared" si="3"/>
        <v>75136</v>
      </c>
      <c r="Q45" s="59"/>
      <c r="R45" s="58"/>
      <c r="S45" s="54">
        <v>66045</v>
      </c>
      <c r="T45" s="63">
        <f t="shared" si="4"/>
        <v>75136</v>
      </c>
      <c r="U45" s="63">
        <f t="shared" si="5"/>
        <v>0</v>
      </c>
      <c r="V45" s="63">
        <f t="shared" si="6"/>
        <v>0</v>
      </c>
      <c r="W45" s="63">
        <f t="shared" si="7"/>
        <v>0</v>
      </c>
      <c r="X45" s="63">
        <f t="shared" si="8"/>
        <v>0</v>
      </c>
      <c r="Y45" s="63">
        <f t="shared" si="9"/>
        <v>0</v>
      </c>
      <c r="Z45" s="63">
        <f t="shared" si="10"/>
        <v>0</v>
      </c>
    </row>
    <row r="46" spans="2:26" ht="123" customHeight="1" thickBot="1" x14ac:dyDescent="0.3">
      <c r="B46" s="128">
        <f t="shared" si="11"/>
        <v>125</v>
      </c>
      <c r="C46" s="52" t="s">
        <v>233</v>
      </c>
      <c r="D46" s="35" t="s">
        <v>228</v>
      </c>
      <c r="E46" s="50">
        <v>1</v>
      </c>
      <c r="F46" s="50">
        <v>0</v>
      </c>
      <c r="G46" s="50">
        <v>0</v>
      </c>
      <c r="H46" s="50">
        <v>0</v>
      </c>
      <c r="I46" s="50">
        <v>0</v>
      </c>
      <c r="J46" s="50">
        <v>0</v>
      </c>
      <c r="K46" s="126">
        <v>0</v>
      </c>
      <c r="L46" s="125">
        <f t="shared" si="0"/>
        <v>1</v>
      </c>
      <c r="M46" s="63">
        <v>102221</v>
      </c>
      <c r="N46" s="63"/>
      <c r="O46" s="64">
        <f t="shared" si="2"/>
        <v>102221</v>
      </c>
      <c r="P46" s="63">
        <f t="shared" si="3"/>
        <v>102221</v>
      </c>
      <c r="Q46" s="59"/>
      <c r="R46" s="58"/>
      <c r="S46" s="54">
        <v>94010</v>
      </c>
      <c r="T46" s="63">
        <f t="shared" si="4"/>
        <v>102221</v>
      </c>
      <c r="U46" s="63">
        <f t="shared" si="5"/>
        <v>0</v>
      </c>
      <c r="V46" s="63">
        <f t="shared" si="6"/>
        <v>0</v>
      </c>
      <c r="W46" s="63">
        <f t="shared" si="7"/>
        <v>0</v>
      </c>
      <c r="X46" s="63">
        <f t="shared" si="8"/>
        <v>0</v>
      </c>
      <c r="Y46" s="63">
        <f t="shared" si="9"/>
        <v>0</v>
      </c>
      <c r="Z46" s="63">
        <f t="shared" si="10"/>
        <v>0</v>
      </c>
    </row>
    <row r="47" spans="2:26" ht="138" customHeight="1" thickBot="1" x14ac:dyDescent="0.3">
      <c r="B47" s="128">
        <f t="shared" si="11"/>
        <v>126</v>
      </c>
      <c r="C47" s="52" t="s">
        <v>234</v>
      </c>
      <c r="D47" s="35" t="s">
        <v>228</v>
      </c>
      <c r="E47" s="50">
        <v>1</v>
      </c>
      <c r="F47" s="50">
        <v>0</v>
      </c>
      <c r="G47" s="50">
        <v>0</v>
      </c>
      <c r="H47" s="50">
        <v>0</v>
      </c>
      <c r="I47" s="50">
        <v>0</v>
      </c>
      <c r="J47" s="50">
        <v>0</v>
      </c>
      <c r="K47" s="126">
        <v>0</v>
      </c>
      <c r="L47" s="125">
        <f t="shared" si="0"/>
        <v>1</v>
      </c>
      <c r="M47" s="63">
        <v>102221</v>
      </c>
      <c r="N47" s="63">
        <f t="shared" si="1"/>
        <v>99613.471999999994</v>
      </c>
      <c r="O47" s="64">
        <f t="shared" si="2"/>
        <v>100909</v>
      </c>
      <c r="P47" s="63">
        <f t="shared" si="3"/>
        <v>100909</v>
      </c>
      <c r="Q47" s="59"/>
      <c r="R47" s="58"/>
      <c r="S47" s="54">
        <v>88060</v>
      </c>
      <c r="T47" s="63">
        <f t="shared" si="4"/>
        <v>100909</v>
      </c>
      <c r="U47" s="63">
        <f t="shared" si="5"/>
        <v>0</v>
      </c>
      <c r="V47" s="63">
        <f t="shared" si="6"/>
        <v>0</v>
      </c>
      <c r="W47" s="63">
        <f t="shared" si="7"/>
        <v>0</v>
      </c>
      <c r="X47" s="63">
        <f t="shared" si="8"/>
        <v>0</v>
      </c>
      <c r="Y47" s="63">
        <f t="shared" si="9"/>
        <v>0</v>
      </c>
      <c r="Z47" s="63">
        <f t="shared" si="10"/>
        <v>0</v>
      </c>
    </row>
    <row r="48" spans="2:26" ht="142.5" customHeight="1" thickBot="1" x14ac:dyDescent="0.3">
      <c r="B48" s="128">
        <f t="shared" si="11"/>
        <v>127</v>
      </c>
      <c r="C48" s="52" t="s">
        <v>235</v>
      </c>
      <c r="D48" s="35" t="s">
        <v>228</v>
      </c>
      <c r="E48" s="50">
        <v>1</v>
      </c>
      <c r="F48" s="50">
        <v>0</v>
      </c>
      <c r="G48" s="50">
        <v>0</v>
      </c>
      <c r="H48" s="50">
        <v>0</v>
      </c>
      <c r="I48" s="50">
        <v>0</v>
      </c>
      <c r="J48" s="50">
        <v>0</v>
      </c>
      <c r="K48" s="126">
        <v>0</v>
      </c>
      <c r="L48" s="125">
        <f t="shared" si="0"/>
        <v>1</v>
      </c>
      <c r="M48" s="63">
        <v>102221</v>
      </c>
      <c r="N48" s="63"/>
      <c r="O48" s="64">
        <f t="shared" si="2"/>
        <v>102221</v>
      </c>
      <c r="P48" s="63">
        <f t="shared" si="3"/>
        <v>102221</v>
      </c>
      <c r="Q48" s="59"/>
      <c r="R48" s="58"/>
      <c r="S48" s="54">
        <v>94010</v>
      </c>
      <c r="T48" s="63">
        <f t="shared" si="4"/>
        <v>102221</v>
      </c>
      <c r="U48" s="63">
        <f t="shared" si="5"/>
        <v>0</v>
      </c>
      <c r="V48" s="63">
        <f t="shared" si="6"/>
        <v>0</v>
      </c>
      <c r="W48" s="63">
        <f t="shared" si="7"/>
        <v>0</v>
      </c>
      <c r="X48" s="63">
        <f t="shared" si="8"/>
        <v>0</v>
      </c>
      <c r="Y48" s="63">
        <f t="shared" si="9"/>
        <v>0</v>
      </c>
      <c r="Z48" s="63">
        <f t="shared" si="10"/>
        <v>0</v>
      </c>
    </row>
    <row r="49" spans="2:26" ht="123" customHeight="1" thickBot="1" x14ac:dyDescent="0.3">
      <c r="B49" s="128">
        <f t="shared" si="11"/>
        <v>128</v>
      </c>
      <c r="C49" s="52" t="s">
        <v>236</v>
      </c>
      <c r="D49" s="35" t="s">
        <v>226</v>
      </c>
      <c r="E49" s="50">
        <v>1</v>
      </c>
      <c r="F49" s="50">
        <v>0</v>
      </c>
      <c r="G49" s="50">
        <v>0</v>
      </c>
      <c r="H49" s="50">
        <v>0</v>
      </c>
      <c r="I49" s="50">
        <v>0</v>
      </c>
      <c r="J49" s="50">
        <v>0</v>
      </c>
      <c r="K49" s="126">
        <v>0</v>
      </c>
      <c r="L49" s="125">
        <f t="shared" si="0"/>
        <v>1</v>
      </c>
      <c r="M49" s="63">
        <v>68187</v>
      </c>
      <c r="N49" s="63"/>
      <c r="O49" s="64">
        <f t="shared" si="2"/>
        <v>68187</v>
      </c>
      <c r="P49" s="63">
        <f t="shared" si="3"/>
        <v>68187</v>
      </c>
      <c r="Q49" s="59"/>
      <c r="R49" s="58"/>
      <c r="S49" s="54">
        <v>63070</v>
      </c>
      <c r="T49" s="63">
        <f t="shared" si="4"/>
        <v>68187</v>
      </c>
      <c r="U49" s="63">
        <f t="shared" si="5"/>
        <v>0</v>
      </c>
      <c r="V49" s="63">
        <f t="shared" si="6"/>
        <v>0</v>
      </c>
      <c r="W49" s="63">
        <f t="shared" si="7"/>
        <v>0</v>
      </c>
      <c r="X49" s="63">
        <f t="shared" si="8"/>
        <v>0</v>
      </c>
      <c r="Y49" s="63">
        <f t="shared" si="9"/>
        <v>0</v>
      </c>
      <c r="Z49" s="63">
        <f t="shared" si="10"/>
        <v>0</v>
      </c>
    </row>
    <row r="50" spans="2:26" ht="136.5" customHeight="1" thickBot="1" x14ac:dyDescent="0.3">
      <c r="B50" s="128">
        <f t="shared" si="11"/>
        <v>129</v>
      </c>
      <c r="C50" s="52" t="s">
        <v>237</v>
      </c>
      <c r="D50" s="35" t="s">
        <v>226</v>
      </c>
      <c r="E50" s="50">
        <v>1</v>
      </c>
      <c r="F50" s="50">
        <v>0</v>
      </c>
      <c r="G50" s="50">
        <v>0</v>
      </c>
      <c r="H50" s="50">
        <v>0</v>
      </c>
      <c r="I50" s="50">
        <v>0</v>
      </c>
      <c r="J50" s="50">
        <v>0</v>
      </c>
      <c r="K50" s="126">
        <v>0</v>
      </c>
      <c r="L50" s="125">
        <f t="shared" si="0"/>
        <v>1</v>
      </c>
      <c r="M50" s="63">
        <v>68187</v>
      </c>
      <c r="N50" s="63"/>
      <c r="O50" s="64">
        <f t="shared" si="2"/>
        <v>68187</v>
      </c>
      <c r="P50" s="63">
        <f t="shared" si="3"/>
        <v>68187</v>
      </c>
      <c r="Q50" s="59"/>
      <c r="R50" s="58"/>
      <c r="S50" s="54">
        <v>63070</v>
      </c>
      <c r="T50" s="63">
        <f t="shared" si="4"/>
        <v>68187</v>
      </c>
      <c r="U50" s="63">
        <f t="shared" si="5"/>
        <v>0</v>
      </c>
      <c r="V50" s="63">
        <f t="shared" si="6"/>
        <v>0</v>
      </c>
      <c r="W50" s="63">
        <f t="shared" si="7"/>
        <v>0</v>
      </c>
      <c r="X50" s="63">
        <f t="shared" si="8"/>
        <v>0</v>
      </c>
      <c r="Y50" s="63">
        <f t="shared" si="9"/>
        <v>0</v>
      </c>
      <c r="Z50" s="63">
        <f t="shared" si="10"/>
        <v>0</v>
      </c>
    </row>
    <row r="51" spans="2:26" ht="123" customHeight="1" thickBot="1" x14ac:dyDescent="0.3">
      <c r="B51" s="128">
        <f t="shared" si="11"/>
        <v>130</v>
      </c>
      <c r="C51" s="52" t="s">
        <v>238</v>
      </c>
      <c r="D51" s="35" t="s">
        <v>226</v>
      </c>
      <c r="E51" s="50">
        <v>1</v>
      </c>
      <c r="F51" s="50">
        <v>0</v>
      </c>
      <c r="G51" s="50">
        <v>0</v>
      </c>
      <c r="H51" s="50">
        <v>0</v>
      </c>
      <c r="I51" s="50">
        <v>0</v>
      </c>
      <c r="J51" s="50">
        <v>0</v>
      </c>
      <c r="K51" s="126">
        <v>0</v>
      </c>
      <c r="L51" s="125">
        <f t="shared" si="0"/>
        <v>1</v>
      </c>
      <c r="M51" s="63">
        <v>96152</v>
      </c>
      <c r="N51" s="63">
        <f t="shared" si="1"/>
        <v>100203.9584</v>
      </c>
      <c r="O51" s="64">
        <f t="shared" si="2"/>
        <v>98157</v>
      </c>
      <c r="P51" s="63">
        <f t="shared" si="3"/>
        <v>98157</v>
      </c>
      <c r="Q51" s="59"/>
      <c r="R51" s="58"/>
      <c r="S51" s="54">
        <v>88582</v>
      </c>
      <c r="T51" s="63">
        <f t="shared" si="4"/>
        <v>98157</v>
      </c>
      <c r="U51" s="63">
        <f t="shared" si="5"/>
        <v>0</v>
      </c>
      <c r="V51" s="63">
        <f t="shared" si="6"/>
        <v>0</v>
      </c>
      <c r="W51" s="63">
        <f t="shared" si="7"/>
        <v>0</v>
      </c>
      <c r="X51" s="63">
        <f t="shared" si="8"/>
        <v>0</v>
      </c>
      <c r="Y51" s="63">
        <f t="shared" si="9"/>
        <v>0</v>
      </c>
      <c r="Z51" s="63">
        <f t="shared" si="10"/>
        <v>0</v>
      </c>
    </row>
    <row r="52" spans="2:26" ht="123" customHeight="1" thickBot="1" x14ac:dyDescent="0.3">
      <c r="B52" s="128">
        <f t="shared" si="11"/>
        <v>131</v>
      </c>
      <c r="C52" s="52" t="s">
        <v>239</v>
      </c>
      <c r="D52" s="35" t="s">
        <v>240</v>
      </c>
      <c r="E52" s="50">
        <v>1</v>
      </c>
      <c r="F52" s="50">
        <v>0</v>
      </c>
      <c r="G52" s="50">
        <v>0</v>
      </c>
      <c r="H52" s="50">
        <v>0</v>
      </c>
      <c r="I52" s="50">
        <v>0</v>
      </c>
      <c r="J52" s="50">
        <v>0</v>
      </c>
      <c r="K52" s="126">
        <v>0</v>
      </c>
      <c r="L52" s="125">
        <f t="shared" si="0"/>
        <v>1</v>
      </c>
      <c r="M52" s="63">
        <v>191114</v>
      </c>
      <c r="N52" s="63">
        <f t="shared" si="1"/>
        <v>199226.94399999999</v>
      </c>
      <c r="O52" s="64">
        <f t="shared" si="2"/>
        <v>195128</v>
      </c>
      <c r="P52" s="63">
        <f t="shared" si="3"/>
        <v>195128</v>
      </c>
      <c r="Q52" s="59"/>
      <c r="R52" s="58"/>
      <c r="S52" s="54">
        <v>176120</v>
      </c>
      <c r="T52" s="63">
        <f t="shared" si="4"/>
        <v>195128</v>
      </c>
      <c r="U52" s="63">
        <f t="shared" si="5"/>
        <v>0</v>
      </c>
      <c r="V52" s="63">
        <f t="shared" si="6"/>
        <v>0</v>
      </c>
      <c r="W52" s="63">
        <f t="shared" si="7"/>
        <v>0</v>
      </c>
      <c r="X52" s="63">
        <f t="shared" si="8"/>
        <v>0</v>
      </c>
      <c r="Y52" s="63">
        <f t="shared" si="9"/>
        <v>0</v>
      </c>
      <c r="Z52" s="63">
        <f t="shared" si="10"/>
        <v>0</v>
      </c>
    </row>
    <row r="53" spans="2:26" ht="123" customHeight="1" thickBot="1" x14ac:dyDescent="0.3">
      <c r="B53" s="128">
        <f t="shared" si="11"/>
        <v>132</v>
      </c>
      <c r="C53" s="52" t="s">
        <v>241</v>
      </c>
      <c r="D53" s="35" t="s">
        <v>240</v>
      </c>
      <c r="E53" s="50">
        <v>1</v>
      </c>
      <c r="F53" s="50">
        <v>0</v>
      </c>
      <c r="G53" s="50">
        <v>0</v>
      </c>
      <c r="H53" s="50">
        <v>0</v>
      </c>
      <c r="I53" s="50">
        <v>0</v>
      </c>
      <c r="J53" s="50">
        <v>0</v>
      </c>
      <c r="K53" s="126">
        <v>0</v>
      </c>
      <c r="L53" s="125">
        <f t="shared" si="0"/>
        <v>1</v>
      </c>
      <c r="M53" s="63">
        <v>191114</v>
      </c>
      <c r="N53" s="63"/>
      <c r="O53" s="64">
        <f t="shared" si="2"/>
        <v>191114</v>
      </c>
      <c r="P53" s="63">
        <f t="shared" si="3"/>
        <v>191114</v>
      </c>
      <c r="Q53" s="59"/>
      <c r="R53" s="58"/>
      <c r="S53" s="54">
        <v>176520</v>
      </c>
      <c r="T53" s="63">
        <f t="shared" si="4"/>
        <v>191114</v>
      </c>
      <c r="U53" s="63">
        <f t="shared" si="5"/>
        <v>0</v>
      </c>
      <c r="V53" s="63">
        <f t="shared" si="6"/>
        <v>0</v>
      </c>
      <c r="W53" s="63">
        <f t="shared" si="7"/>
        <v>0</v>
      </c>
      <c r="X53" s="63">
        <f t="shared" si="8"/>
        <v>0</v>
      </c>
      <c r="Y53" s="63">
        <f t="shared" si="9"/>
        <v>0</v>
      </c>
      <c r="Z53" s="63">
        <f t="shared" si="10"/>
        <v>0</v>
      </c>
    </row>
    <row r="54" spans="2:26" ht="123" customHeight="1" thickBot="1" x14ac:dyDescent="0.3">
      <c r="B54" s="128">
        <f t="shared" si="11"/>
        <v>133</v>
      </c>
      <c r="C54" s="52" t="s">
        <v>242</v>
      </c>
      <c r="D54" s="35" t="s">
        <v>243</v>
      </c>
      <c r="E54" s="50">
        <v>4</v>
      </c>
      <c r="F54" s="50">
        <v>0</v>
      </c>
      <c r="G54" s="50">
        <v>0</v>
      </c>
      <c r="H54" s="50">
        <v>0</v>
      </c>
      <c r="I54" s="50">
        <v>0</v>
      </c>
      <c r="J54" s="50">
        <v>0</v>
      </c>
      <c r="K54" s="126">
        <v>0</v>
      </c>
      <c r="L54" s="125">
        <f t="shared" si="0"/>
        <v>4</v>
      </c>
      <c r="M54" s="63">
        <v>219079</v>
      </c>
      <c r="N54" s="63"/>
      <c r="O54" s="64">
        <f t="shared" si="2"/>
        <v>219079</v>
      </c>
      <c r="P54" s="63">
        <f t="shared" si="3"/>
        <v>876316</v>
      </c>
      <c r="Q54" s="59"/>
      <c r="R54" s="58"/>
      <c r="S54" s="54">
        <v>202300</v>
      </c>
      <c r="T54" s="63">
        <f t="shared" si="4"/>
        <v>876316</v>
      </c>
      <c r="U54" s="63">
        <f t="shared" si="5"/>
        <v>0</v>
      </c>
      <c r="V54" s="63">
        <f t="shared" si="6"/>
        <v>0</v>
      </c>
      <c r="W54" s="63">
        <f t="shared" si="7"/>
        <v>0</v>
      </c>
      <c r="X54" s="63">
        <f t="shared" si="8"/>
        <v>0</v>
      </c>
      <c r="Y54" s="63">
        <f t="shared" si="9"/>
        <v>0</v>
      </c>
      <c r="Z54" s="63">
        <f t="shared" si="10"/>
        <v>0</v>
      </c>
    </row>
    <row r="55" spans="2:26" ht="123" customHeight="1" thickBot="1" x14ac:dyDescent="0.3">
      <c r="B55" s="128">
        <f t="shared" si="11"/>
        <v>134</v>
      </c>
      <c r="C55" s="52" t="s">
        <v>244</v>
      </c>
      <c r="D55" s="35" t="s">
        <v>228</v>
      </c>
      <c r="E55" s="50">
        <v>1</v>
      </c>
      <c r="F55" s="50">
        <v>0</v>
      </c>
      <c r="G55" s="50">
        <v>0</v>
      </c>
      <c r="H55" s="50">
        <v>0</v>
      </c>
      <c r="I55" s="50">
        <v>0</v>
      </c>
      <c r="J55" s="50">
        <v>0</v>
      </c>
      <c r="K55" s="126">
        <v>0</v>
      </c>
      <c r="L55" s="125">
        <f t="shared" si="0"/>
        <v>1</v>
      </c>
      <c r="M55" s="63">
        <v>60928</v>
      </c>
      <c r="N55" s="63"/>
      <c r="O55" s="64">
        <f t="shared" si="2"/>
        <v>60928</v>
      </c>
      <c r="P55" s="63">
        <f t="shared" si="3"/>
        <v>60928</v>
      </c>
      <c r="Q55" s="59"/>
      <c r="R55" s="58"/>
      <c r="S55" s="54">
        <v>55930</v>
      </c>
      <c r="T55" s="63">
        <f t="shared" si="4"/>
        <v>60928</v>
      </c>
      <c r="U55" s="63">
        <f t="shared" si="5"/>
        <v>0</v>
      </c>
      <c r="V55" s="63">
        <f t="shared" si="6"/>
        <v>0</v>
      </c>
      <c r="W55" s="63">
        <f t="shared" si="7"/>
        <v>0</v>
      </c>
      <c r="X55" s="63">
        <f t="shared" si="8"/>
        <v>0</v>
      </c>
      <c r="Y55" s="63">
        <f t="shared" si="9"/>
        <v>0</v>
      </c>
      <c r="Z55" s="63">
        <f t="shared" si="10"/>
        <v>0</v>
      </c>
    </row>
    <row r="56" spans="2:26" ht="123" customHeight="1" thickBot="1" x14ac:dyDescent="0.3">
      <c r="B56" s="128">
        <f t="shared" si="11"/>
        <v>135</v>
      </c>
      <c r="C56" s="52" t="s">
        <v>245</v>
      </c>
      <c r="D56" s="35" t="s">
        <v>228</v>
      </c>
      <c r="E56" s="50">
        <v>1</v>
      </c>
      <c r="F56" s="50">
        <v>0</v>
      </c>
      <c r="G56" s="50">
        <v>0</v>
      </c>
      <c r="H56" s="50">
        <v>0</v>
      </c>
      <c r="I56" s="50">
        <v>0</v>
      </c>
      <c r="J56" s="50">
        <v>0</v>
      </c>
      <c r="K56" s="126">
        <v>0</v>
      </c>
      <c r="L56" s="125">
        <f t="shared" si="0"/>
        <v>1</v>
      </c>
      <c r="M56" s="63">
        <v>65688</v>
      </c>
      <c r="N56" s="63"/>
      <c r="O56" s="64">
        <f t="shared" si="2"/>
        <v>65688</v>
      </c>
      <c r="P56" s="63">
        <f t="shared" si="3"/>
        <v>65688</v>
      </c>
      <c r="Q56" s="59"/>
      <c r="R56" s="58"/>
      <c r="S56" s="54">
        <v>59068</v>
      </c>
      <c r="T56" s="63">
        <f t="shared" si="4"/>
        <v>65688</v>
      </c>
      <c r="U56" s="63">
        <f t="shared" si="5"/>
        <v>0</v>
      </c>
      <c r="V56" s="63">
        <f t="shared" si="6"/>
        <v>0</v>
      </c>
      <c r="W56" s="63">
        <f t="shared" si="7"/>
        <v>0</v>
      </c>
      <c r="X56" s="63">
        <f t="shared" si="8"/>
        <v>0</v>
      </c>
      <c r="Y56" s="63">
        <f t="shared" si="9"/>
        <v>0</v>
      </c>
      <c r="Z56" s="63">
        <f t="shared" si="10"/>
        <v>0</v>
      </c>
    </row>
    <row r="57" spans="2:26" ht="123" customHeight="1" thickBot="1" x14ac:dyDescent="0.3">
      <c r="B57" s="128">
        <f t="shared" si="11"/>
        <v>136</v>
      </c>
      <c r="C57" s="52" t="s">
        <v>246</v>
      </c>
      <c r="D57" s="35" t="s">
        <v>247</v>
      </c>
      <c r="E57" s="50">
        <v>1</v>
      </c>
      <c r="F57" s="50">
        <v>0</v>
      </c>
      <c r="G57" s="50">
        <v>0</v>
      </c>
      <c r="H57" s="50">
        <v>0</v>
      </c>
      <c r="I57" s="50">
        <v>0</v>
      </c>
      <c r="J57" s="50">
        <v>0</v>
      </c>
      <c r="K57" s="126">
        <v>0</v>
      </c>
      <c r="L57" s="125">
        <f t="shared" si="0"/>
        <v>1</v>
      </c>
      <c r="M57" s="63">
        <v>75565</v>
      </c>
      <c r="N57" s="63">
        <f t="shared" si="1"/>
        <v>74466.895999999993</v>
      </c>
      <c r="O57" s="64">
        <f t="shared" si="2"/>
        <v>75014</v>
      </c>
      <c r="P57" s="63">
        <f t="shared" si="3"/>
        <v>75014</v>
      </c>
      <c r="Q57" s="59"/>
      <c r="R57" s="58"/>
      <c r="S57" s="54">
        <v>65830</v>
      </c>
      <c r="T57" s="63">
        <f t="shared" si="4"/>
        <v>75014</v>
      </c>
      <c r="U57" s="63">
        <f t="shared" si="5"/>
        <v>0</v>
      </c>
      <c r="V57" s="63">
        <f t="shared" si="6"/>
        <v>0</v>
      </c>
      <c r="W57" s="63">
        <f t="shared" si="7"/>
        <v>0</v>
      </c>
      <c r="X57" s="63">
        <f t="shared" si="8"/>
        <v>0</v>
      </c>
      <c r="Y57" s="63">
        <f t="shared" si="9"/>
        <v>0</v>
      </c>
      <c r="Z57" s="63">
        <f t="shared" si="10"/>
        <v>0</v>
      </c>
    </row>
    <row r="58" spans="2:26" ht="123" customHeight="1" thickBot="1" x14ac:dyDescent="0.3">
      <c r="B58" s="128">
        <f t="shared" si="11"/>
        <v>137</v>
      </c>
      <c r="C58" s="52" t="s">
        <v>248</v>
      </c>
      <c r="D58" s="35" t="s">
        <v>228</v>
      </c>
      <c r="E58" s="50">
        <v>1</v>
      </c>
      <c r="F58" s="50">
        <v>0</v>
      </c>
      <c r="G58" s="50">
        <v>0</v>
      </c>
      <c r="H58" s="50">
        <v>0</v>
      </c>
      <c r="I58" s="50">
        <v>0</v>
      </c>
      <c r="J58" s="50">
        <v>0</v>
      </c>
      <c r="K58" s="126">
        <v>0</v>
      </c>
      <c r="L58" s="125">
        <f t="shared" si="0"/>
        <v>1</v>
      </c>
      <c r="M58" s="63">
        <v>60928</v>
      </c>
      <c r="N58" s="63">
        <f t="shared" si="1"/>
        <v>63268.015999999996</v>
      </c>
      <c r="O58" s="64">
        <f t="shared" si="2"/>
        <v>62087</v>
      </c>
      <c r="P58" s="63">
        <f t="shared" si="3"/>
        <v>62087</v>
      </c>
      <c r="Q58" s="59"/>
      <c r="R58" s="58"/>
      <c r="S58" s="54">
        <v>55930</v>
      </c>
      <c r="T58" s="63">
        <f t="shared" si="4"/>
        <v>62087</v>
      </c>
      <c r="U58" s="63">
        <f t="shared" si="5"/>
        <v>0</v>
      </c>
      <c r="V58" s="63">
        <f t="shared" si="6"/>
        <v>0</v>
      </c>
      <c r="W58" s="63">
        <f t="shared" si="7"/>
        <v>0</v>
      </c>
      <c r="X58" s="63">
        <f t="shared" si="8"/>
        <v>0</v>
      </c>
      <c r="Y58" s="63">
        <f t="shared" si="9"/>
        <v>0</v>
      </c>
      <c r="Z58" s="63">
        <f t="shared" si="10"/>
        <v>0</v>
      </c>
    </row>
    <row r="59" spans="2:26" ht="123" customHeight="1" thickBot="1" x14ac:dyDescent="0.3">
      <c r="B59" s="128">
        <f t="shared" si="11"/>
        <v>138</v>
      </c>
      <c r="C59" s="52" t="s">
        <v>249</v>
      </c>
      <c r="D59" s="35" t="s">
        <v>228</v>
      </c>
      <c r="E59" s="50">
        <v>1</v>
      </c>
      <c r="F59" s="50">
        <v>0</v>
      </c>
      <c r="G59" s="50">
        <v>0</v>
      </c>
      <c r="H59" s="50">
        <v>0</v>
      </c>
      <c r="I59" s="50">
        <v>0</v>
      </c>
      <c r="J59" s="50">
        <v>0</v>
      </c>
      <c r="K59" s="126">
        <v>0</v>
      </c>
      <c r="L59" s="125">
        <f t="shared" si="0"/>
        <v>1</v>
      </c>
      <c r="M59" s="63">
        <v>69496</v>
      </c>
      <c r="N59" s="63">
        <f t="shared" si="1"/>
        <v>68871.980800000005</v>
      </c>
      <c r="O59" s="64">
        <f t="shared" si="2"/>
        <v>69183</v>
      </c>
      <c r="P59" s="63">
        <f t="shared" si="3"/>
        <v>69183</v>
      </c>
      <c r="Q59" s="59"/>
      <c r="R59" s="58"/>
      <c r="S59" s="54">
        <v>60884</v>
      </c>
      <c r="T59" s="63">
        <f t="shared" si="4"/>
        <v>69183</v>
      </c>
      <c r="U59" s="63">
        <f t="shared" si="5"/>
        <v>0</v>
      </c>
      <c r="V59" s="63">
        <f t="shared" si="6"/>
        <v>0</v>
      </c>
      <c r="W59" s="63">
        <f t="shared" si="7"/>
        <v>0</v>
      </c>
      <c r="X59" s="63">
        <f t="shared" si="8"/>
        <v>0</v>
      </c>
      <c r="Y59" s="63">
        <f t="shared" si="9"/>
        <v>0</v>
      </c>
      <c r="Z59" s="63">
        <f t="shared" si="10"/>
        <v>0</v>
      </c>
    </row>
    <row r="60" spans="2:26" ht="123" customHeight="1" x14ac:dyDescent="0.25">
      <c r="B60" s="128">
        <f t="shared" si="11"/>
        <v>139</v>
      </c>
      <c r="C60" s="52" t="s">
        <v>250</v>
      </c>
      <c r="D60" s="35" t="s">
        <v>21</v>
      </c>
      <c r="E60" s="50">
        <v>2</v>
      </c>
      <c r="F60" s="50">
        <v>0</v>
      </c>
      <c r="G60" s="50">
        <v>0</v>
      </c>
      <c r="H60" s="50">
        <v>0</v>
      </c>
      <c r="I60" s="50">
        <v>0</v>
      </c>
      <c r="J60" s="50">
        <v>0</v>
      </c>
      <c r="K60" s="126">
        <v>0</v>
      </c>
      <c r="L60" s="125">
        <f t="shared" si="0"/>
        <v>2</v>
      </c>
      <c r="M60" s="63">
        <v>119238</v>
      </c>
      <c r="N60" s="63"/>
      <c r="O60" s="64">
        <f t="shared" si="2"/>
        <v>119238</v>
      </c>
      <c r="P60" s="63">
        <f t="shared" si="3"/>
        <v>238476</v>
      </c>
      <c r="Q60" s="59"/>
      <c r="R60" s="58"/>
      <c r="T60" s="63">
        <f t="shared" si="4"/>
        <v>238476</v>
      </c>
      <c r="U60" s="63">
        <f t="shared" si="5"/>
        <v>0</v>
      </c>
      <c r="V60" s="63">
        <f t="shared" si="6"/>
        <v>0</v>
      </c>
      <c r="W60" s="63">
        <f t="shared" si="7"/>
        <v>0</v>
      </c>
      <c r="X60" s="63">
        <f t="shared" si="8"/>
        <v>0</v>
      </c>
      <c r="Y60" s="63">
        <f t="shared" si="9"/>
        <v>0</v>
      </c>
      <c r="Z60" s="63">
        <f t="shared" si="10"/>
        <v>0</v>
      </c>
    </row>
    <row r="61" spans="2:26" ht="123" customHeight="1" x14ac:dyDescent="0.25">
      <c r="B61" s="128">
        <f t="shared" si="11"/>
        <v>140</v>
      </c>
      <c r="C61" s="52" t="s">
        <v>251</v>
      </c>
      <c r="D61" s="35" t="s">
        <v>252</v>
      </c>
      <c r="E61" s="50">
        <v>10</v>
      </c>
      <c r="F61" s="50">
        <v>0</v>
      </c>
      <c r="G61" s="50">
        <v>0</v>
      </c>
      <c r="H61" s="50">
        <v>1</v>
      </c>
      <c r="I61" s="50">
        <v>0</v>
      </c>
      <c r="J61" s="50">
        <v>12</v>
      </c>
      <c r="K61" s="126">
        <v>1</v>
      </c>
      <c r="L61" s="125">
        <f t="shared" si="0"/>
        <v>24</v>
      </c>
      <c r="M61" s="63">
        <v>103768</v>
      </c>
      <c r="N61" s="63"/>
      <c r="O61" s="64">
        <f t="shared" si="2"/>
        <v>103768</v>
      </c>
      <c r="P61" s="63">
        <f t="shared" si="3"/>
        <v>2490432</v>
      </c>
      <c r="Q61" s="59"/>
      <c r="R61" s="58"/>
      <c r="T61" s="63">
        <f t="shared" si="4"/>
        <v>1037680</v>
      </c>
      <c r="U61" s="63">
        <f t="shared" si="5"/>
        <v>0</v>
      </c>
      <c r="V61" s="63">
        <f t="shared" si="6"/>
        <v>0</v>
      </c>
      <c r="W61" s="63">
        <f t="shared" si="7"/>
        <v>103768</v>
      </c>
      <c r="X61" s="63">
        <f t="shared" si="8"/>
        <v>0</v>
      </c>
      <c r="Y61" s="63">
        <f t="shared" si="9"/>
        <v>1245216</v>
      </c>
      <c r="Z61" s="63">
        <f t="shared" si="10"/>
        <v>103768</v>
      </c>
    </row>
    <row r="62" spans="2:26" ht="123" customHeight="1" x14ac:dyDescent="0.25">
      <c r="B62" s="128">
        <f t="shared" si="11"/>
        <v>141</v>
      </c>
      <c r="C62" s="52" t="s">
        <v>253</v>
      </c>
      <c r="D62" s="35" t="s">
        <v>254</v>
      </c>
      <c r="E62" s="50">
        <v>1</v>
      </c>
      <c r="F62" s="50">
        <v>0</v>
      </c>
      <c r="G62" s="50">
        <v>0</v>
      </c>
      <c r="H62" s="50">
        <v>0</v>
      </c>
      <c r="I62" s="50">
        <v>0</v>
      </c>
      <c r="J62" s="50">
        <v>0</v>
      </c>
      <c r="K62" s="126">
        <v>0</v>
      </c>
      <c r="L62" s="125">
        <f t="shared" si="0"/>
        <v>1</v>
      </c>
      <c r="M62" s="63">
        <v>77945</v>
      </c>
      <c r="N62" s="63"/>
      <c r="O62" s="64">
        <f t="shared" si="2"/>
        <v>77945</v>
      </c>
      <c r="P62" s="63">
        <f t="shared" si="3"/>
        <v>77945</v>
      </c>
      <c r="Q62" s="59"/>
      <c r="R62" s="58"/>
      <c r="T62" s="63">
        <f t="shared" si="4"/>
        <v>77945</v>
      </c>
      <c r="U62" s="63">
        <f t="shared" si="5"/>
        <v>0</v>
      </c>
      <c r="V62" s="63">
        <f t="shared" si="6"/>
        <v>0</v>
      </c>
      <c r="W62" s="63">
        <f t="shared" si="7"/>
        <v>0</v>
      </c>
      <c r="X62" s="63">
        <f t="shared" si="8"/>
        <v>0</v>
      </c>
      <c r="Y62" s="63">
        <f t="shared" si="9"/>
        <v>0</v>
      </c>
      <c r="Z62" s="63">
        <f t="shared" si="10"/>
        <v>0</v>
      </c>
    </row>
    <row r="63" spans="2:26" ht="123" customHeight="1" x14ac:dyDescent="0.25">
      <c r="B63" s="128">
        <f t="shared" si="11"/>
        <v>142</v>
      </c>
      <c r="C63" s="52" t="s">
        <v>255</v>
      </c>
      <c r="D63" s="35" t="s">
        <v>256</v>
      </c>
      <c r="E63" s="50">
        <v>3</v>
      </c>
      <c r="F63" s="50">
        <v>0</v>
      </c>
      <c r="G63" s="50">
        <v>1</v>
      </c>
      <c r="H63" s="50">
        <v>0</v>
      </c>
      <c r="I63" s="50">
        <v>0</v>
      </c>
      <c r="J63" s="50">
        <v>0</v>
      </c>
      <c r="K63" s="126">
        <v>0</v>
      </c>
      <c r="L63" s="125">
        <f t="shared" si="0"/>
        <v>4</v>
      </c>
      <c r="M63" s="63">
        <v>105910</v>
      </c>
      <c r="N63" s="63"/>
      <c r="O63" s="64">
        <f t="shared" si="2"/>
        <v>105910</v>
      </c>
      <c r="P63" s="63">
        <f t="shared" si="3"/>
        <v>423640</v>
      </c>
      <c r="Q63" s="59"/>
      <c r="R63" s="58"/>
      <c r="T63" s="63">
        <f t="shared" si="4"/>
        <v>317730</v>
      </c>
      <c r="U63" s="63">
        <f t="shared" si="5"/>
        <v>0</v>
      </c>
      <c r="V63" s="63">
        <f t="shared" si="6"/>
        <v>105910</v>
      </c>
      <c r="W63" s="63">
        <f t="shared" si="7"/>
        <v>0</v>
      </c>
      <c r="X63" s="63">
        <f t="shared" si="8"/>
        <v>0</v>
      </c>
      <c r="Y63" s="63">
        <f t="shared" si="9"/>
        <v>0</v>
      </c>
      <c r="Z63" s="63">
        <f t="shared" si="10"/>
        <v>0</v>
      </c>
    </row>
    <row r="64" spans="2:26" ht="123" customHeight="1" x14ac:dyDescent="0.25">
      <c r="B64" s="128">
        <f t="shared" si="11"/>
        <v>143</v>
      </c>
      <c r="C64" s="52" t="s">
        <v>257</v>
      </c>
      <c r="D64" s="35" t="s">
        <v>256</v>
      </c>
      <c r="E64" s="50">
        <v>3</v>
      </c>
      <c r="F64" s="50">
        <v>0</v>
      </c>
      <c r="G64" s="50">
        <v>1</v>
      </c>
      <c r="H64" s="50">
        <v>0</v>
      </c>
      <c r="I64" s="50">
        <v>0</v>
      </c>
      <c r="J64" s="50">
        <v>0</v>
      </c>
      <c r="K64" s="126">
        <v>0</v>
      </c>
      <c r="L64" s="125">
        <f t="shared" si="0"/>
        <v>4</v>
      </c>
      <c r="M64" s="63">
        <v>105910</v>
      </c>
      <c r="N64" s="63"/>
      <c r="O64" s="64">
        <f t="shared" si="2"/>
        <v>105910</v>
      </c>
      <c r="P64" s="63">
        <f t="shared" si="3"/>
        <v>423640</v>
      </c>
      <c r="Q64" s="59"/>
      <c r="R64" s="58"/>
      <c r="T64" s="63">
        <f t="shared" si="4"/>
        <v>317730</v>
      </c>
      <c r="U64" s="63">
        <f t="shared" si="5"/>
        <v>0</v>
      </c>
      <c r="V64" s="63">
        <f t="shared" si="6"/>
        <v>105910</v>
      </c>
      <c r="W64" s="63">
        <f t="shared" si="7"/>
        <v>0</v>
      </c>
      <c r="X64" s="63">
        <f t="shared" si="8"/>
        <v>0</v>
      </c>
      <c r="Y64" s="63">
        <f t="shared" si="9"/>
        <v>0</v>
      </c>
      <c r="Z64" s="63">
        <f t="shared" si="10"/>
        <v>0</v>
      </c>
    </row>
    <row r="65" spans="2:26" ht="123" customHeight="1" x14ac:dyDescent="0.25">
      <c r="B65" s="128">
        <f t="shared" si="11"/>
        <v>144</v>
      </c>
      <c r="C65" s="52" t="s">
        <v>258</v>
      </c>
      <c r="D65" s="35" t="s">
        <v>256</v>
      </c>
      <c r="E65" s="50">
        <v>3</v>
      </c>
      <c r="F65" s="50">
        <v>0</v>
      </c>
      <c r="G65" s="50">
        <v>1</v>
      </c>
      <c r="H65" s="50">
        <v>0</v>
      </c>
      <c r="I65" s="50">
        <v>0</v>
      </c>
      <c r="J65" s="50">
        <v>0</v>
      </c>
      <c r="K65" s="126">
        <v>0</v>
      </c>
      <c r="L65" s="125">
        <f t="shared" si="0"/>
        <v>4</v>
      </c>
      <c r="M65" s="63">
        <v>160293</v>
      </c>
      <c r="N65" s="63"/>
      <c r="O65" s="64">
        <f t="shared" si="2"/>
        <v>160293</v>
      </c>
      <c r="P65" s="63">
        <f t="shared" si="3"/>
        <v>641172</v>
      </c>
      <c r="Q65" s="59"/>
      <c r="R65" s="58"/>
      <c r="T65" s="63">
        <f t="shared" si="4"/>
        <v>480879</v>
      </c>
      <c r="U65" s="63">
        <f t="shared" si="5"/>
        <v>0</v>
      </c>
      <c r="V65" s="63">
        <f t="shared" si="6"/>
        <v>160293</v>
      </c>
      <c r="W65" s="63">
        <f t="shared" si="7"/>
        <v>0</v>
      </c>
      <c r="X65" s="63">
        <f t="shared" si="8"/>
        <v>0</v>
      </c>
      <c r="Y65" s="63">
        <f t="shared" si="9"/>
        <v>0</v>
      </c>
      <c r="Z65" s="63">
        <f t="shared" si="10"/>
        <v>0</v>
      </c>
    </row>
    <row r="66" spans="2:26" ht="123" customHeight="1" x14ac:dyDescent="0.25">
      <c r="B66" s="128">
        <f t="shared" si="11"/>
        <v>145</v>
      </c>
      <c r="C66" s="52" t="s">
        <v>264</v>
      </c>
      <c r="D66" s="35" t="s">
        <v>259</v>
      </c>
      <c r="E66" s="50">
        <v>2</v>
      </c>
      <c r="F66" s="50">
        <v>0</v>
      </c>
      <c r="G66" s="50">
        <v>0</v>
      </c>
      <c r="H66" s="50">
        <v>0</v>
      </c>
      <c r="I66" s="50">
        <v>0</v>
      </c>
      <c r="J66" s="50">
        <v>0</v>
      </c>
      <c r="K66" s="126">
        <v>0</v>
      </c>
      <c r="L66" s="125">
        <f t="shared" si="0"/>
        <v>2</v>
      </c>
      <c r="M66" s="63">
        <v>878696</v>
      </c>
      <c r="N66" s="63"/>
      <c r="O66" s="64">
        <f t="shared" si="2"/>
        <v>878696</v>
      </c>
      <c r="P66" s="63">
        <f t="shared" si="3"/>
        <v>1757392</v>
      </c>
      <c r="Q66" s="59"/>
      <c r="R66" s="58"/>
      <c r="T66" s="63">
        <f t="shared" si="4"/>
        <v>1757392</v>
      </c>
      <c r="U66" s="63">
        <f t="shared" si="5"/>
        <v>0</v>
      </c>
      <c r="V66" s="63">
        <f t="shared" si="6"/>
        <v>0</v>
      </c>
      <c r="W66" s="63">
        <f t="shared" si="7"/>
        <v>0</v>
      </c>
      <c r="X66" s="63">
        <f t="shared" si="8"/>
        <v>0</v>
      </c>
      <c r="Y66" s="63">
        <f t="shared" si="9"/>
        <v>0</v>
      </c>
      <c r="Z66" s="63">
        <f t="shared" si="10"/>
        <v>0</v>
      </c>
    </row>
    <row r="67" spans="2:26" ht="123" customHeight="1" x14ac:dyDescent="0.25">
      <c r="B67" s="128">
        <f t="shared" si="11"/>
        <v>146</v>
      </c>
      <c r="C67" s="52" t="s">
        <v>260</v>
      </c>
      <c r="D67" s="35" t="s">
        <v>261</v>
      </c>
      <c r="E67" s="50">
        <v>5</v>
      </c>
      <c r="F67" s="50">
        <v>0</v>
      </c>
      <c r="G67" s="50">
        <v>0</v>
      </c>
      <c r="H67" s="50">
        <v>1</v>
      </c>
      <c r="I67" s="50">
        <v>0</v>
      </c>
      <c r="J67" s="50">
        <v>2</v>
      </c>
      <c r="K67" s="126">
        <v>0</v>
      </c>
      <c r="L67" s="125">
        <f t="shared" si="0"/>
        <v>8</v>
      </c>
      <c r="M67" s="63">
        <v>110789</v>
      </c>
      <c r="N67" s="63"/>
      <c r="O67" s="64">
        <f t="shared" si="2"/>
        <v>110789</v>
      </c>
      <c r="P67" s="63">
        <f t="shared" si="3"/>
        <v>886312</v>
      </c>
      <c r="Q67" s="59"/>
      <c r="R67" s="58"/>
      <c r="T67" s="63">
        <f t="shared" si="4"/>
        <v>553945</v>
      </c>
      <c r="U67" s="63">
        <f t="shared" si="5"/>
        <v>0</v>
      </c>
      <c r="V67" s="63">
        <f t="shared" si="6"/>
        <v>0</v>
      </c>
      <c r="W67" s="63">
        <f t="shared" si="7"/>
        <v>110789</v>
      </c>
      <c r="X67" s="63">
        <f t="shared" si="8"/>
        <v>0</v>
      </c>
      <c r="Y67" s="63">
        <f t="shared" si="9"/>
        <v>221578</v>
      </c>
      <c r="Z67" s="63">
        <f t="shared" si="10"/>
        <v>0</v>
      </c>
    </row>
    <row r="68" spans="2:26" ht="123" customHeight="1" x14ac:dyDescent="0.25">
      <c r="B68" s="128">
        <f t="shared" si="11"/>
        <v>147</v>
      </c>
      <c r="C68" s="52" t="s">
        <v>262</v>
      </c>
      <c r="D68" s="35" t="s">
        <v>261</v>
      </c>
      <c r="E68" s="50">
        <v>5</v>
      </c>
      <c r="F68" s="50">
        <v>0</v>
      </c>
      <c r="G68" s="50">
        <v>0</v>
      </c>
      <c r="H68" s="50">
        <v>1</v>
      </c>
      <c r="I68" s="50">
        <v>0</v>
      </c>
      <c r="J68" s="50">
        <v>2</v>
      </c>
      <c r="K68" s="126">
        <v>2</v>
      </c>
      <c r="L68" s="125">
        <f t="shared" ref="L68" si="12">SUM(E68:K68)</f>
        <v>10</v>
      </c>
      <c r="M68" s="63">
        <v>102697</v>
      </c>
      <c r="N68" s="63"/>
      <c r="O68" s="64">
        <f t="shared" ref="O68" si="13">ROUND(GEOMEAN(M68:N68),0)</f>
        <v>102697</v>
      </c>
      <c r="P68" s="63">
        <f t="shared" ref="P68" si="14">+O68*L68</f>
        <v>1026970</v>
      </c>
      <c r="Q68" s="59"/>
      <c r="R68" s="58"/>
      <c r="T68" s="63">
        <f t="shared" ref="T68" si="15">+O68*E68</f>
        <v>513485</v>
      </c>
      <c r="U68" s="63">
        <f t="shared" ref="U68" si="16">+O68*F68</f>
        <v>0</v>
      </c>
      <c r="V68" s="63">
        <f t="shared" ref="V68" si="17">+O68*G68</f>
        <v>0</v>
      </c>
      <c r="W68" s="63">
        <f t="shared" ref="W68" si="18">+O68*H68</f>
        <v>102697</v>
      </c>
      <c r="X68" s="63">
        <f t="shared" ref="X68" si="19">+O68*I68</f>
        <v>0</v>
      </c>
      <c r="Y68" s="63">
        <f t="shared" ref="Y68" si="20">+O68*J68</f>
        <v>205394</v>
      </c>
      <c r="Z68" s="63">
        <f t="shared" ref="Z68" si="21">+O68*K68</f>
        <v>205394</v>
      </c>
    </row>
    <row r="69" spans="2:26" x14ac:dyDescent="0.25">
      <c r="B69" s="170" t="s">
        <v>284</v>
      </c>
      <c r="C69" s="170"/>
      <c r="D69" s="170"/>
      <c r="E69" s="170"/>
      <c r="F69" s="170"/>
      <c r="G69" s="170"/>
      <c r="H69" s="170"/>
      <c r="I69" s="170"/>
      <c r="J69" s="170"/>
      <c r="K69" s="170"/>
      <c r="L69" s="170"/>
      <c r="M69" s="170"/>
      <c r="N69" s="170"/>
      <c r="O69" s="170"/>
      <c r="P69" s="29">
        <f>SUM(P6:P68)</f>
        <v>80447538</v>
      </c>
      <c r="T69" s="23">
        <f>SUM(T6:T68)</f>
        <v>41462769</v>
      </c>
      <c r="U69" s="23">
        <f t="shared" ref="U69:Z69" si="22">SUM(U6:U68)</f>
        <v>5933615</v>
      </c>
      <c r="V69" s="23">
        <f t="shared" si="22"/>
        <v>3205064</v>
      </c>
      <c r="W69" s="23">
        <f t="shared" si="22"/>
        <v>3741784</v>
      </c>
      <c r="X69" s="23">
        <f t="shared" si="22"/>
        <v>6198074</v>
      </c>
      <c r="Y69" s="23">
        <f t="shared" si="22"/>
        <v>16716933</v>
      </c>
      <c r="Z69" s="23">
        <f t="shared" si="22"/>
        <v>3189299</v>
      </c>
    </row>
    <row r="70" spans="2:26" x14ac:dyDescent="0.25">
      <c r="T70" s="156">
        <f>+T69+U69+V69+W69+X69+Y69+Z69</f>
        <v>80447538</v>
      </c>
      <c r="U70" s="157"/>
      <c r="V70" s="157"/>
      <c r="W70" s="157"/>
      <c r="X70" s="157"/>
      <c r="Y70" s="157"/>
      <c r="Z70" s="157"/>
    </row>
    <row r="71" spans="2:26" ht="56.25" x14ac:dyDescent="0.25">
      <c r="C71" s="107" t="s">
        <v>302</v>
      </c>
      <c r="D71" s="154" t="s">
        <v>308</v>
      </c>
      <c r="E71" s="154"/>
    </row>
    <row r="72" spans="2:26" x14ac:dyDescent="0.25">
      <c r="C72" s="106" t="s">
        <v>303</v>
      </c>
      <c r="D72" s="155" t="s">
        <v>305</v>
      </c>
      <c r="E72" s="155"/>
    </row>
    <row r="73" spans="2:26" ht="29.25" customHeight="1" x14ac:dyDescent="0.25">
      <c r="C73" s="106" t="s">
        <v>304</v>
      </c>
      <c r="D73" s="155" t="s">
        <v>309</v>
      </c>
      <c r="E73" s="155"/>
    </row>
  </sheetData>
  <autoFilter ref="B3:Q6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31">
    <mergeCell ref="T3:Z3"/>
    <mergeCell ref="W4:W5"/>
    <mergeCell ref="X4:X5"/>
    <mergeCell ref="Y4:Y5"/>
    <mergeCell ref="Z4:Z5"/>
    <mergeCell ref="T70:Z70"/>
    <mergeCell ref="S4:S5"/>
    <mergeCell ref="T4:T5"/>
    <mergeCell ref="U4:U5"/>
    <mergeCell ref="V4:V5"/>
    <mergeCell ref="D71:E71"/>
    <mergeCell ref="D72:E72"/>
    <mergeCell ref="D73:E73"/>
    <mergeCell ref="Q3:Q5"/>
    <mergeCell ref="B3:L3"/>
    <mergeCell ref="M4:M5"/>
    <mergeCell ref="N3:N5"/>
    <mergeCell ref="O3:O5"/>
    <mergeCell ref="P3:P5"/>
    <mergeCell ref="B4:B5"/>
    <mergeCell ref="B69:O69"/>
    <mergeCell ref="H4:H5"/>
    <mergeCell ref="C4:C5"/>
    <mergeCell ref="D4:D5"/>
    <mergeCell ref="E4:E5"/>
    <mergeCell ref="F4:F5"/>
    <mergeCell ref="G4:G5"/>
    <mergeCell ref="I4:I5"/>
    <mergeCell ref="J4:J5"/>
    <mergeCell ref="K4:K5"/>
    <mergeCell ref="L4:L5"/>
  </mergeCells>
  <pageMargins left="0.7" right="0.7" top="0.75" bottom="0.75" header="0.3" footer="0.3"/>
  <pageSetup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O10"/>
  <sheetViews>
    <sheetView workbookViewId="0">
      <selection activeCell="F16" sqref="F16"/>
    </sheetView>
  </sheetViews>
  <sheetFormatPr baseColWidth="10" defaultRowHeight="15" x14ac:dyDescent="0.25"/>
  <cols>
    <col min="1" max="1" width="8.140625" customWidth="1"/>
    <col min="2" max="2" width="5.85546875" style="9" customWidth="1"/>
    <col min="3" max="3" width="28" style="9" customWidth="1"/>
    <col min="4" max="4" width="14.5703125" style="9" customWidth="1"/>
    <col min="5" max="5" width="14.140625" style="9" customWidth="1"/>
    <col min="6" max="6" width="11.42578125" style="9"/>
    <col min="7" max="7" width="11.140625" style="9" customWidth="1"/>
    <col min="8" max="8" width="15.42578125" style="9" customWidth="1"/>
    <col min="9" max="9" width="12.7109375" style="9" customWidth="1"/>
    <col min="10" max="10" width="11.42578125" style="9"/>
    <col min="11" max="11" width="13.5703125" style="9" customWidth="1"/>
    <col min="12" max="12" width="49.5703125" customWidth="1"/>
    <col min="14" max="14" width="15.42578125" style="9" customWidth="1"/>
    <col min="15" max="15" width="14.140625" style="9" customWidth="1"/>
  </cols>
  <sheetData>
    <row r="2" spans="2:15" ht="23.25" x14ac:dyDescent="0.25">
      <c r="B2" s="170" t="s">
        <v>286</v>
      </c>
      <c r="C2" s="170"/>
      <c r="D2" s="170"/>
      <c r="E2" s="170"/>
      <c r="F2" s="170"/>
      <c r="G2" s="170"/>
      <c r="H2" s="81" t="s">
        <v>59</v>
      </c>
      <c r="I2" s="211" t="s">
        <v>50</v>
      </c>
      <c r="J2" s="211" t="s">
        <v>265</v>
      </c>
      <c r="K2" s="211" t="s">
        <v>266</v>
      </c>
      <c r="L2" s="211" t="s">
        <v>165</v>
      </c>
      <c r="N2" s="170" t="s">
        <v>323</v>
      </c>
      <c r="O2" s="170"/>
    </row>
    <row r="3" spans="2:15" ht="22.5" customHeight="1" x14ac:dyDescent="0.25">
      <c r="B3" s="164" t="s">
        <v>1</v>
      </c>
      <c r="C3" s="164" t="s">
        <v>299</v>
      </c>
      <c r="D3" s="164" t="s">
        <v>300</v>
      </c>
      <c r="E3" s="164" t="s">
        <v>8</v>
      </c>
      <c r="F3" s="164" t="s">
        <v>4</v>
      </c>
      <c r="G3" s="164" t="s">
        <v>174</v>
      </c>
      <c r="H3" s="176" t="s">
        <v>270</v>
      </c>
      <c r="I3" s="211"/>
      <c r="J3" s="211"/>
      <c r="K3" s="211"/>
      <c r="L3" s="211"/>
      <c r="N3" s="164" t="s">
        <v>8</v>
      </c>
      <c r="O3" s="164" t="s">
        <v>4</v>
      </c>
    </row>
    <row r="4" spans="2:15" ht="21" customHeight="1" x14ac:dyDescent="0.25">
      <c r="B4" s="164"/>
      <c r="C4" s="164"/>
      <c r="D4" s="164"/>
      <c r="E4" s="164"/>
      <c r="F4" s="164"/>
      <c r="G4" s="164"/>
      <c r="H4" s="214"/>
      <c r="I4" s="211"/>
      <c r="J4" s="211"/>
      <c r="K4" s="211"/>
      <c r="L4" s="211"/>
      <c r="N4" s="164"/>
      <c r="O4" s="164"/>
    </row>
    <row r="5" spans="2:15" ht="117" customHeight="1" x14ac:dyDescent="0.25">
      <c r="B5" s="46">
        <v>148</v>
      </c>
      <c r="C5" s="35" t="s">
        <v>269</v>
      </c>
      <c r="D5" s="50" t="s">
        <v>17</v>
      </c>
      <c r="E5" s="50">
        <v>2</v>
      </c>
      <c r="F5" s="50">
        <v>2</v>
      </c>
      <c r="G5" s="50">
        <f>SUM(E5:F5)</f>
        <v>4</v>
      </c>
      <c r="H5" s="65">
        <f>905000*1.19</f>
        <v>1076950</v>
      </c>
      <c r="I5" s="65">
        <f>(974610)*(1+(13.12/100))</f>
        <v>1102478.8319999999</v>
      </c>
      <c r="J5" s="65">
        <f>ROUND(GEOMEAN(H5:I5),0)</f>
        <v>1089640</v>
      </c>
      <c r="K5" s="65">
        <f>+J5*G5</f>
        <v>4358560</v>
      </c>
      <c r="L5" s="19"/>
      <c r="N5" s="65">
        <f>+J5*E5</f>
        <v>2179280</v>
      </c>
      <c r="O5" s="65">
        <f>+J5*F5</f>
        <v>2179280</v>
      </c>
    </row>
    <row r="6" spans="2:15" x14ac:dyDescent="0.25">
      <c r="B6" s="157" t="s">
        <v>287</v>
      </c>
      <c r="C6" s="157"/>
      <c r="D6" s="157"/>
      <c r="E6" s="157"/>
      <c r="F6" s="157"/>
      <c r="G6" s="157"/>
      <c r="H6" s="157"/>
      <c r="I6" s="157"/>
      <c r="J6" s="157"/>
      <c r="K6" s="23">
        <f>SUM(K5)</f>
        <v>4358560</v>
      </c>
      <c r="N6" s="156">
        <f>+N5+O5</f>
        <v>4358560</v>
      </c>
      <c r="O6" s="157"/>
    </row>
    <row r="8" spans="2:15" ht="67.5" x14ac:dyDescent="0.25">
      <c r="C8" s="107" t="s">
        <v>302</v>
      </c>
      <c r="D8" s="154" t="s">
        <v>308</v>
      </c>
      <c r="E8" s="154"/>
    </row>
    <row r="9" spans="2:15" x14ac:dyDescent="0.25">
      <c r="C9" s="106" t="s">
        <v>303</v>
      </c>
      <c r="D9" s="155" t="s">
        <v>305</v>
      </c>
      <c r="E9" s="155"/>
    </row>
    <row r="10" spans="2:15" x14ac:dyDescent="0.25">
      <c r="C10" s="106" t="s">
        <v>304</v>
      </c>
      <c r="D10" s="155" t="s">
        <v>309</v>
      </c>
      <c r="E10" s="155"/>
    </row>
  </sheetData>
  <mergeCells count="20">
    <mergeCell ref="N3:N4"/>
    <mergeCell ref="O3:O4"/>
    <mergeCell ref="N6:O6"/>
    <mergeCell ref="N2:O2"/>
    <mergeCell ref="D8:E8"/>
    <mergeCell ref="K2:K4"/>
    <mergeCell ref="L2:L4"/>
    <mergeCell ref="D9:E9"/>
    <mergeCell ref="D10:E10"/>
    <mergeCell ref="B6:J6"/>
    <mergeCell ref="B2:G2"/>
    <mergeCell ref="I2:I4"/>
    <mergeCell ref="J2:J4"/>
    <mergeCell ref="D3:D4"/>
    <mergeCell ref="C3:C4"/>
    <mergeCell ref="B3:B4"/>
    <mergeCell ref="H3:H4"/>
    <mergeCell ref="G3:G4"/>
    <mergeCell ref="F3:F4"/>
    <mergeCell ref="E3:E4"/>
  </mergeCells>
  <pageMargins left="0.7" right="0.7" top="0.75" bottom="0.75" header="0.3" footer="0.3"/>
  <pageSetup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AC12"/>
  <sheetViews>
    <sheetView workbookViewId="0">
      <selection activeCell="P10" sqref="P10"/>
    </sheetView>
  </sheetViews>
  <sheetFormatPr baseColWidth="10" defaultRowHeight="15" x14ac:dyDescent="0.25"/>
  <cols>
    <col min="1" max="1" width="8.140625" customWidth="1"/>
    <col min="2" max="2" width="5.85546875" style="9" customWidth="1"/>
    <col min="3" max="3" width="28" style="9" customWidth="1"/>
    <col min="4" max="5" width="14.5703125" style="9" customWidth="1"/>
    <col min="6" max="6" width="12.28515625" style="9" customWidth="1"/>
    <col min="7" max="7" width="13" style="9" customWidth="1"/>
    <col min="8" max="10" width="11.42578125" style="9"/>
    <col min="11" max="11" width="16.85546875" style="9" customWidth="1"/>
    <col min="12" max="12" width="11.42578125" style="9"/>
    <col min="13" max="15" width="11.140625" style="9" customWidth="1"/>
    <col min="16" max="16" width="15.42578125" style="9" customWidth="1"/>
    <col min="17" max="17" width="12.7109375" style="9" customWidth="1"/>
    <col min="18" max="18" width="11.42578125" style="9"/>
    <col min="19" max="19" width="13.5703125" style="9" customWidth="1"/>
    <col min="20" max="20" width="47.140625" customWidth="1"/>
    <col min="22" max="29" width="11.42578125" style="9"/>
  </cols>
  <sheetData>
    <row r="2" spans="2:29" x14ac:dyDescent="0.25">
      <c r="B2" s="157" t="s">
        <v>288</v>
      </c>
      <c r="C2" s="157"/>
      <c r="D2" s="157"/>
      <c r="E2" s="157"/>
      <c r="F2" s="157"/>
      <c r="G2" s="157"/>
      <c r="H2" s="157"/>
      <c r="I2" s="157"/>
      <c r="J2" s="157"/>
      <c r="K2" s="157"/>
      <c r="L2" s="157"/>
      <c r="M2" s="157"/>
      <c r="N2" s="157" t="s">
        <v>59</v>
      </c>
      <c r="O2" s="157"/>
      <c r="P2" s="157"/>
      <c r="Q2" s="211" t="s">
        <v>50</v>
      </c>
      <c r="R2" s="211" t="s">
        <v>265</v>
      </c>
      <c r="S2" s="211" t="s">
        <v>266</v>
      </c>
      <c r="T2" s="211" t="s">
        <v>165</v>
      </c>
      <c r="V2" s="157" t="s">
        <v>326</v>
      </c>
      <c r="W2" s="157"/>
      <c r="X2" s="157"/>
      <c r="Y2" s="157"/>
      <c r="Z2" s="157"/>
      <c r="AA2" s="157"/>
      <c r="AB2" s="157"/>
      <c r="AC2" s="157"/>
    </row>
    <row r="3" spans="2:29" ht="15" customHeight="1" x14ac:dyDescent="0.25">
      <c r="B3" s="164" t="s">
        <v>1</v>
      </c>
      <c r="C3" s="164" t="s">
        <v>299</v>
      </c>
      <c r="D3" s="164" t="s">
        <v>307</v>
      </c>
      <c r="E3" s="147" t="s">
        <v>7</v>
      </c>
      <c r="F3" s="164" t="s">
        <v>276</v>
      </c>
      <c r="G3" s="164" t="s">
        <v>11</v>
      </c>
      <c r="H3" s="164" t="s">
        <v>8</v>
      </c>
      <c r="I3" s="164" t="s">
        <v>12</v>
      </c>
      <c r="J3" s="164" t="s">
        <v>13</v>
      </c>
      <c r="K3" s="147" t="s">
        <v>5</v>
      </c>
      <c r="L3" s="164" t="s">
        <v>14</v>
      </c>
      <c r="M3" s="164" t="s">
        <v>174</v>
      </c>
      <c r="N3" s="216" t="s">
        <v>49</v>
      </c>
      <c r="O3" s="217"/>
      <c r="P3" s="218"/>
      <c r="Q3" s="211"/>
      <c r="R3" s="211"/>
      <c r="S3" s="211"/>
      <c r="T3" s="211"/>
      <c r="V3" s="147" t="s">
        <v>7</v>
      </c>
      <c r="W3" s="164" t="s">
        <v>276</v>
      </c>
      <c r="X3" s="164" t="s">
        <v>11</v>
      </c>
      <c r="Y3" s="164" t="s">
        <v>8</v>
      </c>
      <c r="Z3" s="164" t="s">
        <v>12</v>
      </c>
      <c r="AA3" s="164" t="s">
        <v>13</v>
      </c>
      <c r="AB3" s="147" t="s">
        <v>5</v>
      </c>
      <c r="AC3" s="164" t="s">
        <v>14</v>
      </c>
    </row>
    <row r="4" spans="2:29" ht="61.5" customHeight="1" x14ac:dyDescent="0.25">
      <c r="B4" s="164"/>
      <c r="C4" s="164"/>
      <c r="D4" s="147"/>
      <c r="E4" s="204"/>
      <c r="F4" s="147"/>
      <c r="G4" s="147"/>
      <c r="H4" s="147"/>
      <c r="I4" s="147"/>
      <c r="J4" s="147"/>
      <c r="K4" s="204"/>
      <c r="L4" s="147"/>
      <c r="M4" s="215"/>
      <c r="N4" s="56" t="s">
        <v>53</v>
      </c>
      <c r="O4" s="56" t="s">
        <v>277</v>
      </c>
      <c r="P4" s="56" t="s">
        <v>278</v>
      </c>
      <c r="Q4" s="211"/>
      <c r="R4" s="211"/>
      <c r="S4" s="211"/>
      <c r="T4" s="211"/>
      <c r="V4" s="204"/>
      <c r="W4" s="147"/>
      <c r="X4" s="147"/>
      <c r="Y4" s="147"/>
      <c r="Z4" s="147"/>
      <c r="AA4" s="147"/>
      <c r="AB4" s="204"/>
      <c r="AC4" s="147"/>
    </row>
    <row r="5" spans="2:29" ht="131.25" customHeight="1" x14ac:dyDescent="0.25">
      <c r="B5" s="46">
        <v>149</v>
      </c>
      <c r="C5" s="66" t="s">
        <v>271</v>
      </c>
      <c r="D5" s="67" t="s">
        <v>272</v>
      </c>
      <c r="E5" s="50">
        <v>60</v>
      </c>
      <c r="F5" s="50">
        <v>0</v>
      </c>
      <c r="G5" s="50">
        <v>10</v>
      </c>
      <c r="H5" s="70">
        <v>33</v>
      </c>
      <c r="I5" s="70">
        <v>3</v>
      </c>
      <c r="J5" s="70">
        <v>5</v>
      </c>
      <c r="K5" s="70">
        <v>10</v>
      </c>
      <c r="L5" s="70">
        <v>53</v>
      </c>
      <c r="M5" s="76">
        <f>SUM(E5:L5)</f>
        <v>174</v>
      </c>
      <c r="N5" s="73">
        <v>904400</v>
      </c>
      <c r="O5" s="71">
        <v>474810</v>
      </c>
      <c r="P5" s="71"/>
      <c r="Q5" s="71">
        <f>(300000)*(1+(13.12/100))</f>
        <v>339360</v>
      </c>
      <c r="R5" s="71">
        <f>ROUND(HARMEAN(N5:Q5),0)</f>
        <v>487129</v>
      </c>
      <c r="S5" s="75">
        <f>+R5*M5</f>
        <v>84760446</v>
      </c>
      <c r="T5" s="19"/>
      <c r="V5" s="71">
        <f>+R5*E5</f>
        <v>29227740</v>
      </c>
      <c r="W5" s="71">
        <f>+R5*F5</f>
        <v>0</v>
      </c>
      <c r="X5" s="71">
        <f>+R5*G5</f>
        <v>4871290</v>
      </c>
      <c r="Y5" s="71">
        <f>+R5*H5</f>
        <v>16075257</v>
      </c>
      <c r="Z5" s="71">
        <f>+R5*I5</f>
        <v>1461387</v>
      </c>
      <c r="AA5" s="71">
        <f>+R5*J5</f>
        <v>2435645</v>
      </c>
      <c r="AB5" s="71">
        <f>+R5*K5</f>
        <v>4871290</v>
      </c>
      <c r="AC5" s="71">
        <f>+R5*L5</f>
        <v>25817837</v>
      </c>
    </row>
    <row r="6" spans="2:29" ht="131.25" customHeight="1" x14ac:dyDescent="0.25">
      <c r="B6" s="46">
        <f>1+B5</f>
        <v>150</v>
      </c>
      <c r="C6" s="68" t="s">
        <v>273</v>
      </c>
      <c r="D6" s="69" t="s">
        <v>274</v>
      </c>
      <c r="E6" s="50">
        <v>100</v>
      </c>
      <c r="F6" s="50">
        <v>0</v>
      </c>
      <c r="G6" s="50">
        <v>0</v>
      </c>
      <c r="H6" s="70">
        <v>33</v>
      </c>
      <c r="I6" s="70">
        <v>5</v>
      </c>
      <c r="J6" s="70">
        <v>1</v>
      </c>
      <c r="K6" s="70">
        <v>10</v>
      </c>
      <c r="L6" s="70">
        <v>52</v>
      </c>
      <c r="M6" s="76">
        <f>SUM(E6:L6)</f>
        <v>201</v>
      </c>
      <c r="N6" s="73">
        <v>5687010</v>
      </c>
      <c r="O6" s="71">
        <v>3094000</v>
      </c>
      <c r="P6" s="72">
        <v>3634113.63</v>
      </c>
      <c r="Q6" s="71">
        <f>(2130000)*(1+(13.12/100))</f>
        <v>2409456</v>
      </c>
      <c r="R6" s="71">
        <f t="shared" ref="R6:R7" si="0">ROUND(HARMEAN(N6:Q6),0)</f>
        <v>3363472</v>
      </c>
      <c r="S6" s="75">
        <f t="shared" ref="S6:S7" si="1">+R6*M6</f>
        <v>676057872</v>
      </c>
      <c r="T6" s="19"/>
      <c r="V6" s="71">
        <f t="shared" ref="V6:V7" si="2">+R6*E6</f>
        <v>336347200</v>
      </c>
      <c r="W6" s="71">
        <f t="shared" ref="W6:W7" si="3">+R6*F6</f>
        <v>0</v>
      </c>
      <c r="X6" s="71">
        <f t="shared" ref="X6:X7" si="4">+R6*G6</f>
        <v>0</v>
      </c>
      <c r="Y6" s="71">
        <f t="shared" ref="Y6:Y7" si="5">+R6*H6</f>
        <v>110994576</v>
      </c>
      <c r="Z6" s="71">
        <f t="shared" ref="Z6:Z7" si="6">+R6*I6</f>
        <v>16817360</v>
      </c>
      <c r="AA6" s="71">
        <f t="shared" ref="AA6:AA7" si="7">+R6*J6</f>
        <v>3363472</v>
      </c>
      <c r="AB6" s="71">
        <f t="shared" ref="AB6:AB7" si="8">+R6*K6</f>
        <v>33634720</v>
      </c>
      <c r="AC6" s="71">
        <f t="shared" ref="AC6:AC7" si="9">+R6*L6</f>
        <v>174900544</v>
      </c>
    </row>
    <row r="7" spans="2:29" ht="131.25" customHeight="1" x14ac:dyDescent="0.25">
      <c r="B7" s="46">
        <f>1+B6</f>
        <v>151</v>
      </c>
      <c r="C7" s="68" t="s">
        <v>275</v>
      </c>
      <c r="D7" s="70" t="s">
        <v>274</v>
      </c>
      <c r="E7" s="70">
        <v>0</v>
      </c>
      <c r="F7" s="70">
        <v>10</v>
      </c>
      <c r="G7" s="70">
        <v>0</v>
      </c>
      <c r="H7" s="70">
        <v>0</v>
      </c>
      <c r="I7" s="70">
        <v>0</v>
      </c>
      <c r="J7" s="70">
        <v>0</v>
      </c>
      <c r="K7" s="70">
        <v>0</v>
      </c>
      <c r="L7" s="70">
        <v>6</v>
      </c>
      <c r="M7" s="76">
        <f>SUM(E7:L7)</f>
        <v>16</v>
      </c>
      <c r="N7" s="73">
        <v>1875440</v>
      </c>
      <c r="O7" s="71">
        <v>2516850</v>
      </c>
      <c r="P7" s="72">
        <v>3094987.6999999997</v>
      </c>
      <c r="Q7" s="74"/>
      <c r="R7" s="71">
        <f t="shared" si="0"/>
        <v>2393044</v>
      </c>
      <c r="S7" s="75">
        <f t="shared" si="1"/>
        <v>38288704</v>
      </c>
      <c r="T7" s="19"/>
      <c r="V7" s="71">
        <f t="shared" si="2"/>
        <v>0</v>
      </c>
      <c r="W7" s="71">
        <f t="shared" si="3"/>
        <v>23930440</v>
      </c>
      <c r="X7" s="71">
        <f t="shared" si="4"/>
        <v>0</v>
      </c>
      <c r="Y7" s="71">
        <f t="shared" si="5"/>
        <v>0</v>
      </c>
      <c r="Z7" s="71">
        <f t="shared" si="6"/>
        <v>0</v>
      </c>
      <c r="AA7" s="71">
        <f t="shared" si="7"/>
        <v>0</v>
      </c>
      <c r="AB7" s="71">
        <f t="shared" si="8"/>
        <v>0</v>
      </c>
      <c r="AC7" s="71">
        <f t="shared" si="9"/>
        <v>14358264</v>
      </c>
    </row>
    <row r="8" spans="2:29" x14ac:dyDescent="0.25">
      <c r="B8" s="157" t="s">
        <v>289</v>
      </c>
      <c r="C8" s="157"/>
      <c r="D8" s="157"/>
      <c r="E8" s="157"/>
      <c r="F8" s="157"/>
      <c r="G8" s="157"/>
      <c r="H8" s="157"/>
      <c r="I8" s="157"/>
      <c r="J8" s="157"/>
      <c r="K8" s="157"/>
      <c r="L8" s="157"/>
      <c r="M8" s="157"/>
      <c r="N8" s="157"/>
      <c r="O8" s="157"/>
      <c r="P8" s="157"/>
      <c r="Q8" s="157"/>
      <c r="R8" s="157"/>
      <c r="S8" s="75">
        <f>SUM(S5:S7)</f>
        <v>799107022</v>
      </c>
      <c r="V8" s="23">
        <f>SUM(V5:V7)</f>
        <v>365574940</v>
      </c>
      <c r="W8" s="23">
        <f t="shared" ref="W8:AC8" si="10">SUM(W5:W7)</f>
        <v>23930440</v>
      </c>
      <c r="X8" s="23">
        <f t="shared" si="10"/>
        <v>4871290</v>
      </c>
      <c r="Y8" s="23">
        <f t="shared" si="10"/>
        <v>127069833</v>
      </c>
      <c r="Z8" s="23">
        <f t="shared" si="10"/>
        <v>18278747</v>
      </c>
      <c r="AA8" s="23">
        <f t="shared" si="10"/>
        <v>5799117</v>
      </c>
      <c r="AB8" s="23">
        <f t="shared" si="10"/>
        <v>38506010</v>
      </c>
      <c r="AC8" s="23">
        <f t="shared" si="10"/>
        <v>215076645</v>
      </c>
    </row>
    <row r="9" spans="2:29" x14ac:dyDescent="0.25">
      <c r="V9" s="156">
        <f>+V8+W8+X8+Y8+Z8+AA8+AB8+AC8</f>
        <v>799107022</v>
      </c>
      <c r="W9" s="157"/>
      <c r="X9" s="157"/>
      <c r="Y9" s="157"/>
      <c r="Z9" s="157"/>
      <c r="AA9" s="157"/>
      <c r="AB9" s="157"/>
      <c r="AC9" s="157"/>
    </row>
    <row r="10" spans="2:29" ht="67.5" x14ac:dyDescent="0.25">
      <c r="C10" s="107" t="s">
        <v>302</v>
      </c>
      <c r="D10" s="154" t="s">
        <v>310</v>
      </c>
      <c r="E10" s="154"/>
    </row>
    <row r="11" spans="2:29" x14ac:dyDescent="0.25">
      <c r="C11" s="106" t="s">
        <v>303</v>
      </c>
      <c r="D11" s="155" t="s">
        <v>305</v>
      </c>
      <c r="E11" s="155"/>
    </row>
    <row r="12" spans="2:29" ht="34.5" customHeight="1" x14ac:dyDescent="0.25">
      <c r="C12" s="106" t="s">
        <v>304</v>
      </c>
      <c r="D12" s="154" t="s">
        <v>311</v>
      </c>
      <c r="E12" s="154"/>
    </row>
  </sheetData>
  <mergeCells count="33">
    <mergeCell ref="AA3:AA4"/>
    <mergeCell ref="AB3:AB4"/>
    <mergeCell ref="AC3:AC4"/>
    <mergeCell ref="V2:AC2"/>
    <mergeCell ref="V9:AC9"/>
    <mergeCell ref="V3:V4"/>
    <mergeCell ref="W3:W4"/>
    <mergeCell ref="X3:X4"/>
    <mergeCell ref="Y3:Y4"/>
    <mergeCell ref="Z3:Z4"/>
    <mergeCell ref="D10:E10"/>
    <mergeCell ref="D11:E11"/>
    <mergeCell ref="D12:E12"/>
    <mergeCell ref="B8:R8"/>
    <mergeCell ref="B2:M2"/>
    <mergeCell ref="N2:P2"/>
    <mergeCell ref="Q2:Q4"/>
    <mergeCell ref="R2:R4"/>
    <mergeCell ref="B3:B4"/>
    <mergeCell ref="C3:C4"/>
    <mergeCell ref="D3:D4"/>
    <mergeCell ref="E3:E4"/>
    <mergeCell ref="F3:F4"/>
    <mergeCell ref="G3:G4"/>
    <mergeCell ref="S2:S4"/>
    <mergeCell ref="T2:T4"/>
    <mergeCell ref="M3:M4"/>
    <mergeCell ref="N3:P3"/>
    <mergeCell ref="H3:H4"/>
    <mergeCell ref="I3:I4"/>
    <mergeCell ref="J3:J4"/>
    <mergeCell ref="K3:K4"/>
    <mergeCell ref="L3:L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23"/>
  <sheetViews>
    <sheetView workbookViewId="0">
      <selection activeCell="H16" sqref="H16"/>
    </sheetView>
  </sheetViews>
  <sheetFormatPr baseColWidth="10" defaultRowHeight="15" x14ac:dyDescent="0.25"/>
  <cols>
    <col min="2" max="2" width="15.42578125" style="88" customWidth="1"/>
    <col min="3" max="3" width="17.7109375" style="88" customWidth="1"/>
    <col min="5" max="5" width="13.85546875" style="49" customWidth="1"/>
    <col min="6" max="6" width="12.85546875" style="49" customWidth="1"/>
    <col min="8" max="8" width="24.140625" style="88" customWidth="1"/>
    <col min="9" max="9" width="16.140625" style="88" customWidth="1"/>
    <col min="10" max="10" width="14.85546875" style="88" customWidth="1"/>
    <col min="11" max="11" width="11.5703125" style="88" bestFit="1" customWidth="1"/>
    <col min="12" max="12" width="15.28515625" style="88" customWidth="1"/>
    <col min="13" max="14" width="11.5703125" style="88" bestFit="1" customWidth="1"/>
    <col min="15" max="16" width="12.42578125" style="88" bestFit="1" customWidth="1"/>
    <col min="17" max="17" width="14.7109375" customWidth="1"/>
  </cols>
  <sheetData>
    <row r="2" spans="2:17" ht="48" customHeight="1" x14ac:dyDescent="0.25">
      <c r="B2" s="84" t="s">
        <v>297</v>
      </c>
      <c r="C2" s="85" t="s">
        <v>296</v>
      </c>
      <c r="E2" s="95"/>
      <c r="H2" s="219" t="s">
        <v>340</v>
      </c>
      <c r="I2" s="219"/>
      <c r="J2" s="219"/>
      <c r="K2" s="219"/>
      <c r="L2" s="219"/>
      <c r="M2" s="219"/>
      <c r="N2" s="219"/>
      <c r="O2" s="219"/>
      <c r="P2" s="219"/>
    </row>
    <row r="3" spans="2:17" ht="24" x14ac:dyDescent="0.25">
      <c r="B3" s="86" t="s">
        <v>290</v>
      </c>
      <c r="C3" s="221">
        <f>+'LOTE 1 '!X35</f>
        <v>91799354</v>
      </c>
      <c r="E3" s="96"/>
      <c r="H3" s="84" t="s">
        <v>330</v>
      </c>
      <c r="I3" s="84" t="s">
        <v>331</v>
      </c>
      <c r="J3" s="84" t="s">
        <v>332</v>
      </c>
      <c r="K3" s="84" t="s">
        <v>333</v>
      </c>
      <c r="L3" s="84" t="s">
        <v>334</v>
      </c>
      <c r="M3" s="84" t="s">
        <v>335</v>
      </c>
      <c r="N3" s="84" t="s">
        <v>336</v>
      </c>
      <c r="O3" s="84" t="s">
        <v>337</v>
      </c>
      <c r="P3" s="85" t="s">
        <v>338</v>
      </c>
    </row>
    <row r="4" spans="2:17" x14ac:dyDescent="0.25">
      <c r="B4" s="86" t="s">
        <v>88</v>
      </c>
      <c r="C4" s="221">
        <f>+'LOTE 2'!W30</f>
        <v>116194626</v>
      </c>
      <c r="H4" s="87">
        <f>+'LOTE 6'!S8+'LOTE 8'!V11+'LOTE 13'!Y69+'LOTE 14'!O5</f>
        <v>51439668</v>
      </c>
      <c r="I4" s="87">
        <f>+'LOTE 6'!T8+'LOTE 8'!W11+'LOTE 10 '!Q6+'LOTE 13'!T69+'LOTE 14'!N5+'LOTE 15'!Y8</f>
        <v>181039724</v>
      </c>
      <c r="J4" s="87">
        <f>+'LOTE 6'!U8+'LOTE 8'!X11+'LOTE 13'!U69+'LOTE 15'!W8</f>
        <v>38047446</v>
      </c>
      <c r="K4" s="87">
        <f>+'LOTE 6'!V8+'LOTE 13'!V69</f>
        <v>5836073</v>
      </c>
      <c r="L4" s="87">
        <f>+'LOTE 6'!W8+'LOTE 8'!Z11+'LOTE 10 '!R6+'LOTE 15'!X8</f>
        <v>35523142</v>
      </c>
      <c r="M4" s="87">
        <f>+'LOTE 6'!X8+'LOTE 8'!AA11+'LOTE 13'!W69+'LOTE 15'!Z8</f>
        <v>27428203</v>
      </c>
      <c r="N4" s="87">
        <f>+'LOTE 6'!Y8+'LOTE 8'!AB11+'LOTE 10 '!S6+'LOTE 13'!X69+'LOTE 15'!AA8</f>
        <v>20966379</v>
      </c>
      <c r="O4" s="87">
        <f>+'LOTE 8'!AC11+'LOTE 13'!Z69+'LOTE 15'!AC8</f>
        <v>219077213</v>
      </c>
      <c r="P4" s="87">
        <f>+'LOTE 15'!V8+'LOTE 15'!AB8</f>
        <v>404080950</v>
      </c>
      <c r="Q4" s="11">
        <f>SUM(H4:P4)</f>
        <v>983438798</v>
      </c>
    </row>
    <row r="5" spans="2:17" ht="42" customHeight="1" x14ac:dyDescent="0.25">
      <c r="B5" s="86" t="s">
        <v>94</v>
      </c>
      <c r="C5" s="221">
        <f>+'LOTE 3'!R11</f>
        <v>2751605</v>
      </c>
      <c r="H5" s="220" t="s">
        <v>341</v>
      </c>
      <c r="I5" s="220"/>
      <c r="J5" s="220"/>
      <c r="K5" s="220"/>
      <c r="L5" s="220"/>
      <c r="M5" s="220"/>
      <c r="N5" s="220"/>
      <c r="O5" s="220"/>
      <c r="P5" s="220"/>
    </row>
    <row r="6" spans="2:17" x14ac:dyDescent="0.25">
      <c r="B6" s="86" t="s">
        <v>109</v>
      </c>
      <c r="C6" s="221">
        <f>+'LOTE 4 '!U13</f>
        <v>71563676</v>
      </c>
      <c r="H6" s="87">
        <f>+'LOTE 12 '!T4</f>
        <v>3330180</v>
      </c>
      <c r="I6" s="87">
        <f>+'LOTE 12 '!V4</f>
        <v>3718701</v>
      </c>
      <c r="J6" s="87">
        <f>+'LOTE 12 '!W4</f>
        <v>14708295</v>
      </c>
      <c r="K6" s="87"/>
      <c r="L6" s="87">
        <f>+'LOTE 12 '!Z4</f>
        <v>2220120</v>
      </c>
      <c r="M6" s="87">
        <f>+'LOTE 12 '!X4</f>
        <v>2664144</v>
      </c>
      <c r="N6" s="87">
        <f>+'LOTE 12 '!Y4</f>
        <v>832545</v>
      </c>
      <c r="O6" s="87">
        <f>+'LOTE 12 '!U4</f>
        <v>832545</v>
      </c>
      <c r="P6" s="87"/>
      <c r="Q6" s="11">
        <f>SUM(H6:P6)</f>
        <v>28306530</v>
      </c>
    </row>
    <row r="7" spans="2:17" ht="36.75" customHeight="1" x14ac:dyDescent="0.25">
      <c r="B7" s="86" t="s">
        <v>291</v>
      </c>
      <c r="C7" s="221">
        <f>+'LOTE 5'!P7</f>
        <v>798179074</v>
      </c>
      <c r="H7" s="220" t="s">
        <v>342</v>
      </c>
      <c r="I7" s="220"/>
      <c r="J7" s="220"/>
      <c r="K7" s="220"/>
      <c r="L7" s="220"/>
      <c r="M7" s="220"/>
      <c r="N7" s="220"/>
      <c r="O7" s="220"/>
      <c r="P7" s="220"/>
    </row>
    <row r="8" spans="2:17" x14ac:dyDescent="0.25">
      <c r="B8" s="86" t="s">
        <v>292</v>
      </c>
      <c r="C8" s="99">
        <f>+'LOTE 6'!P8</f>
        <v>89154343</v>
      </c>
      <c r="H8" s="87">
        <f>+'LOTE 1 '!AA35+'LOTE 2'!Z30+'LOTE 4 '!X13+'LOTE 5'!S7+'LOTE 7 '!W10+'LOTE 9'!Q5+'LOTE 11'!P6</f>
        <v>226686854</v>
      </c>
      <c r="I8" s="87">
        <f>+'LOTE 1 '!AD35+'LOTE 2'!AC30+'LOTE 3'!W11+'LOTE 4 '!AA13+'LOTE 5'!V7+'LOTE 7 '!Y10+'LOTE 11'!R6</f>
        <v>373314566</v>
      </c>
      <c r="J8" s="87">
        <f>+'LOTE 1 '!AE35+'LOTE 2'!AD30+'LOTE 3'!X11+'LOTE 4 '!AB13+'LOTE 7 '!Z10</f>
        <v>17130559</v>
      </c>
      <c r="K8" s="87">
        <f>+'LOTE 1 '!AF35+'LOTE 2'!AE30+'LOTE 4 '!AC13+'LOTE 7 '!AA10</f>
        <v>5529038</v>
      </c>
      <c r="L8" s="87">
        <f>+'LOTE 1 '!AG35+'LOTE 2'!AF30+'LOTE 3'!Y11+'LOTE 4 '!AD13+'LOTE 5'!W7+'LOTE 7 '!AB10+'LOTE 9'!R5+'LOTE 11'!S6</f>
        <v>104413592</v>
      </c>
      <c r="M8" s="87">
        <f>+'LOTE 1 '!AH35+'LOTE 2'!AG30+'LOTE 7 '!AC10</f>
        <v>22493820</v>
      </c>
      <c r="N8" s="87">
        <f>+'LOTE 1 '!AI35+'LOTE 2'!AH30+'LOTE 3'!Z11+'LOTE 4 '!AE13+'LOTE 7 '!AD10+'LOTE 9'!S5</f>
        <v>66941962</v>
      </c>
      <c r="O8" s="87">
        <f>+'LOTE 1 '!AJ35+'LOTE 2'!AI30+'LOTE 3'!AA11+'LOTE 4 '!AF13+'LOTE 5'!X7+'LOTE 7 '!AE10+'LOTE 11'!T6</f>
        <v>287392677</v>
      </c>
      <c r="P8" s="87">
        <f>+'LOTE 1 '!AB35+'LOTE 1 '!AC35+'LOTE 2'!AA30+'LOTE 2'!AB30+'LOTE 3'!V11+'LOTE 4 '!Y13+'LOTE 4 '!Z13+'LOTE 5'!T7+'LOTE 5'!U7+'LOTE 7 '!X10+'LOTE 11'!Q6</f>
        <v>152151228</v>
      </c>
      <c r="Q8" s="11">
        <f>SUM(H8:P8)</f>
        <v>1256054296</v>
      </c>
    </row>
    <row r="9" spans="2:17" x14ac:dyDescent="0.25">
      <c r="B9" s="86" t="s">
        <v>131</v>
      </c>
      <c r="C9" s="221">
        <f>+'LOTE 7 '!T10</f>
        <v>93036227</v>
      </c>
      <c r="E9" s="101">
        <f>+C3+C4+C5+C6+C7+C9+C11+C13</f>
        <v>1256054296</v>
      </c>
      <c r="F9" s="49" t="s">
        <v>327</v>
      </c>
      <c r="G9" s="11"/>
      <c r="Q9" s="11">
        <f>SUM(Q4:Q8)</f>
        <v>2267799624</v>
      </c>
    </row>
    <row r="10" spans="2:17" x14ac:dyDescent="0.25">
      <c r="B10" s="86" t="s">
        <v>139</v>
      </c>
      <c r="C10" s="99">
        <f>+'LOTE 8'!S11</f>
        <v>9876231</v>
      </c>
    </row>
    <row r="11" spans="2:17" x14ac:dyDescent="0.25">
      <c r="B11" s="86" t="s">
        <v>293</v>
      </c>
      <c r="C11" s="221">
        <f>+'LOTE 9'!N6</f>
        <v>46663134</v>
      </c>
    </row>
    <row r="12" spans="2:17" x14ac:dyDescent="0.25">
      <c r="B12" s="86" t="s">
        <v>294</v>
      </c>
      <c r="C12" s="99">
        <f>+'LOTE 10 '!N7</f>
        <v>495104</v>
      </c>
    </row>
    <row r="13" spans="2:17" x14ac:dyDescent="0.25">
      <c r="B13" s="86" t="s">
        <v>148</v>
      </c>
      <c r="C13" s="221">
        <f>+'LOTE 11'!M7</f>
        <v>35866600</v>
      </c>
    </row>
    <row r="14" spans="2:17" x14ac:dyDescent="0.25">
      <c r="B14" s="94" t="s">
        <v>295</v>
      </c>
      <c r="C14" s="102">
        <f>+'LOTE 12 '!Q5</f>
        <v>28306530</v>
      </c>
      <c r="E14" s="97">
        <f>+C14</f>
        <v>28306530</v>
      </c>
      <c r="F14" s="49" t="s">
        <v>328</v>
      </c>
    </row>
    <row r="15" spans="2:17" x14ac:dyDescent="0.25">
      <c r="B15" s="86" t="s">
        <v>285</v>
      </c>
      <c r="C15" s="99">
        <f>+'LOTE 13'!P69</f>
        <v>80447538</v>
      </c>
    </row>
    <row r="16" spans="2:17" x14ac:dyDescent="0.25">
      <c r="B16" s="86" t="s">
        <v>286</v>
      </c>
      <c r="C16" s="99">
        <f>+'LOTE 14'!K6</f>
        <v>4358560</v>
      </c>
    </row>
    <row r="17" spans="2:7" x14ac:dyDescent="0.25">
      <c r="B17" s="86" t="s">
        <v>288</v>
      </c>
      <c r="C17" s="99">
        <f>+'LOTE 15'!S8</f>
        <v>799107022</v>
      </c>
      <c r="E17" s="100">
        <f>+C17+C16+C15+C8+C10+C12</f>
        <v>983438798</v>
      </c>
      <c r="F17" s="49" t="s">
        <v>329</v>
      </c>
      <c r="G17" s="11"/>
    </row>
    <row r="18" spans="2:7" x14ac:dyDescent="0.25">
      <c r="B18" s="85" t="s">
        <v>298</v>
      </c>
      <c r="C18" s="27">
        <f>SUM(C3:C17)</f>
        <v>2267799624</v>
      </c>
      <c r="E18" s="98">
        <f>SUM(E9:E17)</f>
        <v>2267799624</v>
      </c>
    </row>
    <row r="20" spans="2:7" x14ac:dyDescent="0.25">
      <c r="E20" s="98"/>
    </row>
    <row r="23" spans="2:7" x14ac:dyDescent="0.25">
      <c r="F23" s="98"/>
    </row>
  </sheetData>
  <mergeCells count="3">
    <mergeCell ref="H2:P2"/>
    <mergeCell ref="H5:P5"/>
    <mergeCell ref="H7:P7"/>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LOTE 1 </vt:lpstr>
      <vt:lpstr>LOTE 2</vt:lpstr>
      <vt:lpstr>LOTE 3</vt:lpstr>
      <vt:lpstr>LOTE 4 </vt:lpstr>
      <vt:lpstr>LOTE 5</vt:lpstr>
      <vt:lpstr>LOTE 6</vt:lpstr>
      <vt:lpstr>LOTE 7 </vt:lpstr>
      <vt:lpstr>LOTE 8</vt:lpstr>
      <vt:lpstr>LOTE 9</vt:lpstr>
      <vt:lpstr>LOTE 10 </vt:lpstr>
      <vt:lpstr>LOTE 11</vt:lpstr>
      <vt:lpstr>LOTE 12 </vt:lpstr>
      <vt:lpstr>LOTE 13</vt:lpstr>
      <vt:lpstr>LOTE 14</vt:lpstr>
      <vt:lpstr>LOTE 15</vt:lpstr>
      <vt:lpstr>TOTALES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Natalia Figueroa Fonseca</dc:creator>
  <cp:lastModifiedBy>Dora Fany Rincon Lara</cp:lastModifiedBy>
  <cp:lastPrinted>2023-05-05T19:43:44Z</cp:lastPrinted>
  <dcterms:created xsi:type="dcterms:W3CDTF">2023-04-24T13:23:10Z</dcterms:created>
  <dcterms:modified xsi:type="dcterms:W3CDTF">2023-06-21T20:42:13Z</dcterms:modified>
</cp:coreProperties>
</file>