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barragan\Downloads\"/>
    </mc:Choice>
  </mc:AlternateContent>
  <xr:revisionPtr revIDLastSave="4" documentId="11_07DB302EDDF1FF331A8234C04480615956075606" xr6:coauthVersionLast="47" xr6:coauthVersionMax="47" xr10:uidLastSave="{3D4E0E6B-E452-48BB-8749-ED7FC2086EB6}"/>
  <bookViews>
    <workbookView xWindow="-120" yWindow="-120" windowWidth="29040" windowHeight="15840" firstSheet="2" xr2:uid="{00000000-000D-0000-FFFF-FFFF00000000}"/>
  </bookViews>
  <sheets>
    <sheet name="Matriz de Costos" sheetId="3" r:id="rId1"/>
    <sheet name="Matriz de CostosV1" sheetId="1" state="hidden" r:id="rId2"/>
    <sheet name="Plan de Trabajo" sheetId="2" r:id="rId3"/>
  </sheets>
  <externalReferences>
    <externalReference r:id="rId4"/>
    <externalReference r:id="rId5"/>
  </externalReferences>
  <definedNames>
    <definedName name="_xlnm._FilterDatabase" localSheetId="0" hidden="1">'Matriz de Costos'!$A$12:$J$50</definedName>
    <definedName name="_xlnm._FilterDatabase" localSheetId="1" hidden="1">'Matriz de CostosV1'!$A$12:$J$52</definedName>
    <definedName name="_xlnm._FilterDatabase" localSheetId="2" hidden="1">'Plan de Trabajo'!$A$12:$P$25</definedName>
    <definedName name="a">[1]LISTAS!$A$7:$A$9</definedName>
    <definedName name="formadefacturacion" localSheetId="0">#REF!</definedName>
    <definedName name="formadefacturacion">#REF!</definedName>
    <definedName name="HORAS.MES" localSheetId="0">#REF!</definedName>
    <definedName name="HORAS.MES">#REF!</definedName>
    <definedName name="hospitales" localSheetId="0">#REF!</definedName>
    <definedName name="hospitales">#REF!</definedName>
    <definedName name="IPC" localSheetId="0">#REF!</definedName>
    <definedName name="IPC">#REF!</definedName>
    <definedName name="MES.PROG" localSheetId="0">#REF!</definedName>
    <definedName name="MES.PROG">#REF!</definedName>
    <definedName name="MESES.PROG" localSheetId="0">#REF!</definedName>
    <definedName name="MESES.PROG">#REF!</definedName>
    <definedName name="niveldeoperacion" localSheetId="0">#REF!</definedName>
    <definedName name="niveldeoperacion">#REF!</definedName>
    <definedName name="PERFIL">[2]UDC!$H$3:$H$15</definedName>
    <definedName name="proyecto869" localSheetId="0">#REF!</definedName>
    <definedName name="proyecto869">#REF!</definedName>
    <definedName name="todo" localSheetId="0">#REF!</definedName>
    <definedName name="tod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" l="1"/>
  <c r="H43" i="1"/>
  <c r="F25" i="2"/>
  <c r="K41" i="3"/>
  <c r="E45" i="3"/>
  <c r="E44" i="3"/>
  <c r="H44" i="3" s="1"/>
  <c r="E43" i="3"/>
  <c r="H43" i="3" s="1"/>
  <c r="I43" i="3" s="1"/>
  <c r="K43" i="3" s="1"/>
  <c r="K42" i="3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E24" i="3"/>
  <c r="H24" i="3" s="1"/>
  <c r="K24" i="3" s="1"/>
  <c r="E23" i="3"/>
  <c r="H23" i="3" s="1"/>
  <c r="E22" i="3"/>
  <c r="H22" i="3" s="1"/>
  <c r="E21" i="3"/>
  <c r="H21" i="3" s="1"/>
  <c r="E20" i="3"/>
  <c r="H20" i="3" s="1"/>
  <c r="K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K13" i="3" s="1"/>
  <c r="F27" i="2" l="1"/>
  <c r="F26" i="2"/>
  <c r="F28" i="2" s="1"/>
  <c r="K38" i="3"/>
  <c r="K44" i="3"/>
  <c r="K27" i="3"/>
  <c r="K34" i="3"/>
  <c r="K17" i="3"/>
  <c r="K31" i="3"/>
  <c r="I41" i="1"/>
  <c r="E44" i="1"/>
  <c r="H44" i="1" s="1"/>
  <c r="E14" i="1"/>
  <c r="H14" i="1" s="1"/>
  <c r="E38" i="1"/>
  <c r="H38" i="1" s="1"/>
  <c r="E35" i="1"/>
  <c r="H35" i="1" s="1"/>
  <c r="E31" i="1"/>
  <c r="H31" i="1" s="1"/>
  <c r="E28" i="1"/>
  <c r="H28" i="1" s="1"/>
  <c r="E24" i="1"/>
  <c r="H24" i="1" s="1"/>
  <c r="E21" i="1"/>
  <c r="H21" i="1" s="1"/>
  <c r="E17" i="1"/>
  <c r="H17" i="1" s="1"/>
  <c r="E40" i="1"/>
  <c r="H40" i="1" s="1"/>
  <c r="E37" i="1"/>
  <c r="H37" i="1" s="1"/>
  <c r="E33" i="1"/>
  <c r="H33" i="1" s="1"/>
  <c r="E30" i="1"/>
  <c r="H30" i="1" s="1"/>
  <c r="E26" i="1"/>
  <c r="H26" i="1" s="1"/>
  <c r="E23" i="1"/>
  <c r="H23" i="1" s="1"/>
  <c r="E19" i="1"/>
  <c r="H19" i="1" s="1"/>
  <c r="E16" i="1"/>
  <c r="H16" i="1" s="1"/>
  <c r="E45" i="1"/>
  <c r="E39" i="1"/>
  <c r="H39" i="1" s="1"/>
  <c r="E36" i="1"/>
  <c r="H36" i="1" s="1"/>
  <c r="E32" i="1"/>
  <c r="H32" i="1" s="1"/>
  <c r="E29" i="1"/>
  <c r="H29" i="1" s="1"/>
  <c r="E25" i="1"/>
  <c r="H25" i="1" s="1"/>
  <c r="E22" i="1"/>
  <c r="H22" i="1" s="1"/>
  <c r="E18" i="1"/>
  <c r="H18" i="1" s="1"/>
  <c r="E15" i="1"/>
  <c r="H15" i="1" s="1"/>
  <c r="K46" i="3" l="1"/>
  <c r="E34" i="1"/>
  <c r="H34" i="1" s="1"/>
  <c r="E27" i="1"/>
  <c r="H27" i="1" s="1"/>
  <c r="E20" i="1"/>
  <c r="H20" i="1" s="1"/>
  <c r="E13" i="1"/>
  <c r="H13" i="1" s="1"/>
  <c r="I44" i="1"/>
  <c r="K48" i="3" l="1"/>
  <c r="K47" i="3"/>
  <c r="K42" i="1"/>
  <c r="I38" i="1"/>
  <c r="K38" i="1" s="1"/>
  <c r="I34" i="1"/>
  <c r="K34" i="1" s="1"/>
  <c r="I31" i="1"/>
  <c r="K31" i="1" s="1"/>
  <c r="I27" i="1"/>
  <c r="K27" i="1" s="1"/>
  <c r="I24" i="1"/>
  <c r="K24" i="1" s="1"/>
  <c r="I20" i="1"/>
  <c r="K20" i="1" s="1"/>
  <c r="I17" i="1"/>
  <c r="I13" i="1"/>
  <c r="K13" i="1" s="1"/>
  <c r="K43" i="1"/>
  <c r="K44" i="1"/>
  <c r="K41" i="1"/>
  <c r="K49" i="3" l="1"/>
  <c r="K46" i="1"/>
  <c r="K17" i="1"/>
  <c r="K47" i="1" l="1"/>
  <c r="K48" i="1" l="1"/>
  <c r="K50" i="1" s="1"/>
  <c r="K49" i="1" l="1"/>
  <c r="K51" i="1" s="1"/>
</calcChain>
</file>

<file path=xl/sharedStrings.xml><?xml version="1.0" encoding="utf-8"?>
<sst xmlns="http://schemas.openxmlformats.org/spreadsheetml/2006/main" count="201" uniqueCount="63">
  <si>
    <t>COMPONENTE: 1</t>
  </si>
  <si>
    <t>ACCIONES EN MEDICINA ANCESTRAL INDÍGENA E INTERCULTURAL PARA FAMILIAS Y COMUNIDADES DE 14 PUEBLOS INDÍGENA</t>
  </si>
  <si>
    <t>COD</t>
  </si>
  <si>
    <t>PRODUCTO</t>
  </si>
  <si>
    <t>UNIDAD DE MEDIDA</t>
  </si>
  <si>
    <t>PERFIL</t>
  </si>
  <si>
    <t>VALOR HORA PERFIL</t>
  </si>
  <si>
    <t>CANTIDAD PERFIL</t>
  </si>
  <si>
    <t>HORAS POR ACTIVIDAD</t>
  </si>
  <si>
    <t>VALOR HORA PERFIL* CANTIDAD PERFIL * HORA ACTIVIDAD</t>
  </si>
  <si>
    <t>VALOR UNITARIO</t>
  </si>
  <si>
    <t>META TOTAL</t>
  </si>
  <si>
    <t>VALOR TOTAL</t>
  </si>
  <si>
    <t>Espacios de Armonización para el abordaje familiar y comunitario</t>
  </si>
  <si>
    <t xml:space="preserve">Espacios de armonización </t>
  </si>
  <si>
    <t>Profesional Universitario 2 ('Profesional de salud en enfermería-medico)</t>
  </si>
  <si>
    <t>Técnico 1 ('Técnico en salud)</t>
  </si>
  <si>
    <t>Tecnico 3 (Enlace de salud comunitario)</t>
  </si>
  <si>
    <t>Perfil Ancestral ( Sabedor Ancestral, guía espiritual, partera)</t>
  </si>
  <si>
    <t xml:space="preserve">Espacios de armonización (Tubu - Eperara) </t>
  </si>
  <si>
    <t>Acciones para el abordaje intercultural de las familias de los 14 pueblos indígenas</t>
  </si>
  <si>
    <t xml:space="preserve">Sesiones de abordaje familiar </t>
  </si>
  <si>
    <t xml:space="preserve">Sesiones de abordaje familiar (Tubu - Eperara) </t>
  </si>
  <si>
    <t xml:space="preserve">Acciones propias desde los Saberes Ancestrales (Medicina Ancestral y Partería)
</t>
  </si>
  <si>
    <t>Atenciones individuales de 
medicina ancestral y partería  desde los saberes ancestrales</t>
  </si>
  <si>
    <t xml:space="preserve">Atenciones individuales de 
medicina ancestral y partería  desde los saberes ancestrales (Tubu - Eperara) </t>
  </si>
  <si>
    <t>Acciones comunitarias diferenciales e interculturales para cada pueblo indígena</t>
  </si>
  <si>
    <t>Jornadas comunitarias de medicina ancestral, partería y interculturalidad.</t>
  </si>
  <si>
    <t>Jornadas comunitarias de medicina ancestral, partería y interculturalidad (Tubu - Eperara)</t>
  </si>
  <si>
    <t>Plan  para el aprovisionamiento y el uso de los insumos ancestrales para los abordajes familiar, individual y comunitario.
Consiste en que cada equipo de cuidado en salud propia e intercultural Indígena, de la mano con el equipo coordinador y autoridades de cada pueblo, deberán  definir el  uso de los insumos ancestrales para  el desarrollo de las actividades  de abordaje  individual,  familias y  comunidad   en concordancia con la cosmovisión, usos y costumbres de cada pueblo, de confromidad con el Anexo 4 Documento tecnico Operativo</t>
  </si>
  <si>
    <t xml:space="preserve">Plan  de insumos propios de medicina ancestral  </t>
  </si>
  <si>
    <t>No Aplica</t>
  </si>
  <si>
    <t>Implementación del plan para el aprovisionamiento y el uso de los insumos ancestrales para los abordajes familiar, individual y comunitario.
Consiste  en el uso de insumos de medicina ancestral y parteria por cada equipo de cuidado en salud propia e intercultural Indígena  en concordancia con la cosmovisión, usos y costumbres de cada pueblo,  para el desarrollo de las actividades de sesiones familiares, atencion individual desde la medicina ancestral y jornadas comunitarias, de confromidad con el Anexo 4 Documento tecnico Operativo</t>
  </si>
  <si>
    <t xml:space="preserve">Avance de la implementación del plan </t>
  </si>
  <si>
    <t>Digitalización de la información emanada de la implementación de las acciones familiares, individuales y comunitarias</t>
  </si>
  <si>
    <t>Sistematización de la información</t>
  </si>
  <si>
    <t>Tecnico 3 (Digitador- Bachiller)</t>
  </si>
  <si>
    <t>Documento  de análisis y avance de la implementación de las acciones en medicina ancestral indigena e interculturalidad</t>
  </si>
  <si>
    <t>Documento  de análisis y avance</t>
  </si>
  <si>
    <t xml:space="preserve">Profesional especializado 3  (Líder operativo)
</t>
  </si>
  <si>
    <t>Profesional universitario 1  (líder)</t>
  </si>
  <si>
    <t>SUBTOTAL</t>
  </si>
  <si>
    <t>Subtotal Costos Generales 12%</t>
  </si>
  <si>
    <t>Subtotal Insumos Directos 6%</t>
  </si>
  <si>
    <t>TOTAL COMPONENTE 1</t>
  </si>
  <si>
    <t xml:space="preserve">Espacios de Armonización para planear  y gestionar el abordaje a las familias y comunidades
</t>
  </si>
  <si>
    <t>Medicina Ancestral indígena</t>
  </si>
  <si>
    <t>Talento Humano étnico indígena</t>
  </si>
  <si>
    <t>SUBTOTAL TALENTO HUMANO Y MEDICINA ANCESTRAL</t>
  </si>
  <si>
    <t xml:space="preserve">PROGRAMACIÓN DE METAS 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</si>
  <si>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</si>
  <si>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</si>
  <si>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</si>
  <si>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</si>
  <si>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</si>
  <si>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</si>
  <si>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</si>
  <si>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</si>
  <si>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</si>
  <si>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TOTAL</t>
  </si>
  <si>
    <t xml:space="preserve">Plan  para el aprovisionamiento y el uso de los insumos ancestrales para los abordajes familiar, individual y comunitario
 </t>
  </si>
  <si>
    <t>Implementación del plan para el aprovisionamiento y el uso de los insumos ancestrales para los abordajes familiar, individual y comunitario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</si>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</sst>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#,##0_ ;\-#,##0\ "/>
    <numFmt numFmtId="165" formatCode="_-&quot;$&quot;* #,##0.00_-;\-&quot;$&quot;* #,##0.00_-;_-&quot;$&quot;* &quot;-&quot;??_-;_-@_-"/>
    <numFmt numFmtId="166" formatCode="_-* #,##0_-;\-* #,##0_-;_-* &quot;-&quot;??_-;_-@_-"/>
    <numFmt numFmtId="167" formatCode="_-* #,##0.0_-;\-* #,##0.0_-;_-* &quot;-&quot;_-;_-@_-"/>
    <numFmt numFmtId="168" formatCode="_-* #,##0.000000_-;\-* #,##0.000000_-;_-* &quot;-&quot;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 wrapText="1"/>
    </xf>
    <xf numFmtId="41" fontId="0" fillId="0" borderId="4" xfId="1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 wrapText="1"/>
    </xf>
    <xf numFmtId="41" fontId="3" fillId="0" borderId="11" xfId="1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10" xfId="1" applyNumberFormat="1" applyFont="1" applyBorder="1" applyAlignment="1">
      <alignment horizontal="center" vertical="center" wrapText="1"/>
    </xf>
    <xf numFmtId="41" fontId="0" fillId="0" borderId="16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0" fillId="0" borderId="0" xfId="0" applyNumberForma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1" fontId="0" fillId="0" borderId="14" xfId="1" applyFont="1" applyBorder="1" applyAlignment="1">
      <alignment vertical="center" wrapText="1"/>
    </xf>
    <xf numFmtId="41" fontId="0" fillId="0" borderId="14" xfId="1" applyFont="1" applyBorder="1" applyAlignment="1">
      <alignment horizontal="center" vertical="center" wrapText="1"/>
    </xf>
    <xf numFmtId="41" fontId="0" fillId="0" borderId="13" xfId="1" applyFont="1" applyBorder="1" applyAlignment="1">
      <alignment vertical="center" wrapText="1"/>
    </xf>
    <xf numFmtId="41" fontId="8" fillId="3" borderId="4" xfId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0" fillId="6" borderId="4" xfId="1" applyNumberFormat="1" applyFont="1" applyFill="1" applyBorder="1" applyAlignment="1">
      <alignment horizontal="center" vertical="center" wrapText="1"/>
    </xf>
    <xf numFmtId="164" fontId="0" fillId="0" borderId="4" xfId="1" applyNumberFormat="1" applyFont="1" applyFill="1" applyBorder="1" applyAlignment="1">
      <alignment horizontal="center" vertical="center" wrapText="1"/>
    </xf>
    <xf numFmtId="41" fontId="0" fillId="0" borderId="4" xfId="1" quotePrefix="1" applyFont="1" applyBorder="1" applyAlignment="1">
      <alignment vertical="center" wrapText="1"/>
    </xf>
    <xf numFmtId="41" fontId="0" fillId="0" borderId="0" xfId="0" applyNumberFormat="1" applyAlignment="1">
      <alignment horizontal="center" vertical="center"/>
    </xf>
    <xf numFmtId="166" fontId="0" fillId="0" borderId="0" xfId="3" applyNumberFormat="1" applyFont="1" applyAlignment="1">
      <alignment horizontal="center" vertical="center"/>
    </xf>
    <xf numFmtId="41" fontId="1" fillId="0" borderId="4" xfId="1" applyFont="1" applyBorder="1" applyAlignment="1">
      <alignment horizontal="center" vertical="center" wrapText="1"/>
    </xf>
    <xf numFmtId="41" fontId="3" fillId="7" borderId="4" xfId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13" fillId="6" borderId="4" xfId="1" applyNumberFormat="1" applyFont="1" applyFill="1" applyBorder="1" applyAlignment="1">
      <alignment horizontal="center" vertical="center" wrapText="1"/>
    </xf>
    <xf numFmtId="166" fontId="0" fillId="0" borderId="0" xfId="3" applyNumberFormat="1" applyFont="1" applyAlignment="1">
      <alignment vertical="center"/>
    </xf>
    <xf numFmtId="41" fontId="0" fillId="0" borderId="6" xfId="1" applyFont="1" applyBorder="1" applyAlignment="1">
      <alignment horizontal="center" vertical="center" wrapText="1"/>
    </xf>
    <xf numFmtId="41" fontId="1" fillId="6" borderId="4" xfId="1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41" fontId="11" fillId="5" borderId="5" xfId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10" xfId="1" applyNumberFormat="1" applyFont="1" applyBorder="1" applyAlignment="1">
      <alignment horizontal="center" vertical="center" wrapText="1"/>
    </xf>
    <xf numFmtId="164" fontId="0" fillId="0" borderId="5" xfId="1" applyNumberFormat="1" applyFont="1" applyBorder="1" applyAlignment="1">
      <alignment horizontal="center" vertical="center" wrapText="1"/>
    </xf>
    <xf numFmtId="164" fontId="0" fillId="0" borderId="6" xfId="1" applyNumberFormat="1" applyFont="1" applyBorder="1" applyAlignment="1">
      <alignment horizontal="center" vertical="center" wrapText="1"/>
    </xf>
    <xf numFmtId="164" fontId="0" fillId="0" borderId="4" xfId="1" applyNumberFormat="1" applyFont="1" applyBorder="1" applyAlignment="1">
      <alignment horizontal="center" vertical="center" wrapText="1"/>
    </xf>
    <xf numFmtId="41" fontId="0" fillId="0" borderId="4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13" fillId="6" borderId="10" xfId="1" applyNumberFormat="1" applyFont="1" applyFill="1" applyBorder="1" applyAlignment="1">
      <alignment horizontal="center" vertical="center" wrapText="1"/>
    </xf>
    <xf numFmtId="164" fontId="0" fillId="0" borderId="10" xfId="1" applyNumberFormat="1" applyFont="1" applyFill="1" applyBorder="1" applyAlignment="1">
      <alignment horizontal="center" vertical="center" wrapText="1"/>
    </xf>
    <xf numFmtId="41" fontId="0" fillId="0" borderId="10" xfId="1" applyFont="1" applyFill="1" applyBorder="1" applyAlignment="1">
      <alignment horizontal="center" vertical="center" wrapText="1"/>
    </xf>
    <xf numFmtId="41" fontId="0" fillId="0" borderId="5" xfId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164" fontId="0" fillId="0" borderId="6" xfId="1" applyNumberFormat="1" applyFont="1" applyFill="1" applyBorder="1" applyAlignment="1">
      <alignment horizontal="center" vertical="center" wrapText="1"/>
    </xf>
    <xf numFmtId="41" fontId="0" fillId="0" borderId="6" xfId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1" fontId="8" fillId="3" borderId="4" xfId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0" fillId="6" borderId="4" xfId="0" applyFill="1" applyBorder="1" applyAlignment="1">
      <alignment horizontal="center" vertical="center" wrapText="1"/>
    </xf>
    <xf numFmtId="164" fontId="13" fillId="6" borderId="21" xfId="1" applyNumberFormat="1" applyFont="1" applyFill="1" applyBorder="1" applyAlignment="1">
      <alignment horizontal="center" vertical="center" wrapText="1"/>
    </xf>
    <xf numFmtId="164" fontId="0" fillId="0" borderId="21" xfId="1" applyNumberFormat="1" applyFont="1" applyFill="1" applyBorder="1" applyAlignment="1">
      <alignment horizontal="center" vertical="center" wrapText="1"/>
    </xf>
  </cellXfs>
  <cellStyles count="4">
    <cellStyle name="Millares" xfId="3" builtinId="3"/>
    <cellStyle name="Millares [0]" xfId="1" builtinId="6"/>
    <cellStyle name="Moneda 3" xfId="2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0</xdr:rowOff>
    </xdr:from>
    <xdr:ext cx="16299545" cy="1311777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5" y="0"/>
          <a:ext cx="16299545" cy="131177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es-E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MATRIZ DE COSTOS</a:t>
          </a:r>
        </a:p>
        <a:p>
          <a:pPr algn="l"/>
          <a:r>
            <a:rPr lang="es-E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OBJETO DEL CONTRATO: Contratar acciones de Medicina Ancestral Indígena a través de un programa diferencial en el marco de la Gestión de la Salud Pública, así como la construcción de la Ruta-Proceso de Armonización Ancestral de los pueblos indígenas víctimas, en cumplimiento del componente psicosocial de la medida de rehabilitación PAPSIVI </a:t>
          </a:r>
        </a:p>
        <a:p>
          <a:pPr algn="l"/>
          <a:endParaRPr lang="es-E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0</xdr:rowOff>
    </xdr:from>
    <xdr:ext cx="16299545" cy="1311777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5725" y="0"/>
          <a:ext cx="16299545" cy="131177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es-E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MATRIZ DE COSTOS</a:t>
          </a:r>
        </a:p>
        <a:p>
          <a:pPr algn="l"/>
          <a:r>
            <a:rPr lang="es-ES" sz="20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OBJETO DEL CONTRATO: Contratar acciones de Medicina Ancestral Indígena a través de un programa diferencial en el marco de la Gestión de la Salud Pública, así como la construcción de la Ruta-Proceso de Armonización Ancestral de los pueblos indígenas víctimas, en cumplimiento del componente psicosocial de la medida de rehabilitación PAPSIVI </a:t>
          </a:r>
        </a:p>
        <a:p>
          <a:pPr algn="l"/>
          <a:endParaRPr lang="es-E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0</xdr:rowOff>
    </xdr:from>
    <xdr:ext cx="16299545" cy="1311777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5725" y="0"/>
          <a:ext cx="16299545" cy="131177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es-ES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50000"/>
                </a:schemeClr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PLAN</a:t>
          </a:r>
          <a:r>
            <a:rPr lang="es-ES" sz="2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50000"/>
                </a:schemeClr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DE TRABAJO</a:t>
          </a:r>
          <a:endParaRPr lang="es-ES" sz="20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6">
                <a:lumMod val="50000"/>
              </a:schemeClr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  <a:p>
          <a:pPr algn="l"/>
          <a:r>
            <a:rPr lang="es-ES" sz="2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50000"/>
                </a:schemeClr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OBJETO DEL CONTRATO: Contratar acciones de Medicina Ancestral Indígena a través de un programa diferencial en el marco de la Gestión de la Salud Pública, así como la construcción de la Ruta-Proceso de Armonización Ancestral de los pueblos indígenas víctimas, en cumplimiento del componente psicosocial de la medida de rehabilitación PAPSIVI </a:t>
          </a:r>
        </a:p>
        <a:p>
          <a:pPr algn="l"/>
          <a:endParaRPr lang="es-E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MATRIZ%20DE%20COSTOS%20PSPIC%20-%20EQUIPOS%20QUINC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Joya/Downloads/Matriz_Costos_PAPSIVI%20Indi&#769;ge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VE"/>
      <sheetName val="LISTAS"/>
      <sheetName val="Analisis Honorarios 2020"/>
      <sheetName val="TH (1)"/>
      <sheetName val="TH (2)"/>
      <sheetName val="TH (3)"/>
      <sheetName val="Tarifas 2020"/>
      <sheetName val="Tabla de Costos"/>
      <sheetName val="UDC (1)"/>
      <sheetName val="UDC(2)"/>
      <sheetName val="PROGRAMAS Y ACCIONES"/>
      <sheetName val="GOBERNANZA"/>
      <sheetName val="VSP"/>
      <sheetName val="VIVIENDA"/>
      <sheetName val="EDUCATIVO"/>
      <sheetName val="TRABAJO"/>
      <sheetName val="PÚBLICO"/>
      <sheetName val="VSAN"/>
      <sheetName val="ADMINISTRATIVO"/>
      <sheetName val="RURALIDAD"/>
      <sheetName val="DISTRITAL"/>
      <sheetName val="TH"/>
      <sheetName val="Listas Desplegabl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stos"/>
      <sheetName val="UDC (1)"/>
      <sheetName val="UDC"/>
      <sheetName val="URB_Productos"/>
      <sheetName val="URB_Territorialización"/>
      <sheetName val="PY-MT-ACT_URB"/>
      <sheetName val="URB_$"/>
      <sheetName val="TH_URB"/>
      <sheetName val="Notas"/>
      <sheetName val="Listas Despl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7:N62"/>
  <sheetViews>
    <sheetView showGridLines="0" tabSelected="1" zoomScale="110" zoomScaleNormal="110" workbookViewId="0">
      <pane xSplit="2" ySplit="12" topLeftCell="C42" activePane="bottomRight" state="frozen"/>
      <selection pane="bottomRight" activeCell="B46" sqref="B46"/>
      <selection pane="bottomLeft" activeCell="A12" sqref="A12"/>
      <selection pane="topRight" activeCell="C1" sqref="C1"/>
    </sheetView>
  </sheetViews>
  <sheetFormatPr defaultColWidth="11.42578125" defaultRowHeight="18.75"/>
  <cols>
    <col min="1" max="1" width="6.28515625" style="1" bestFit="1" customWidth="1"/>
    <col min="2" max="2" width="37.85546875" style="2" customWidth="1"/>
    <col min="3" max="3" width="23.85546875" style="2" bestFit="1" customWidth="1"/>
    <col min="4" max="4" width="24.140625" style="3" customWidth="1"/>
    <col min="5" max="7" width="13.5703125" style="3" customWidth="1"/>
    <col min="8" max="9" width="16.42578125" style="3" bestFit="1" customWidth="1"/>
    <col min="10" max="10" width="26.140625" style="4" customWidth="1"/>
    <col min="11" max="11" width="16.5703125" style="7" bestFit="1" customWidth="1"/>
    <col min="12" max="12" width="21.85546875" style="7" customWidth="1"/>
    <col min="13" max="16384" width="11.42578125" style="7"/>
  </cols>
  <sheetData>
    <row r="7" spans="1:14" ht="8.25" customHeight="1"/>
    <row r="8" spans="1:14" ht="8.25" customHeight="1"/>
    <row r="9" spans="1:14" ht="8.25" customHeight="1" thickBot="1"/>
    <row r="10" spans="1:14" s="6" customFormat="1" ht="33" customHeight="1">
      <c r="A10" s="21"/>
      <c r="B10" s="22" t="s">
        <v>0</v>
      </c>
      <c r="C10" s="42" t="s">
        <v>1</v>
      </c>
      <c r="D10" s="43"/>
      <c r="E10" s="43"/>
      <c r="F10" s="43"/>
      <c r="G10" s="43"/>
      <c r="H10" s="43"/>
      <c r="I10" s="43"/>
      <c r="J10" s="43"/>
      <c r="K10" s="43"/>
    </row>
    <row r="11" spans="1:14" s="8" customFormat="1" ht="21">
      <c r="A11" s="44" t="s">
        <v>2</v>
      </c>
      <c r="B11" s="46" t="s">
        <v>3</v>
      </c>
      <c r="C11" s="46" t="s">
        <v>4</v>
      </c>
      <c r="D11" s="46" t="s">
        <v>5</v>
      </c>
      <c r="E11" s="46" t="s">
        <v>6</v>
      </c>
      <c r="F11" s="46" t="s">
        <v>7</v>
      </c>
      <c r="G11" s="46" t="s">
        <v>8</v>
      </c>
      <c r="H11" s="48" t="s">
        <v>9</v>
      </c>
      <c r="I11" s="47" t="s">
        <v>10</v>
      </c>
      <c r="J11" s="46" t="s">
        <v>11</v>
      </c>
      <c r="K11" s="51" t="s">
        <v>12</v>
      </c>
      <c r="L11" s="6"/>
      <c r="M11" s="6"/>
      <c r="N11" s="6"/>
    </row>
    <row r="12" spans="1:14" s="6" customFormat="1" ht="29.25" customHeight="1">
      <c r="A12" s="45"/>
      <c r="B12" s="47"/>
      <c r="C12" s="47"/>
      <c r="D12" s="47"/>
      <c r="E12" s="47"/>
      <c r="F12" s="47"/>
      <c r="G12" s="47"/>
      <c r="H12" s="49"/>
      <c r="I12" s="50"/>
      <c r="J12" s="47"/>
      <c r="K12" s="51"/>
    </row>
    <row r="13" spans="1:14" ht="60" customHeight="1">
      <c r="A13" s="52">
        <v>4</v>
      </c>
      <c r="B13" s="53" t="s">
        <v>13</v>
      </c>
      <c r="C13" s="53" t="s">
        <v>14</v>
      </c>
      <c r="D13" s="15" t="s">
        <v>15</v>
      </c>
      <c r="E13" s="31">
        <f>3998070/184</f>
        <v>21728.641304347828</v>
      </c>
      <c r="F13" s="15">
        <v>1</v>
      </c>
      <c r="G13" s="15">
        <v>4</v>
      </c>
      <c r="H13" s="9">
        <f t="shared" ref="H13:H40" si="0">+E13*F13*G13</f>
        <v>86914.565217391311</v>
      </c>
      <c r="I13" s="54">
        <v>276166</v>
      </c>
      <c r="J13" s="57">
        <v>864</v>
      </c>
      <c r="K13" s="58">
        <f>+J13*I13</f>
        <v>238607424</v>
      </c>
      <c r="L13" s="6"/>
      <c r="M13" s="6"/>
      <c r="N13" s="6"/>
    </row>
    <row r="14" spans="1:14" ht="30">
      <c r="A14" s="52"/>
      <c r="B14" s="53"/>
      <c r="C14" s="53"/>
      <c r="D14" s="15" t="s">
        <v>16</v>
      </c>
      <c r="E14" s="31">
        <f>2460374/184</f>
        <v>13371.597826086956</v>
      </c>
      <c r="F14" s="15">
        <v>1</v>
      </c>
      <c r="G14" s="15">
        <v>4</v>
      </c>
      <c r="H14" s="9">
        <f t="shared" si="0"/>
        <v>53486.391304347824</v>
      </c>
      <c r="I14" s="55"/>
      <c r="J14" s="57"/>
      <c r="K14" s="58"/>
      <c r="L14" s="6"/>
      <c r="M14" s="6"/>
      <c r="N14" s="6"/>
    </row>
    <row r="15" spans="1:14" ht="30">
      <c r="A15" s="52"/>
      <c r="B15" s="53"/>
      <c r="C15" s="53"/>
      <c r="D15" s="15" t="s">
        <v>17</v>
      </c>
      <c r="E15" s="31">
        <f>1845204/184</f>
        <v>10028.282608695652</v>
      </c>
      <c r="F15" s="15">
        <v>1</v>
      </c>
      <c r="G15" s="15">
        <v>4</v>
      </c>
      <c r="H15" s="9">
        <f t="shared" si="0"/>
        <v>40113.130434782608</v>
      </c>
      <c r="I15" s="55"/>
      <c r="J15" s="57"/>
      <c r="K15" s="58"/>
      <c r="L15" s="6"/>
      <c r="M15" s="6"/>
      <c r="N15" s="6"/>
    </row>
    <row r="16" spans="1:14" ht="45">
      <c r="A16" s="52"/>
      <c r="B16" s="53"/>
      <c r="C16" s="53"/>
      <c r="D16" s="15" t="s">
        <v>18</v>
      </c>
      <c r="E16" s="31">
        <f>2200000/184</f>
        <v>11956.521739130434</v>
      </c>
      <c r="F16" s="15">
        <v>2</v>
      </c>
      <c r="G16" s="15">
        <v>4</v>
      </c>
      <c r="H16" s="9">
        <f t="shared" si="0"/>
        <v>95652.173913043473</v>
      </c>
      <c r="I16" s="56"/>
      <c r="J16" s="57"/>
      <c r="K16" s="58"/>
      <c r="L16" s="6"/>
      <c r="M16" s="6"/>
      <c r="N16" s="6"/>
    </row>
    <row r="17" spans="1:14" ht="30">
      <c r="A17" s="52"/>
      <c r="B17" s="53"/>
      <c r="C17" s="53" t="s">
        <v>19</v>
      </c>
      <c r="D17" s="15" t="s">
        <v>16</v>
      </c>
      <c r="E17" s="31">
        <f>2460374/184</f>
        <v>13371.597826086956</v>
      </c>
      <c r="F17" s="15">
        <v>1</v>
      </c>
      <c r="G17" s="15">
        <v>4</v>
      </c>
      <c r="H17" s="9">
        <f t="shared" si="0"/>
        <v>53486.391304347824</v>
      </c>
      <c r="I17" s="54">
        <v>189252</v>
      </c>
      <c r="J17" s="57">
        <v>144</v>
      </c>
      <c r="K17" s="58">
        <f>+J17*I17</f>
        <v>27252288</v>
      </c>
      <c r="L17" s="6"/>
      <c r="M17" s="6"/>
      <c r="N17" s="6"/>
    </row>
    <row r="18" spans="1:14" ht="30">
      <c r="A18" s="52"/>
      <c r="B18" s="53"/>
      <c r="C18" s="53"/>
      <c r="D18" s="15" t="s">
        <v>17</v>
      </c>
      <c r="E18" s="31">
        <f>1845204/184</f>
        <v>10028.282608695652</v>
      </c>
      <c r="F18" s="15">
        <v>1</v>
      </c>
      <c r="G18" s="15">
        <v>4</v>
      </c>
      <c r="H18" s="9">
        <f t="shared" si="0"/>
        <v>40113.130434782608</v>
      </c>
      <c r="I18" s="55"/>
      <c r="J18" s="57"/>
      <c r="K18" s="58"/>
      <c r="L18" s="6"/>
      <c r="M18" s="6"/>
      <c r="N18" s="6"/>
    </row>
    <row r="19" spans="1:14" ht="45">
      <c r="A19" s="52"/>
      <c r="B19" s="53"/>
      <c r="C19" s="53"/>
      <c r="D19" s="15" t="s">
        <v>18</v>
      </c>
      <c r="E19" s="31">
        <f>2200000/184</f>
        <v>11956.521739130434</v>
      </c>
      <c r="F19" s="15">
        <v>2</v>
      </c>
      <c r="G19" s="15">
        <v>4</v>
      </c>
      <c r="H19" s="9">
        <f t="shared" si="0"/>
        <v>95652.173913043473</v>
      </c>
      <c r="I19" s="56"/>
      <c r="J19" s="57"/>
      <c r="K19" s="58"/>
      <c r="L19" s="6"/>
      <c r="M19" s="6"/>
      <c r="N19" s="6"/>
    </row>
    <row r="20" spans="1:14" ht="45" customHeight="1">
      <c r="A20" s="52">
        <v>5</v>
      </c>
      <c r="B20" s="53" t="s">
        <v>20</v>
      </c>
      <c r="C20" s="53" t="s">
        <v>21</v>
      </c>
      <c r="D20" s="15" t="s">
        <v>15</v>
      </c>
      <c r="E20" s="31">
        <f>3998070/184</f>
        <v>21728.641304347828</v>
      </c>
      <c r="F20" s="15">
        <v>1</v>
      </c>
      <c r="G20" s="15">
        <v>4</v>
      </c>
      <c r="H20" s="9">
        <f t="shared" si="0"/>
        <v>86914.565217391311</v>
      </c>
      <c r="I20" s="54">
        <v>276166</v>
      </c>
      <c r="J20" s="57">
        <v>3240</v>
      </c>
      <c r="K20" s="58">
        <f>+J20*I20</f>
        <v>894777840</v>
      </c>
      <c r="L20" s="6"/>
      <c r="M20" s="6"/>
      <c r="N20" s="6"/>
    </row>
    <row r="21" spans="1:14" ht="30">
      <c r="A21" s="52"/>
      <c r="B21" s="53"/>
      <c r="C21" s="53"/>
      <c r="D21" s="15" t="s">
        <v>16</v>
      </c>
      <c r="E21" s="31">
        <f>2460374/184</f>
        <v>13371.597826086956</v>
      </c>
      <c r="F21" s="15">
        <v>1</v>
      </c>
      <c r="G21" s="15">
        <v>4</v>
      </c>
      <c r="H21" s="9">
        <f t="shared" si="0"/>
        <v>53486.391304347824</v>
      </c>
      <c r="I21" s="55"/>
      <c r="J21" s="57"/>
      <c r="K21" s="58"/>
      <c r="L21" s="6"/>
      <c r="M21" s="6"/>
      <c r="N21" s="6"/>
    </row>
    <row r="22" spans="1:14" ht="30">
      <c r="A22" s="52"/>
      <c r="B22" s="53"/>
      <c r="C22" s="53"/>
      <c r="D22" s="15" t="s">
        <v>17</v>
      </c>
      <c r="E22" s="31">
        <f>1845204/184</f>
        <v>10028.282608695652</v>
      </c>
      <c r="F22" s="15">
        <v>1</v>
      </c>
      <c r="G22" s="15">
        <v>4</v>
      </c>
      <c r="H22" s="9">
        <f t="shared" si="0"/>
        <v>40113.130434782608</v>
      </c>
      <c r="I22" s="55"/>
      <c r="J22" s="57"/>
      <c r="K22" s="58"/>
      <c r="L22" s="6"/>
      <c r="M22" s="6"/>
      <c r="N22" s="6"/>
    </row>
    <row r="23" spans="1:14" ht="45">
      <c r="A23" s="52"/>
      <c r="B23" s="53"/>
      <c r="C23" s="53"/>
      <c r="D23" s="15" t="s">
        <v>18</v>
      </c>
      <c r="E23" s="31">
        <f>2200000/184</f>
        <v>11956.521739130434</v>
      </c>
      <c r="F23" s="15">
        <v>2</v>
      </c>
      <c r="G23" s="15">
        <v>4</v>
      </c>
      <c r="H23" s="9">
        <f t="shared" si="0"/>
        <v>95652.173913043473</v>
      </c>
      <c r="I23" s="56"/>
      <c r="J23" s="57"/>
      <c r="K23" s="58"/>
      <c r="L23" s="6"/>
      <c r="M23" s="6"/>
      <c r="N23" s="6"/>
    </row>
    <row r="24" spans="1:14" ht="30">
      <c r="A24" s="52"/>
      <c r="B24" s="53"/>
      <c r="C24" s="53" t="s">
        <v>22</v>
      </c>
      <c r="D24" s="15" t="s">
        <v>16</v>
      </c>
      <c r="E24" s="31">
        <f>2460374/184</f>
        <v>13371.597826086956</v>
      </c>
      <c r="F24" s="15">
        <v>1</v>
      </c>
      <c r="G24" s="15">
        <v>4</v>
      </c>
      <c r="H24" s="9">
        <f t="shared" si="0"/>
        <v>53486.391304347824</v>
      </c>
      <c r="I24" s="54">
        <v>189252</v>
      </c>
      <c r="J24" s="57">
        <v>540</v>
      </c>
      <c r="K24" s="58">
        <f>+J24*I24</f>
        <v>102196080</v>
      </c>
      <c r="L24" s="6"/>
      <c r="M24" s="6"/>
      <c r="N24" s="6"/>
    </row>
    <row r="25" spans="1:14" ht="30">
      <c r="A25" s="52"/>
      <c r="B25" s="53"/>
      <c r="C25" s="53"/>
      <c r="D25" s="15" t="s">
        <v>17</v>
      </c>
      <c r="E25" s="31">
        <f>1845204/184</f>
        <v>10028.282608695652</v>
      </c>
      <c r="F25" s="15">
        <v>1</v>
      </c>
      <c r="G25" s="15">
        <v>4</v>
      </c>
      <c r="H25" s="9">
        <f t="shared" si="0"/>
        <v>40113.130434782608</v>
      </c>
      <c r="I25" s="55"/>
      <c r="J25" s="57"/>
      <c r="K25" s="58"/>
      <c r="L25" s="6"/>
      <c r="M25" s="6"/>
      <c r="N25" s="6"/>
    </row>
    <row r="26" spans="1:14" ht="45">
      <c r="A26" s="52"/>
      <c r="B26" s="53"/>
      <c r="C26" s="53"/>
      <c r="D26" s="15" t="s">
        <v>18</v>
      </c>
      <c r="E26" s="31">
        <f>2200000/184</f>
        <v>11956.521739130434</v>
      </c>
      <c r="F26" s="15">
        <v>2</v>
      </c>
      <c r="G26" s="15">
        <v>4</v>
      </c>
      <c r="H26" s="9">
        <f t="shared" si="0"/>
        <v>95652.173913043473</v>
      </c>
      <c r="I26" s="56"/>
      <c r="J26" s="57"/>
      <c r="K26" s="58"/>
      <c r="L26" s="6"/>
      <c r="M26" s="6"/>
      <c r="N26" s="6"/>
    </row>
    <row r="27" spans="1:14" ht="90" customHeight="1">
      <c r="A27" s="52">
        <v>6</v>
      </c>
      <c r="B27" s="53" t="s">
        <v>23</v>
      </c>
      <c r="C27" s="53" t="s">
        <v>24</v>
      </c>
      <c r="D27" s="15" t="s">
        <v>15</v>
      </c>
      <c r="E27" s="31">
        <f>3998070/184</f>
        <v>21728.641304347828</v>
      </c>
      <c r="F27" s="15">
        <v>1</v>
      </c>
      <c r="G27" s="15">
        <v>8</v>
      </c>
      <c r="H27" s="9">
        <f t="shared" si="0"/>
        <v>173829.13043478262</v>
      </c>
      <c r="I27" s="54">
        <v>552333</v>
      </c>
      <c r="J27" s="57">
        <v>324</v>
      </c>
      <c r="K27" s="58">
        <f>+J27*I27</f>
        <v>178955892</v>
      </c>
      <c r="L27" s="6"/>
      <c r="M27" s="6"/>
      <c r="N27" s="6"/>
    </row>
    <row r="28" spans="1:14" ht="24" customHeight="1">
      <c r="A28" s="52"/>
      <c r="B28" s="53"/>
      <c r="C28" s="53"/>
      <c r="D28" s="15" t="s">
        <v>16</v>
      </c>
      <c r="E28" s="31">
        <f>2460374/184</f>
        <v>13371.597826086956</v>
      </c>
      <c r="F28" s="15">
        <v>1</v>
      </c>
      <c r="G28" s="15">
        <v>8</v>
      </c>
      <c r="H28" s="9">
        <f t="shared" si="0"/>
        <v>106972.78260869565</v>
      </c>
      <c r="I28" s="55"/>
      <c r="J28" s="57"/>
      <c r="K28" s="58"/>
      <c r="L28" s="6"/>
      <c r="M28" s="6"/>
      <c r="N28" s="6"/>
    </row>
    <row r="29" spans="1:14" ht="24" customHeight="1">
      <c r="A29" s="52"/>
      <c r="B29" s="53"/>
      <c r="C29" s="53"/>
      <c r="D29" s="15" t="s">
        <v>17</v>
      </c>
      <c r="E29" s="31">
        <f>1845204/184</f>
        <v>10028.282608695652</v>
      </c>
      <c r="F29" s="15">
        <v>1</v>
      </c>
      <c r="G29" s="15">
        <v>8</v>
      </c>
      <c r="H29" s="9">
        <f t="shared" si="0"/>
        <v>80226.260869565216</v>
      </c>
      <c r="I29" s="55"/>
      <c r="J29" s="57"/>
      <c r="K29" s="58"/>
      <c r="L29" s="6"/>
      <c r="M29" s="6"/>
      <c r="N29" s="6"/>
    </row>
    <row r="30" spans="1:14" ht="24" customHeight="1">
      <c r="A30" s="52"/>
      <c r="B30" s="53"/>
      <c r="C30" s="53"/>
      <c r="D30" s="15" t="s">
        <v>18</v>
      </c>
      <c r="E30" s="31">
        <f>2200000/184</f>
        <v>11956.521739130434</v>
      </c>
      <c r="F30" s="15">
        <v>2</v>
      </c>
      <c r="G30" s="15">
        <v>8</v>
      </c>
      <c r="H30" s="9">
        <f t="shared" si="0"/>
        <v>191304.34782608695</v>
      </c>
      <c r="I30" s="56"/>
      <c r="J30" s="57"/>
      <c r="K30" s="58"/>
      <c r="L30" s="6"/>
      <c r="M30" s="6"/>
      <c r="N30" s="6"/>
    </row>
    <row r="31" spans="1:14" ht="24" customHeight="1">
      <c r="A31" s="52"/>
      <c r="B31" s="53"/>
      <c r="C31" s="53" t="s">
        <v>25</v>
      </c>
      <c r="D31" s="15" t="s">
        <v>16</v>
      </c>
      <c r="E31" s="31">
        <f>2460374/184</f>
        <v>13371.597826086956</v>
      </c>
      <c r="F31" s="15">
        <v>1</v>
      </c>
      <c r="G31" s="15">
        <v>8</v>
      </c>
      <c r="H31" s="9">
        <f t="shared" si="0"/>
        <v>106972.78260869565</v>
      </c>
      <c r="I31" s="54">
        <v>378503</v>
      </c>
      <c r="J31" s="57">
        <v>54</v>
      </c>
      <c r="K31" s="58">
        <f>+J31*I31</f>
        <v>20439162</v>
      </c>
      <c r="L31" s="6"/>
      <c r="M31" s="6"/>
      <c r="N31" s="6"/>
    </row>
    <row r="32" spans="1:14" ht="24" customHeight="1">
      <c r="A32" s="52"/>
      <c r="B32" s="53"/>
      <c r="C32" s="53"/>
      <c r="D32" s="15" t="s">
        <v>17</v>
      </c>
      <c r="E32" s="31">
        <f>1845204/184</f>
        <v>10028.282608695652</v>
      </c>
      <c r="F32" s="15">
        <v>1</v>
      </c>
      <c r="G32" s="15">
        <v>8</v>
      </c>
      <c r="H32" s="9">
        <f t="shared" si="0"/>
        <v>80226.260869565216</v>
      </c>
      <c r="I32" s="55"/>
      <c r="J32" s="57"/>
      <c r="K32" s="58"/>
      <c r="L32" s="6"/>
      <c r="M32" s="6"/>
      <c r="N32" s="6"/>
    </row>
    <row r="33" spans="1:14" ht="24" customHeight="1">
      <c r="A33" s="52"/>
      <c r="B33" s="53"/>
      <c r="C33" s="53"/>
      <c r="D33" s="15" t="s">
        <v>18</v>
      </c>
      <c r="E33" s="31">
        <f>2200000/184</f>
        <v>11956.521739130434</v>
      </c>
      <c r="F33" s="15">
        <v>2</v>
      </c>
      <c r="G33" s="15">
        <v>8</v>
      </c>
      <c r="H33" s="9">
        <f t="shared" si="0"/>
        <v>191304.34782608695</v>
      </c>
      <c r="I33" s="56"/>
      <c r="J33" s="57"/>
      <c r="K33" s="58"/>
      <c r="L33" s="6"/>
      <c r="M33" s="6"/>
      <c r="N33" s="6"/>
    </row>
    <row r="34" spans="1:14" ht="45" customHeight="1">
      <c r="A34" s="52">
        <v>7</v>
      </c>
      <c r="B34" s="53" t="s">
        <v>26</v>
      </c>
      <c r="C34" s="53" t="s">
        <v>27</v>
      </c>
      <c r="D34" s="15" t="s">
        <v>15</v>
      </c>
      <c r="E34" s="31">
        <f>3998070/184</f>
        <v>21728.641304347828</v>
      </c>
      <c r="F34" s="15">
        <v>1</v>
      </c>
      <c r="G34" s="15">
        <v>8</v>
      </c>
      <c r="H34" s="9">
        <f t="shared" si="0"/>
        <v>173829.13043478262</v>
      </c>
      <c r="I34" s="54">
        <v>552333</v>
      </c>
      <c r="J34" s="57">
        <v>108</v>
      </c>
      <c r="K34" s="58">
        <f>+J34*I34</f>
        <v>59651964</v>
      </c>
      <c r="L34" s="6"/>
      <c r="M34" s="6"/>
      <c r="N34" s="6"/>
    </row>
    <row r="35" spans="1:14" ht="30">
      <c r="A35" s="52"/>
      <c r="B35" s="53"/>
      <c r="C35" s="53"/>
      <c r="D35" s="15" t="s">
        <v>16</v>
      </c>
      <c r="E35" s="31">
        <f>2460374/184</f>
        <v>13371.597826086956</v>
      </c>
      <c r="F35" s="15">
        <v>1</v>
      </c>
      <c r="G35" s="15">
        <v>8</v>
      </c>
      <c r="H35" s="9">
        <f t="shared" si="0"/>
        <v>106972.78260869565</v>
      </c>
      <c r="I35" s="55"/>
      <c r="J35" s="57"/>
      <c r="K35" s="58"/>
      <c r="L35" s="6"/>
      <c r="M35" s="6"/>
      <c r="N35" s="6"/>
    </row>
    <row r="36" spans="1:14" ht="30">
      <c r="A36" s="52"/>
      <c r="B36" s="53"/>
      <c r="C36" s="53"/>
      <c r="D36" s="15" t="s">
        <v>17</v>
      </c>
      <c r="E36" s="31">
        <f>1845204/184</f>
        <v>10028.282608695652</v>
      </c>
      <c r="F36" s="15">
        <v>1</v>
      </c>
      <c r="G36" s="15">
        <v>8</v>
      </c>
      <c r="H36" s="9">
        <f t="shared" si="0"/>
        <v>80226.260869565216</v>
      </c>
      <c r="I36" s="55"/>
      <c r="J36" s="57"/>
      <c r="K36" s="58"/>
      <c r="L36" s="6"/>
      <c r="M36" s="6"/>
      <c r="N36" s="6"/>
    </row>
    <row r="37" spans="1:14" ht="45">
      <c r="A37" s="52"/>
      <c r="B37" s="53"/>
      <c r="C37" s="53"/>
      <c r="D37" s="15" t="s">
        <v>18</v>
      </c>
      <c r="E37" s="31">
        <f>2200000/184</f>
        <v>11956.521739130434</v>
      </c>
      <c r="F37" s="15">
        <v>2</v>
      </c>
      <c r="G37" s="15">
        <v>8</v>
      </c>
      <c r="H37" s="9">
        <f t="shared" si="0"/>
        <v>191304.34782608695</v>
      </c>
      <c r="I37" s="56"/>
      <c r="J37" s="57"/>
      <c r="K37" s="58"/>
      <c r="L37" s="6"/>
      <c r="M37" s="6"/>
      <c r="N37" s="6"/>
    </row>
    <row r="38" spans="1:14" ht="30">
      <c r="A38" s="52"/>
      <c r="B38" s="53"/>
      <c r="C38" s="53" t="s">
        <v>28</v>
      </c>
      <c r="D38" s="15" t="s">
        <v>16</v>
      </c>
      <c r="E38" s="31">
        <f>2460374/184</f>
        <v>13371.597826086956</v>
      </c>
      <c r="F38" s="15">
        <v>1</v>
      </c>
      <c r="G38" s="15">
        <v>8</v>
      </c>
      <c r="H38" s="9">
        <f t="shared" si="0"/>
        <v>106972.78260869565</v>
      </c>
      <c r="I38" s="54">
        <v>378503</v>
      </c>
      <c r="J38" s="57">
        <v>18</v>
      </c>
      <c r="K38" s="58">
        <f>+J38*I38</f>
        <v>6813054</v>
      </c>
      <c r="L38" s="6"/>
      <c r="M38" s="6"/>
      <c r="N38" s="6"/>
    </row>
    <row r="39" spans="1:14" ht="30">
      <c r="A39" s="52"/>
      <c r="B39" s="53"/>
      <c r="C39" s="53"/>
      <c r="D39" s="15" t="s">
        <v>17</v>
      </c>
      <c r="E39" s="31">
        <f>1845204/184</f>
        <v>10028.282608695652</v>
      </c>
      <c r="F39" s="15">
        <v>1</v>
      </c>
      <c r="G39" s="15">
        <v>8</v>
      </c>
      <c r="H39" s="9">
        <f t="shared" si="0"/>
        <v>80226.260869565216</v>
      </c>
      <c r="I39" s="55"/>
      <c r="J39" s="57"/>
      <c r="K39" s="58"/>
      <c r="L39" s="6"/>
      <c r="M39" s="6"/>
      <c r="N39" s="6"/>
    </row>
    <row r="40" spans="1:14" ht="45">
      <c r="A40" s="52"/>
      <c r="B40" s="53"/>
      <c r="C40" s="53"/>
      <c r="D40" s="15" t="s">
        <v>18</v>
      </c>
      <c r="E40" s="31">
        <f>2200000/184</f>
        <v>11956.521739130434</v>
      </c>
      <c r="F40" s="15">
        <v>2</v>
      </c>
      <c r="G40" s="15">
        <v>8</v>
      </c>
      <c r="H40" s="9">
        <f t="shared" si="0"/>
        <v>191304.34782608695</v>
      </c>
      <c r="I40" s="56"/>
      <c r="J40" s="57"/>
      <c r="K40" s="58"/>
      <c r="L40" s="6"/>
      <c r="M40" s="6"/>
      <c r="N40" s="6"/>
    </row>
    <row r="41" spans="1:14" ht="240">
      <c r="A41" s="19">
        <v>8</v>
      </c>
      <c r="B41" s="14" t="s">
        <v>29</v>
      </c>
      <c r="C41" s="14" t="s">
        <v>30</v>
      </c>
      <c r="D41" s="16" t="s">
        <v>31</v>
      </c>
      <c r="E41" s="16" t="s">
        <v>31</v>
      </c>
      <c r="F41" s="16" t="s">
        <v>31</v>
      </c>
      <c r="G41" s="16" t="s">
        <v>31</v>
      </c>
      <c r="H41" s="16" t="s">
        <v>31</v>
      </c>
      <c r="I41" s="38">
        <v>1300101</v>
      </c>
      <c r="J41" s="9">
        <v>14</v>
      </c>
      <c r="K41" s="10">
        <f>+J41*I41</f>
        <v>18201414</v>
      </c>
      <c r="L41" s="6"/>
      <c r="M41" s="6"/>
      <c r="N41" s="6"/>
    </row>
    <row r="42" spans="1:14" ht="240">
      <c r="A42" s="19">
        <v>9</v>
      </c>
      <c r="B42" s="14" t="s">
        <v>32</v>
      </c>
      <c r="C42" s="14" t="s">
        <v>33</v>
      </c>
      <c r="D42" s="16" t="s">
        <v>31</v>
      </c>
      <c r="E42" s="16" t="s">
        <v>31</v>
      </c>
      <c r="F42" s="16" t="s">
        <v>31</v>
      </c>
      <c r="G42" s="16" t="s">
        <v>31</v>
      </c>
      <c r="H42" s="16" t="s">
        <v>31</v>
      </c>
      <c r="I42" s="9">
        <v>1300000</v>
      </c>
      <c r="J42" s="9">
        <v>112</v>
      </c>
      <c r="K42" s="10">
        <f>+J42*I42</f>
        <v>145600000</v>
      </c>
      <c r="L42" s="6"/>
      <c r="M42" s="6"/>
      <c r="N42" s="6"/>
    </row>
    <row r="43" spans="1:14" ht="60">
      <c r="A43" s="19">
        <v>10</v>
      </c>
      <c r="B43" s="14" t="s">
        <v>34</v>
      </c>
      <c r="C43" s="14" t="s">
        <v>35</v>
      </c>
      <c r="D43" s="15" t="s">
        <v>36</v>
      </c>
      <c r="E43" s="31">
        <f>1845204/184</f>
        <v>10028.282608695652</v>
      </c>
      <c r="F43" s="15">
        <v>2</v>
      </c>
      <c r="G43" s="15">
        <v>184</v>
      </c>
      <c r="H43" s="38">
        <f>+E43*F43*G43</f>
        <v>3690408</v>
      </c>
      <c r="I43" s="38">
        <f>H43</f>
        <v>3690408</v>
      </c>
      <c r="J43" s="9">
        <v>9</v>
      </c>
      <c r="K43" s="10">
        <f>+J43*I43</f>
        <v>33213672</v>
      </c>
      <c r="L43" s="33"/>
      <c r="M43" s="6"/>
      <c r="N43" s="6"/>
    </row>
    <row r="44" spans="1:14" ht="55.5" customHeight="1">
      <c r="A44" s="59">
        <v>11</v>
      </c>
      <c r="B44" s="61" t="s">
        <v>37</v>
      </c>
      <c r="C44" s="63" t="s">
        <v>38</v>
      </c>
      <c r="D44" s="15" t="s">
        <v>39</v>
      </c>
      <c r="E44" s="31">
        <f>5843274/184</f>
        <v>31756.92391304348</v>
      </c>
      <c r="F44" s="15">
        <v>1</v>
      </c>
      <c r="G44" s="15">
        <v>184</v>
      </c>
      <c r="H44" s="9">
        <f>+E44*F44*G44</f>
        <v>5843274</v>
      </c>
      <c r="I44" s="65">
        <v>15069367</v>
      </c>
      <c r="J44" s="66">
        <v>9</v>
      </c>
      <c r="K44" s="67">
        <f>+J44*I44</f>
        <v>135624303</v>
      </c>
      <c r="L44" s="6"/>
      <c r="M44" s="6"/>
      <c r="N44" s="6"/>
    </row>
    <row r="45" spans="1:14" ht="27" customHeight="1">
      <c r="A45" s="60"/>
      <c r="B45" s="62"/>
      <c r="C45" s="64"/>
      <c r="D45" s="15" t="s">
        <v>40</v>
      </c>
      <c r="E45" s="31">
        <f>4613087/184</f>
        <v>25071.125</v>
      </c>
      <c r="F45" s="15">
        <v>2</v>
      </c>
      <c r="G45" s="15">
        <v>184</v>
      </c>
      <c r="H45" s="30">
        <v>9226092</v>
      </c>
      <c r="I45" s="85"/>
      <c r="J45" s="86"/>
      <c r="K45" s="68"/>
      <c r="L45" s="6"/>
      <c r="M45" s="6"/>
      <c r="N45" s="6"/>
    </row>
    <row r="46" spans="1:14">
      <c r="I46" s="64" t="s">
        <v>41</v>
      </c>
      <c r="J46" s="64"/>
      <c r="K46" s="34">
        <f>SUM(K13:K45)</f>
        <v>1861333093</v>
      </c>
      <c r="L46" s="32"/>
      <c r="M46" s="6"/>
      <c r="N46" s="6"/>
    </row>
    <row r="47" spans="1:14" ht="19.5" customHeight="1">
      <c r="I47" s="53" t="s">
        <v>42</v>
      </c>
      <c r="J47" s="53"/>
      <c r="K47" s="10">
        <f>ROUND(K46*12%,0)</f>
        <v>223359971</v>
      </c>
      <c r="L47" s="36"/>
      <c r="M47" s="6"/>
      <c r="N47" s="6"/>
    </row>
    <row r="48" spans="1:14" ht="19.5" customHeight="1">
      <c r="I48" s="53" t="s">
        <v>43</v>
      </c>
      <c r="J48" s="53"/>
      <c r="K48" s="10">
        <f>ROUND(K46*6%,0)-1</f>
        <v>111679985</v>
      </c>
      <c r="L48" s="36"/>
      <c r="M48" s="6"/>
      <c r="N48" s="6"/>
    </row>
    <row r="49" spans="9:14" ht="19.5" customHeight="1">
      <c r="I49" s="69" t="s">
        <v>44</v>
      </c>
      <c r="J49" s="69"/>
      <c r="K49" s="35">
        <f>+K46+K47+K48</f>
        <v>2196373049</v>
      </c>
      <c r="L49" s="37"/>
      <c r="M49" s="6"/>
      <c r="N49" s="6"/>
    </row>
    <row r="50" spans="9:14">
      <c r="K50" s="20"/>
      <c r="L50" s="6"/>
      <c r="M50" s="6"/>
      <c r="N50" s="6"/>
    </row>
    <row r="51" spans="9:14">
      <c r="L51" s="6"/>
      <c r="M51" s="6"/>
      <c r="N51" s="6"/>
    </row>
    <row r="52" spans="9:14">
      <c r="L52" s="6"/>
      <c r="M52" s="6"/>
      <c r="N52" s="6"/>
    </row>
    <row r="53" spans="9:14">
      <c r="L53" s="6"/>
      <c r="M53" s="6"/>
      <c r="N53" s="6"/>
    </row>
    <row r="54" spans="9:14">
      <c r="L54" s="6"/>
      <c r="M54" s="6"/>
      <c r="N54" s="6"/>
    </row>
    <row r="55" spans="9:14">
      <c r="L55" s="6"/>
      <c r="M55" s="6"/>
      <c r="N55" s="6"/>
    </row>
    <row r="56" spans="9:14">
      <c r="L56" s="6"/>
      <c r="M56" s="6"/>
      <c r="N56" s="6"/>
    </row>
    <row r="57" spans="9:14">
      <c r="L57" s="6"/>
      <c r="M57" s="6"/>
      <c r="N57" s="6"/>
    </row>
    <row r="58" spans="9:14">
      <c r="L58" s="6"/>
      <c r="M58" s="6"/>
      <c r="N58" s="6"/>
    </row>
    <row r="59" spans="9:14">
      <c r="L59" s="6"/>
      <c r="M59" s="6"/>
      <c r="N59" s="6"/>
    </row>
    <row r="60" spans="9:14">
      <c r="L60" s="6"/>
      <c r="M60" s="6"/>
      <c r="N60" s="6"/>
    </row>
    <row r="61" spans="9:14">
      <c r="L61" s="6"/>
      <c r="M61" s="6"/>
      <c r="N61" s="6"/>
    </row>
    <row r="62" spans="9:14">
      <c r="L62" s="6"/>
      <c r="M62" s="6"/>
      <c r="N62" s="6"/>
    </row>
  </sheetData>
  <autoFilter ref="A12:J50" xr:uid="{00000000-0009-0000-0000-000000000000}"/>
  <mergeCells count="62">
    <mergeCell ref="I46:J46"/>
    <mergeCell ref="I47:J47"/>
    <mergeCell ref="I48:J48"/>
    <mergeCell ref="I49:J49"/>
    <mergeCell ref="J38:J40"/>
    <mergeCell ref="K34:K37"/>
    <mergeCell ref="C38:C40"/>
    <mergeCell ref="I38:I40"/>
    <mergeCell ref="K38:K40"/>
    <mergeCell ref="A44:A45"/>
    <mergeCell ref="B44:B45"/>
    <mergeCell ref="C44:C45"/>
    <mergeCell ref="I44:I45"/>
    <mergeCell ref="J44:J45"/>
    <mergeCell ref="K44:K45"/>
    <mergeCell ref="A34:A40"/>
    <mergeCell ref="B34:B40"/>
    <mergeCell ref="C34:C37"/>
    <mergeCell ref="I34:I37"/>
    <mergeCell ref="J34:J37"/>
    <mergeCell ref="K27:K30"/>
    <mergeCell ref="C31:C33"/>
    <mergeCell ref="I31:I33"/>
    <mergeCell ref="J31:J33"/>
    <mergeCell ref="K31:K33"/>
    <mergeCell ref="A27:A33"/>
    <mergeCell ref="B27:B33"/>
    <mergeCell ref="C27:C30"/>
    <mergeCell ref="I27:I30"/>
    <mergeCell ref="J27:J30"/>
    <mergeCell ref="K20:K23"/>
    <mergeCell ref="C24:C26"/>
    <mergeCell ref="I24:I26"/>
    <mergeCell ref="J24:J26"/>
    <mergeCell ref="K24:K26"/>
    <mergeCell ref="A20:A26"/>
    <mergeCell ref="B20:B26"/>
    <mergeCell ref="C20:C23"/>
    <mergeCell ref="I20:I23"/>
    <mergeCell ref="J20:J23"/>
    <mergeCell ref="K13:K16"/>
    <mergeCell ref="C17:C19"/>
    <mergeCell ref="I17:I19"/>
    <mergeCell ref="J17:J19"/>
    <mergeCell ref="K17:K19"/>
    <mergeCell ref="A13:A19"/>
    <mergeCell ref="B13:B19"/>
    <mergeCell ref="C13:C16"/>
    <mergeCell ref="I13:I16"/>
    <mergeCell ref="J13:J16"/>
    <mergeCell ref="C10:K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dataValidations count="1">
    <dataValidation allowBlank="1" showInputMessage="1" showErrorMessage="1" error="Seleccionar de la lista desplegable" sqref="H41:H42 D13:G45" xr:uid="{00000000-0002-0000-0000-000000000000}"/>
  </dataValidation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7:N64"/>
  <sheetViews>
    <sheetView showGridLines="0" zoomScale="115" zoomScaleNormal="115" workbookViewId="0">
      <pane xSplit="2" ySplit="12" topLeftCell="D43" activePane="bottomRight" state="frozen"/>
      <selection pane="bottomRight" activeCell="H43" sqref="H43:I43"/>
      <selection pane="bottomLeft" activeCell="A12" sqref="A12"/>
      <selection pane="topRight" activeCell="C1" sqref="C1"/>
    </sheetView>
  </sheetViews>
  <sheetFormatPr defaultColWidth="11.42578125" defaultRowHeight="18.75"/>
  <cols>
    <col min="1" max="1" width="6.28515625" style="1" bestFit="1" customWidth="1"/>
    <col min="2" max="2" width="37.85546875" style="2" customWidth="1"/>
    <col min="3" max="3" width="23.85546875" style="2" bestFit="1" customWidth="1"/>
    <col min="4" max="4" width="24.140625" style="3" customWidth="1"/>
    <col min="5" max="7" width="13.5703125" style="3" customWidth="1"/>
    <col min="8" max="9" width="16.42578125" style="3" bestFit="1" customWidth="1"/>
    <col min="10" max="10" width="26.140625" style="4" customWidth="1"/>
    <col min="11" max="11" width="17.7109375" style="7" bestFit="1" customWidth="1"/>
    <col min="12" max="12" width="21.85546875" style="7" customWidth="1"/>
    <col min="13" max="16384" width="11.42578125" style="7"/>
  </cols>
  <sheetData>
    <row r="7" spans="1:14" ht="8.25" customHeight="1"/>
    <row r="8" spans="1:14" ht="8.25" customHeight="1"/>
    <row r="9" spans="1:14" ht="8.25" customHeight="1" thickBot="1"/>
    <row r="10" spans="1:14" s="6" customFormat="1" ht="33" customHeight="1">
      <c r="A10" s="21"/>
      <c r="B10" s="22" t="s">
        <v>0</v>
      </c>
      <c r="C10" s="42" t="s">
        <v>1</v>
      </c>
      <c r="D10" s="43"/>
      <c r="E10" s="43"/>
      <c r="F10" s="43"/>
      <c r="G10" s="43"/>
      <c r="H10" s="43"/>
      <c r="I10" s="43"/>
      <c r="J10" s="43"/>
      <c r="K10" s="43"/>
    </row>
    <row r="11" spans="1:14" s="8" customFormat="1" ht="21">
      <c r="A11" s="44" t="s">
        <v>2</v>
      </c>
      <c r="B11" s="46" t="s">
        <v>3</v>
      </c>
      <c r="C11" s="46" t="s">
        <v>4</v>
      </c>
      <c r="D11" s="46" t="s">
        <v>5</v>
      </c>
      <c r="E11" s="46" t="s">
        <v>6</v>
      </c>
      <c r="F11" s="46" t="s">
        <v>7</v>
      </c>
      <c r="G11" s="46" t="s">
        <v>8</v>
      </c>
      <c r="H11" s="48" t="s">
        <v>9</v>
      </c>
      <c r="I11" s="47" t="s">
        <v>10</v>
      </c>
      <c r="J11" s="46" t="s">
        <v>11</v>
      </c>
      <c r="K11" s="51" t="s">
        <v>12</v>
      </c>
      <c r="L11" s="6"/>
      <c r="M11" s="6"/>
      <c r="N11" s="6"/>
    </row>
    <row r="12" spans="1:14" s="6" customFormat="1" ht="29.25" customHeight="1">
      <c r="A12" s="45"/>
      <c r="B12" s="47"/>
      <c r="C12" s="47"/>
      <c r="D12" s="47"/>
      <c r="E12" s="47"/>
      <c r="F12" s="47"/>
      <c r="G12" s="47"/>
      <c r="H12" s="49"/>
      <c r="I12" s="50"/>
      <c r="J12" s="47"/>
      <c r="K12" s="51"/>
    </row>
    <row r="13" spans="1:14" ht="60" customHeight="1">
      <c r="A13" s="52">
        <v>4</v>
      </c>
      <c r="B13" s="53" t="s">
        <v>45</v>
      </c>
      <c r="C13" s="53" t="s">
        <v>14</v>
      </c>
      <c r="D13" s="15" t="s">
        <v>15</v>
      </c>
      <c r="E13" s="31">
        <f>3998070/184</f>
        <v>21728.641304347828</v>
      </c>
      <c r="F13" s="15">
        <v>1</v>
      </c>
      <c r="G13" s="15">
        <v>4</v>
      </c>
      <c r="H13" s="9">
        <f t="shared" ref="H13:H40" si="0">+E13*F13*G13</f>
        <v>86914.565217391311</v>
      </c>
      <c r="I13" s="57">
        <f>+H13+H14+H15+H16</f>
        <v>276166.26086956519</v>
      </c>
      <c r="J13" s="57">
        <v>864</v>
      </c>
      <c r="K13" s="58">
        <f>+J13*I13</f>
        <v>238607649.39130431</v>
      </c>
      <c r="L13" s="6"/>
      <c r="M13" s="6"/>
      <c r="N13" s="6"/>
    </row>
    <row r="14" spans="1:14" ht="30">
      <c r="A14" s="52"/>
      <c r="B14" s="53"/>
      <c r="C14" s="53"/>
      <c r="D14" s="15" t="s">
        <v>16</v>
      </c>
      <c r="E14" s="31">
        <f>2460374/184</f>
        <v>13371.597826086956</v>
      </c>
      <c r="F14" s="15">
        <v>1</v>
      </c>
      <c r="G14" s="15">
        <v>4</v>
      </c>
      <c r="H14" s="9">
        <f t="shared" si="0"/>
        <v>53486.391304347824</v>
      </c>
      <c r="I14" s="57"/>
      <c r="J14" s="57"/>
      <c r="K14" s="58"/>
      <c r="L14" s="32"/>
      <c r="M14" s="6"/>
      <c r="N14" s="32"/>
    </row>
    <row r="15" spans="1:14" ht="30">
      <c r="A15" s="52"/>
      <c r="B15" s="53"/>
      <c r="C15" s="53"/>
      <c r="D15" s="15" t="s">
        <v>17</v>
      </c>
      <c r="E15" s="31">
        <f>1845204/184</f>
        <v>10028.282608695652</v>
      </c>
      <c r="F15" s="15">
        <v>1</v>
      </c>
      <c r="G15" s="15">
        <v>4</v>
      </c>
      <c r="H15" s="9">
        <f t="shared" si="0"/>
        <v>40113.130434782608</v>
      </c>
      <c r="I15" s="57"/>
      <c r="J15" s="57"/>
      <c r="K15" s="58"/>
      <c r="L15" s="6"/>
      <c r="M15" s="6"/>
      <c r="N15" s="6"/>
    </row>
    <row r="16" spans="1:14" ht="45">
      <c r="A16" s="52"/>
      <c r="B16" s="53"/>
      <c r="C16" s="53"/>
      <c r="D16" s="15" t="s">
        <v>18</v>
      </c>
      <c r="E16" s="31">
        <f>2200000/184</f>
        <v>11956.521739130434</v>
      </c>
      <c r="F16" s="15">
        <v>2</v>
      </c>
      <c r="G16" s="15">
        <v>4</v>
      </c>
      <c r="H16" s="9">
        <f t="shared" si="0"/>
        <v>95652.173913043473</v>
      </c>
      <c r="I16" s="57"/>
      <c r="J16" s="57"/>
      <c r="K16" s="58"/>
      <c r="L16" s="6"/>
      <c r="M16" s="6"/>
      <c r="N16" s="6"/>
    </row>
    <row r="17" spans="1:14" ht="30">
      <c r="A17" s="52"/>
      <c r="B17" s="53"/>
      <c r="C17" s="53" t="s">
        <v>19</v>
      </c>
      <c r="D17" s="15" t="s">
        <v>16</v>
      </c>
      <c r="E17" s="31">
        <f>2460374/184</f>
        <v>13371.597826086956</v>
      </c>
      <c r="F17" s="15">
        <v>1</v>
      </c>
      <c r="G17" s="15">
        <v>4</v>
      </c>
      <c r="H17" s="9">
        <f t="shared" si="0"/>
        <v>53486.391304347824</v>
      </c>
      <c r="I17" s="57">
        <f>+H17+H18+H19</f>
        <v>189251.69565217389</v>
      </c>
      <c r="J17" s="57">
        <v>144</v>
      </c>
      <c r="K17" s="58">
        <f>+J17*I17</f>
        <v>27252244.173913039</v>
      </c>
      <c r="L17" s="6"/>
      <c r="M17" s="6"/>
      <c r="N17" s="6"/>
    </row>
    <row r="18" spans="1:14" ht="30">
      <c r="A18" s="52"/>
      <c r="B18" s="53"/>
      <c r="C18" s="53"/>
      <c r="D18" s="15" t="s">
        <v>17</v>
      </c>
      <c r="E18" s="31">
        <f>1845204/184</f>
        <v>10028.282608695652</v>
      </c>
      <c r="F18" s="15">
        <v>1</v>
      </c>
      <c r="G18" s="15">
        <v>4</v>
      </c>
      <c r="H18" s="9">
        <f t="shared" si="0"/>
        <v>40113.130434782608</v>
      </c>
      <c r="I18" s="57"/>
      <c r="J18" s="57"/>
      <c r="K18" s="58"/>
      <c r="L18" s="6"/>
      <c r="M18" s="6"/>
      <c r="N18" s="6"/>
    </row>
    <row r="19" spans="1:14" ht="45">
      <c r="A19" s="52"/>
      <c r="B19" s="53"/>
      <c r="C19" s="53"/>
      <c r="D19" s="15" t="s">
        <v>18</v>
      </c>
      <c r="E19" s="31">
        <f>2200000/184</f>
        <v>11956.521739130434</v>
      </c>
      <c r="F19" s="15">
        <v>2</v>
      </c>
      <c r="G19" s="15">
        <v>4</v>
      </c>
      <c r="H19" s="9">
        <f t="shared" si="0"/>
        <v>95652.173913043473</v>
      </c>
      <c r="I19" s="57"/>
      <c r="J19" s="57"/>
      <c r="K19" s="58"/>
      <c r="L19" s="6"/>
      <c r="M19" s="6"/>
      <c r="N19" s="6"/>
    </row>
    <row r="20" spans="1:14" ht="45" customHeight="1">
      <c r="A20" s="52">
        <v>5</v>
      </c>
      <c r="B20" s="53" t="s">
        <v>20</v>
      </c>
      <c r="C20" s="53" t="s">
        <v>21</v>
      </c>
      <c r="D20" s="15" t="s">
        <v>15</v>
      </c>
      <c r="E20" s="31">
        <f>3998070/184</f>
        <v>21728.641304347828</v>
      </c>
      <c r="F20" s="15">
        <v>1</v>
      </c>
      <c r="G20" s="15">
        <v>4</v>
      </c>
      <c r="H20" s="9">
        <f t="shared" si="0"/>
        <v>86914.565217391311</v>
      </c>
      <c r="I20" s="57">
        <f>+H20+H21+H22+H23</f>
        <v>276166.26086956519</v>
      </c>
      <c r="J20" s="57">
        <v>3240</v>
      </c>
      <c r="K20" s="58">
        <f>+J20*I20</f>
        <v>894778685.21739125</v>
      </c>
      <c r="L20" s="6"/>
      <c r="M20" s="6"/>
      <c r="N20" s="6"/>
    </row>
    <row r="21" spans="1:14" ht="30">
      <c r="A21" s="52"/>
      <c r="B21" s="53"/>
      <c r="C21" s="53"/>
      <c r="D21" s="15" t="s">
        <v>16</v>
      </c>
      <c r="E21" s="31">
        <f>2460374/184</f>
        <v>13371.597826086956</v>
      </c>
      <c r="F21" s="15">
        <v>1</v>
      </c>
      <c r="G21" s="15">
        <v>4</v>
      </c>
      <c r="H21" s="9">
        <f t="shared" si="0"/>
        <v>53486.391304347824</v>
      </c>
      <c r="I21" s="57"/>
      <c r="J21" s="57"/>
      <c r="K21" s="58"/>
      <c r="L21" s="6"/>
      <c r="M21" s="6"/>
      <c r="N21" s="6"/>
    </row>
    <row r="22" spans="1:14" ht="30">
      <c r="A22" s="52"/>
      <c r="B22" s="53"/>
      <c r="C22" s="53"/>
      <c r="D22" s="15" t="s">
        <v>17</v>
      </c>
      <c r="E22" s="31">
        <f>1845204/184</f>
        <v>10028.282608695652</v>
      </c>
      <c r="F22" s="15">
        <v>1</v>
      </c>
      <c r="G22" s="15">
        <v>4</v>
      </c>
      <c r="H22" s="9">
        <f t="shared" si="0"/>
        <v>40113.130434782608</v>
      </c>
      <c r="I22" s="57"/>
      <c r="J22" s="57"/>
      <c r="K22" s="58"/>
      <c r="L22" s="6"/>
      <c r="M22" s="6"/>
      <c r="N22" s="6"/>
    </row>
    <row r="23" spans="1:14" ht="45">
      <c r="A23" s="52"/>
      <c r="B23" s="53"/>
      <c r="C23" s="53"/>
      <c r="D23" s="15" t="s">
        <v>18</v>
      </c>
      <c r="E23" s="31">
        <f>2200000/184</f>
        <v>11956.521739130434</v>
      </c>
      <c r="F23" s="15">
        <v>2</v>
      </c>
      <c r="G23" s="15">
        <v>4</v>
      </c>
      <c r="H23" s="9">
        <f t="shared" si="0"/>
        <v>95652.173913043473</v>
      </c>
      <c r="I23" s="57"/>
      <c r="J23" s="57"/>
      <c r="K23" s="58"/>
      <c r="L23" s="6"/>
      <c r="M23" s="6"/>
      <c r="N23" s="6"/>
    </row>
    <row r="24" spans="1:14" ht="30">
      <c r="A24" s="52"/>
      <c r="B24" s="53"/>
      <c r="C24" s="53" t="s">
        <v>22</v>
      </c>
      <c r="D24" s="15" t="s">
        <v>16</v>
      </c>
      <c r="E24" s="31">
        <f>2460374/184</f>
        <v>13371.597826086956</v>
      </c>
      <c r="F24" s="15">
        <v>1</v>
      </c>
      <c r="G24" s="15">
        <v>4</v>
      </c>
      <c r="H24" s="9">
        <f t="shared" si="0"/>
        <v>53486.391304347824</v>
      </c>
      <c r="I24" s="57">
        <f>+H24+H25+H26</f>
        <v>189251.69565217389</v>
      </c>
      <c r="J24" s="57">
        <v>540</v>
      </c>
      <c r="K24" s="58">
        <f>+J24*I24</f>
        <v>102195915.65217391</v>
      </c>
      <c r="L24" s="6"/>
      <c r="M24" s="6"/>
      <c r="N24" s="6"/>
    </row>
    <row r="25" spans="1:14" ht="30">
      <c r="A25" s="52"/>
      <c r="B25" s="53"/>
      <c r="C25" s="53"/>
      <c r="D25" s="15" t="s">
        <v>17</v>
      </c>
      <c r="E25" s="31">
        <f>1845204/184</f>
        <v>10028.282608695652</v>
      </c>
      <c r="F25" s="15">
        <v>1</v>
      </c>
      <c r="G25" s="15">
        <v>4</v>
      </c>
      <c r="H25" s="9">
        <f t="shared" si="0"/>
        <v>40113.130434782608</v>
      </c>
      <c r="I25" s="57"/>
      <c r="J25" s="57"/>
      <c r="K25" s="58"/>
      <c r="L25" s="6"/>
      <c r="M25" s="6"/>
      <c r="N25" s="6"/>
    </row>
    <row r="26" spans="1:14" ht="45">
      <c r="A26" s="52"/>
      <c r="B26" s="53"/>
      <c r="C26" s="53"/>
      <c r="D26" s="15" t="s">
        <v>18</v>
      </c>
      <c r="E26" s="31">
        <f>2200000/184</f>
        <v>11956.521739130434</v>
      </c>
      <c r="F26" s="15">
        <v>2</v>
      </c>
      <c r="G26" s="15">
        <v>4</v>
      </c>
      <c r="H26" s="9">
        <f t="shared" si="0"/>
        <v>95652.173913043473</v>
      </c>
      <c r="I26" s="57"/>
      <c r="J26" s="57"/>
      <c r="K26" s="58"/>
      <c r="L26" s="6"/>
      <c r="M26" s="6"/>
      <c r="N26" s="6"/>
    </row>
    <row r="27" spans="1:14" ht="90" customHeight="1">
      <c r="A27" s="52">
        <v>6</v>
      </c>
      <c r="B27" s="53" t="s">
        <v>23</v>
      </c>
      <c r="C27" s="53" t="s">
        <v>24</v>
      </c>
      <c r="D27" s="15" t="s">
        <v>15</v>
      </c>
      <c r="E27" s="31">
        <f>3998070/184</f>
        <v>21728.641304347828</v>
      </c>
      <c r="F27" s="15">
        <v>1</v>
      </c>
      <c r="G27" s="15">
        <v>8</v>
      </c>
      <c r="H27" s="9">
        <f t="shared" si="0"/>
        <v>173829.13043478262</v>
      </c>
      <c r="I27" s="57">
        <f>+H27+H28+H29+H30</f>
        <v>552332.52173913037</v>
      </c>
      <c r="J27" s="57">
        <v>324</v>
      </c>
      <c r="K27" s="58">
        <f>+J27*I27</f>
        <v>178955737.04347825</v>
      </c>
      <c r="L27" s="6"/>
      <c r="M27" s="6"/>
      <c r="N27" s="6"/>
    </row>
    <row r="28" spans="1:14" ht="24" customHeight="1">
      <c r="A28" s="52"/>
      <c r="B28" s="53"/>
      <c r="C28" s="53"/>
      <c r="D28" s="15" t="s">
        <v>16</v>
      </c>
      <c r="E28" s="31">
        <f>2460374/184</f>
        <v>13371.597826086956</v>
      </c>
      <c r="F28" s="15">
        <v>1</v>
      </c>
      <c r="G28" s="15">
        <v>8</v>
      </c>
      <c r="H28" s="9">
        <f t="shared" si="0"/>
        <v>106972.78260869565</v>
      </c>
      <c r="I28" s="57"/>
      <c r="J28" s="57"/>
      <c r="K28" s="58"/>
      <c r="L28" s="6"/>
      <c r="M28" s="6"/>
      <c r="N28" s="6"/>
    </row>
    <row r="29" spans="1:14" ht="24" customHeight="1">
      <c r="A29" s="52"/>
      <c r="B29" s="53"/>
      <c r="C29" s="53"/>
      <c r="D29" s="15" t="s">
        <v>17</v>
      </c>
      <c r="E29" s="31">
        <f>1845204/184</f>
        <v>10028.282608695652</v>
      </c>
      <c r="F29" s="15">
        <v>1</v>
      </c>
      <c r="G29" s="15">
        <v>8</v>
      </c>
      <c r="H29" s="9">
        <f t="shared" si="0"/>
        <v>80226.260869565216</v>
      </c>
      <c r="I29" s="57"/>
      <c r="J29" s="57"/>
      <c r="K29" s="58"/>
      <c r="L29" s="6"/>
      <c r="M29" s="6"/>
      <c r="N29" s="6"/>
    </row>
    <row r="30" spans="1:14" ht="24" customHeight="1">
      <c r="A30" s="52"/>
      <c r="B30" s="53"/>
      <c r="C30" s="53"/>
      <c r="D30" s="15" t="s">
        <v>18</v>
      </c>
      <c r="E30" s="31">
        <f>2200000/184</f>
        <v>11956.521739130434</v>
      </c>
      <c r="F30" s="15">
        <v>2</v>
      </c>
      <c r="G30" s="15">
        <v>8</v>
      </c>
      <c r="H30" s="9">
        <f t="shared" si="0"/>
        <v>191304.34782608695</v>
      </c>
      <c r="I30" s="57"/>
      <c r="J30" s="57"/>
      <c r="K30" s="58"/>
      <c r="L30" s="6"/>
      <c r="M30" s="6"/>
      <c r="N30" s="6"/>
    </row>
    <row r="31" spans="1:14" ht="24" customHeight="1">
      <c r="A31" s="52"/>
      <c r="B31" s="53"/>
      <c r="C31" s="53" t="s">
        <v>25</v>
      </c>
      <c r="D31" s="15" t="s">
        <v>16</v>
      </c>
      <c r="E31" s="31">
        <f>2460374/184</f>
        <v>13371.597826086956</v>
      </c>
      <c r="F31" s="15">
        <v>1</v>
      </c>
      <c r="G31" s="15">
        <v>8</v>
      </c>
      <c r="H31" s="9">
        <f t="shared" si="0"/>
        <v>106972.78260869565</v>
      </c>
      <c r="I31" s="57">
        <f>+H31+H32+H33</f>
        <v>378503.39130434778</v>
      </c>
      <c r="J31" s="57">
        <v>54</v>
      </c>
      <c r="K31" s="58">
        <f>+J31*I31</f>
        <v>20439183.130434781</v>
      </c>
      <c r="L31" s="6"/>
      <c r="M31" s="6"/>
      <c r="N31" s="6"/>
    </row>
    <row r="32" spans="1:14" ht="24" customHeight="1">
      <c r="A32" s="52"/>
      <c r="B32" s="53"/>
      <c r="C32" s="53"/>
      <c r="D32" s="15" t="s">
        <v>17</v>
      </c>
      <c r="E32" s="31">
        <f>1845204/184</f>
        <v>10028.282608695652</v>
      </c>
      <c r="F32" s="15">
        <v>1</v>
      </c>
      <c r="G32" s="15">
        <v>8</v>
      </c>
      <c r="H32" s="9">
        <f t="shared" si="0"/>
        <v>80226.260869565216</v>
      </c>
      <c r="I32" s="57"/>
      <c r="J32" s="57"/>
      <c r="K32" s="58"/>
      <c r="L32" s="6"/>
      <c r="M32" s="6"/>
      <c r="N32" s="6"/>
    </row>
    <row r="33" spans="1:14" ht="24" customHeight="1">
      <c r="A33" s="52"/>
      <c r="B33" s="53"/>
      <c r="C33" s="53"/>
      <c r="D33" s="15" t="s">
        <v>18</v>
      </c>
      <c r="E33" s="31">
        <f>2200000/184</f>
        <v>11956.521739130434</v>
      </c>
      <c r="F33" s="15">
        <v>2</v>
      </c>
      <c r="G33" s="15">
        <v>8</v>
      </c>
      <c r="H33" s="9">
        <f t="shared" si="0"/>
        <v>191304.34782608695</v>
      </c>
      <c r="I33" s="57"/>
      <c r="J33" s="57"/>
      <c r="K33" s="58"/>
      <c r="L33" s="6"/>
      <c r="M33" s="6"/>
      <c r="N33" s="6"/>
    </row>
    <row r="34" spans="1:14" ht="45" customHeight="1">
      <c r="A34" s="52">
        <v>7</v>
      </c>
      <c r="B34" s="53" t="s">
        <v>26</v>
      </c>
      <c r="C34" s="53" t="s">
        <v>27</v>
      </c>
      <c r="D34" s="15" t="s">
        <v>15</v>
      </c>
      <c r="E34" s="31">
        <f>3998070/184</f>
        <v>21728.641304347828</v>
      </c>
      <c r="F34" s="15">
        <v>1</v>
      </c>
      <c r="G34" s="15">
        <v>8</v>
      </c>
      <c r="H34" s="9">
        <f t="shared" si="0"/>
        <v>173829.13043478262</v>
      </c>
      <c r="I34" s="57">
        <f>+H34+H35+H36+H37</f>
        <v>552332.52173913037</v>
      </c>
      <c r="J34" s="57">
        <v>108</v>
      </c>
      <c r="K34" s="58">
        <f>+J34*I34</f>
        <v>59651912.347826079</v>
      </c>
      <c r="L34" s="6"/>
      <c r="M34" s="6"/>
      <c r="N34" s="6"/>
    </row>
    <row r="35" spans="1:14" ht="30">
      <c r="A35" s="52"/>
      <c r="B35" s="53"/>
      <c r="C35" s="53"/>
      <c r="D35" s="15" t="s">
        <v>16</v>
      </c>
      <c r="E35" s="31">
        <f>2460374/184</f>
        <v>13371.597826086956</v>
      </c>
      <c r="F35" s="15">
        <v>1</v>
      </c>
      <c r="G35" s="15">
        <v>8</v>
      </c>
      <c r="H35" s="9">
        <f t="shared" si="0"/>
        <v>106972.78260869565</v>
      </c>
      <c r="I35" s="57"/>
      <c r="J35" s="57"/>
      <c r="K35" s="58"/>
      <c r="L35" s="6"/>
      <c r="M35" s="6"/>
      <c r="N35" s="6"/>
    </row>
    <row r="36" spans="1:14" ht="30">
      <c r="A36" s="52"/>
      <c r="B36" s="53"/>
      <c r="C36" s="53"/>
      <c r="D36" s="15" t="s">
        <v>17</v>
      </c>
      <c r="E36" s="31">
        <f>1845204/184</f>
        <v>10028.282608695652</v>
      </c>
      <c r="F36" s="15">
        <v>1</v>
      </c>
      <c r="G36" s="15">
        <v>8</v>
      </c>
      <c r="H36" s="9">
        <f t="shared" si="0"/>
        <v>80226.260869565216</v>
      </c>
      <c r="I36" s="57"/>
      <c r="J36" s="57"/>
      <c r="K36" s="58"/>
      <c r="L36" s="6"/>
      <c r="M36" s="6"/>
      <c r="N36" s="6"/>
    </row>
    <row r="37" spans="1:14" ht="45">
      <c r="A37" s="52"/>
      <c r="B37" s="53"/>
      <c r="C37" s="53"/>
      <c r="D37" s="15" t="s">
        <v>18</v>
      </c>
      <c r="E37" s="31">
        <f>2200000/184</f>
        <v>11956.521739130434</v>
      </c>
      <c r="F37" s="15">
        <v>2</v>
      </c>
      <c r="G37" s="15">
        <v>8</v>
      </c>
      <c r="H37" s="9">
        <f t="shared" si="0"/>
        <v>191304.34782608695</v>
      </c>
      <c r="I37" s="57"/>
      <c r="J37" s="57"/>
      <c r="K37" s="58"/>
      <c r="L37" s="6"/>
      <c r="M37" s="6"/>
      <c r="N37" s="6"/>
    </row>
    <row r="38" spans="1:14" ht="30">
      <c r="A38" s="52"/>
      <c r="B38" s="53"/>
      <c r="C38" s="53" t="s">
        <v>28</v>
      </c>
      <c r="D38" s="15" t="s">
        <v>16</v>
      </c>
      <c r="E38" s="31">
        <f>2460374/184</f>
        <v>13371.597826086956</v>
      </c>
      <c r="F38" s="15">
        <v>1</v>
      </c>
      <c r="G38" s="15">
        <v>8</v>
      </c>
      <c r="H38" s="9">
        <f t="shared" si="0"/>
        <v>106972.78260869565</v>
      </c>
      <c r="I38" s="57">
        <f>+H38+H39+H40</f>
        <v>378503.39130434778</v>
      </c>
      <c r="J38" s="57">
        <v>18</v>
      </c>
      <c r="K38" s="58">
        <f>+J38*I38</f>
        <v>6813061.0434782598</v>
      </c>
      <c r="L38" s="6"/>
      <c r="M38" s="6"/>
      <c r="N38" s="6"/>
    </row>
    <row r="39" spans="1:14" ht="30">
      <c r="A39" s="52"/>
      <c r="B39" s="53"/>
      <c r="C39" s="53"/>
      <c r="D39" s="15" t="s">
        <v>17</v>
      </c>
      <c r="E39" s="31">
        <f>1845204/184</f>
        <v>10028.282608695652</v>
      </c>
      <c r="F39" s="15">
        <v>1</v>
      </c>
      <c r="G39" s="15">
        <v>8</v>
      </c>
      <c r="H39" s="9">
        <f t="shared" si="0"/>
        <v>80226.260869565216</v>
      </c>
      <c r="I39" s="57"/>
      <c r="J39" s="57"/>
      <c r="K39" s="58"/>
      <c r="L39" s="6"/>
      <c r="M39" s="6"/>
      <c r="N39" s="6"/>
    </row>
    <row r="40" spans="1:14" ht="45">
      <c r="A40" s="52"/>
      <c r="B40" s="53"/>
      <c r="C40" s="53"/>
      <c r="D40" s="15" t="s">
        <v>18</v>
      </c>
      <c r="E40" s="31">
        <f>2200000/184</f>
        <v>11956.521739130434</v>
      </c>
      <c r="F40" s="15">
        <v>2</v>
      </c>
      <c r="G40" s="15">
        <v>8</v>
      </c>
      <c r="H40" s="9">
        <f t="shared" si="0"/>
        <v>191304.34782608695</v>
      </c>
      <c r="I40" s="57"/>
      <c r="J40" s="57"/>
      <c r="K40" s="58"/>
      <c r="L40" s="6"/>
      <c r="M40" s="6"/>
      <c r="N40" s="6"/>
    </row>
    <row r="41" spans="1:14" ht="240">
      <c r="A41" s="19">
        <v>8</v>
      </c>
      <c r="B41" s="14" t="s">
        <v>29</v>
      </c>
      <c r="C41" s="14" t="s">
        <v>30</v>
      </c>
      <c r="D41" s="16" t="s">
        <v>31</v>
      </c>
      <c r="E41" s="16" t="s">
        <v>31</v>
      </c>
      <c r="F41" s="16" t="s">
        <v>31</v>
      </c>
      <c r="G41" s="16" t="s">
        <v>31</v>
      </c>
      <c r="H41" s="16" t="s">
        <v>31</v>
      </c>
      <c r="I41" s="9">
        <f>1300000+119.571428588458</f>
        <v>1300119.5714285884</v>
      </c>
      <c r="J41" s="9">
        <v>14</v>
      </c>
      <c r="K41" s="10">
        <f>+J41*I41</f>
        <v>18201674.000000238</v>
      </c>
      <c r="L41" s="6"/>
      <c r="M41" s="6"/>
      <c r="N41" s="6"/>
    </row>
    <row r="42" spans="1:14" ht="240">
      <c r="A42" s="19">
        <v>9</v>
      </c>
      <c r="B42" s="14" t="s">
        <v>32</v>
      </c>
      <c r="C42" s="14" t="s">
        <v>33</v>
      </c>
      <c r="D42" s="16" t="s">
        <v>31</v>
      </c>
      <c r="E42" s="16" t="s">
        <v>31</v>
      </c>
      <c r="F42" s="16" t="s">
        <v>31</v>
      </c>
      <c r="G42" s="16" t="s">
        <v>31</v>
      </c>
      <c r="H42" s="16" t="s">
        <v>31</v>
      </c>
      <c r="I42" s="9">
        <v>1300000</v>
      </c>
      <c r="J42" s="9">
        <v>112</v>
      </c>
      <c r="K42" s="10">
        <f>+J42*I42</f>
        <v>145600000</v>
      </c>
      <c r="L42" s="6"/>
      <c r="M42" s="6"/>
      <c r="N42" s="6"/>
    </row>
    <row r="43" spans="1:14" ht="60">
      <c r="A43" s="19">
        <v>10</v>
      </c>
      <c r="B43" s="14" t="s">
        <v>34</v>
      </c>
      <c r="C43" s="14" t="s">
        <v>35</v>
      </c>
      <c r="D43" s="15" t="s">
        <v>36</v>
      </c>
      <c r="E43" s="31">
        <f>1845204/184</f>
        <v>10028.282608695652</v>
      </c>
      <c r="F43" s="15">
        <v>2</v>
      </c>
      <c r="G43" s="15">
        <v>184</v>
      </c>
      <c r="H43" s="38">
        <f>+E43*F43*G43</f>
        <v>3690408</v>
      </c>
      <c r="I43" s="38">
        <v>3690304</v>
      </c>
      <c r="J43" s="9">
        <v>9</v>
      </c>
      <c r="K43" s="10">
        <f>+J43*I43</f>
        <v>33212736</v>
      </c>
      <c r="L43" s="6"/>
      <c r="M43" s="6"/>
      <c r="N43" s="6"/>
    </row>
    <row r="44" spans="1:14" ht="55.5" customHeight="1">
      <c r="A44" s="59">
        <v>11</v>
      </c>
      <c r="B44" s="61" t="s">
        <v>37</v>
      </c>
      <c r="C44" s="63" t="s">
        <v>38</v>
      </c>
      <c r="D44" s="15" t="s">
        <v>39</v>
      </c>
      <c r="E44" s="31">
        <f>5843274/184</f>
        <v>31756.92391304348</v>
      </c>
      <c r="F44" s="15">
        <v>1</v>
      </c>
      <c r="G44" s="15">
        <v>184</v>
      </c>
      <c r="H44" s="9">
        <f>+E44*F44*G44</f>
        <v>5843274</v>
      </c>
      <c r="I44" s="66">
        <f>+H44+H45</f>
        <v>15069366</v>
      </c>
      <c r="J44" s="66">
        <v>9</v>
      </c>
      <c r="K44" s="67">
        <f>+J44*I44</f>
        <v>135624294</v>
      </c>
      <c r="L44" s="6"/>
      <c r="M44" s="6"/>
      <c r="N44" s="6"/>
    </row>
    <row r="45" spans="1:14" ht="27" customHeight="1">
      <c r="A45" s="60"/>
      <c r="B45" s="62"/>
      <c r="C45" s="64"/>
      <c r="D45" s="15" t="s">
        <v>40</v>
      </c>
      <c r="E45" s="31">
        <f>4613087/184</f>
        <v>25071.125</v>
      </c>
      <c r="F45" s="15">
        <v>2</v>
      </c>
      <c r="G45" s="15">
        <v>184</v>
      </c>
      <c r="H45" s="30">
        <v>9226092</v>
      </c>
      <c r="I45" s="72"/>
      <c r="J45" s="72"/>
      <c r="K45" s="73"/>
      <c r="L45" s="6"/>
      <c r="M45" s="6"/>
      <c r="N45" s="6"/>
    </row>
    <row r="46" spans="1:14" ht="19.5" customHeight="1" thickBot="1">
      <c r="I46" s="74" t="s">
        <v>46</v>
      </c>
      <c r="J46" s="75"/>
      <c r="K46" s="18">
        <f>+K41+K42</f>
        <v>163801674.00000024</v>
      </c>
      <c r="L46" s="6"/>
      <c r="M46" s="6"/>
      <c r="N46" s="6"/>
    </row>
    <row r="47" spans="1:14" ht="19.5" customHeight="1" thickBot="1">
      <c r="I47" s="76" t="s">
        <v>47</v>
      </c>
      <c r="J47" s="77"/>
      <c r="K47" s="12">
        <f>+K13+K17+K20+K24+K27+K31+K34+K38+K44+K43</f>
        <v>1697531417.9999998</v>
      </c>
      <c r="L47" s="6"/>
      <c r="M47" s="6"/>
      <c r="N47" s="6"/>
    </row>
    <row r="48" spans="1:14" ht="29.25" customHeight="1" thickBot="1">
      <c r="I48" s="70" t="s">
        <v>48</v>
      </c>
      <c r="J48" s="71"/>
      <c r="K48" s="13">
        <f>+K46+K47</f>
        <v>1861333092</v>
      </c>
      <c r="L48" s="6"/>
      <c r="M48" s="6"/>
      <c r="N48" s="6"/>
    </row>
    <row r="49" spans="9:14" ht="19.5" customHeight="1" thickBot="1">
      <c r="I49" s="70" t="s">
        <v>42</v>
      </c>
      <c r="J49" s="71"/>
      <c r="K49" s="12">
        <f>+K48*12%</f>
        <v>223359971.03999999</v>
      </c>
      <c r="L49" s="6"/>
      <c r="M49" s="6"/>
      <c r="N49" s="6"/>
    </row>
    <row r="50" spans="9:14" ht="19.5" customHeight="1" thickBot="1">
      <c r="I50" s="70" t="s">
        <v>43</v>
      </c>
      <c r="J50" s="71"/>
      <c r="K50" s="12">
        <f>+K48*6%</f>
        <v>111679985.52</v>
      </c>
      <c r="L50" s="6"/>
      <c r="M50" s="6"/>
      <c r="N50" s="6"/>
    </row>
    <row r="51" spans="9:14" ht="19.5" customHeight="1" thickBot="1">
      <c r="I51" s="70" t="s">
        <v>44</v>
      </c>
      <c r="J51" s="71"/>
      <c r="K51" s="13">
        <f>K50+K49+K48</f>
        <v>2196373048.5599999</v>
      </c>
      <c r="L51" s="6"/>
      <c r="M51" s="6"/>
      <c r="N51" s="6"/>
    </row>
    <row r="52" spans="9:14">
      <c r="K52" s="20"/>
      <c r="L52" s="6"/>
      <c r="M52" s="6"/>
      <c r="N52" s="6"/>
    </row>
    <row r="53" spans="9:14">
      <c r="L53" s="6"/>
      <c r="M53" s="6"/>
      <c r="N53" s="6"/>
    </row>
    <row r="54" spans="9:14">
      <c r="L54" s="6"/>
      <c r="M54" s="6"/>
      <c r="N54" s="6"/>
    </row>
    <row r="55" spans="9:14">
      <c r="L55" s="6"/>
      <c r="M55" s="6"/>
      <c r="N55" s="6"/>
    </row>
    <row r="56" spans="9:14">
      <c r="L56" s="6"/>
      <c r="M56" s="6"/>
      <c r="N56" s="6"/>
    </row>
    <row r="57" spans="9:14">
      <c r="L57" s="6"/>
      <c r="M57" s="6"/>
      <c r="N57" s="6"/>
    </row>
    <row r="58" spans="9:14">
      <c r="L58" s="6"/>
      <c r="M58" s="6"/>
      <c r="N58" s="6"/>
    </row>
    <row r="59" spans="9:14">
      <c r="L59" s="6"/>
      <c r="M59" s="6"/>
      <c r="N59" s="6"/>
    </row>
    <row r="60" spans="9:14">
      <c r="L60" s="6"/>
      <c r="M60" s="6"/>
      <c r="N60" s="6"/>
    </row>
    <row r="61" spans="9:14">
      <c r="L61" s="6"/>
      <c r="M61" s="6"/>
      <c r="N61" s="6"/>
    </row>
    <row r="62" spans="9:14">
      <c r="L62" s="6"/>
      <c r="M62" s="6"/>
      <c r="N62" s="6"/>
    </row>
    <row r="63" spans="9:14">
      <c r="L63" s="6"/>
      <c r="M63" s="6"/>
      <c r="N63" s="6"/>
    </row>
    <row r="64" spans="9:14">
      <c r="L64" s="6"/>
      <c r="M64" s="6"/>
      <c r="N64" s="6"/>
    </row>
  </sheetData>
  <autoFilter ref="A12:J52" xr:uid="{00000000-0009-0000-0000-000001000000}"/>
  <mergeCells count="64">
    <mergeCell ref="I46:J46"/>
    <mergeCell ref="I47:J47"/>
    <mergeCell ref="I48:J48"/>
    <mergeCell ref="I49:J49"/>
    <mergeCell ref="I50:J50"/>
    <mergeCell ref="I51:J51"/>
    <mergeCell ref="K34:K37"/>
    <mergeCell ref="K38:K40"/>
    <mergeCell ref="A44:A45"/>
    <mergeCell ref="B44:B45"/>
    <mergeCell ref="C44:C45"/>
    <mergeCell ref="I44:I45"/>
    <mergeCell ref="J44:J45"/>
    <mergeCell ref="K44:K45"/>
    <mergeCell ref="C34:C37"/>
    <mergeCell ref="C38:C40"/>
    <mergeCell ref="B34:B40"/>
    <mergeCell ref="I34:I37"/>
    <mergeCell ref="I38:I40"/>
    <mergeCell ref="J34:J37"/>
    <mergeCell ref="J38:J40"/>
    <mergeCell ref="I27:I30"/>
    <mergeCell ref="I31:I33"/>
    <mergeCell ref="J27:J30"/>
    <mergeCell ref="K27:K30"/>
    <mergeCell ref="J31:J33"/>
    <mergeCell ref="K31:K33"/>
    <mergeCell ref="C20:C23"/>
    <mergeCell ref="C24:C26"/>
    <mergeCell ref="B27:B33"/>
    <mergeCell ref="C27:C30"/>
    <mergeCell ref="C31:C33"/>
    <mergeCell ref="A34:A40"/>
    <mergeCell ref="A13:A19"/>
    <mergeCell ref="A20:A26"/>
    <mergeCell ref="K11:K12"/>
    <mergeCell ref="A11:A12"/>
    <mergeCell ref="B11:B12"/>
    <mergeCell ref="C11:C12"/>
    <mergeCell ref="D11:D12"/>
    <mergeCell ref="H11:H12"/>
    <mergeCell ref="J11:J12"/>
    <mergeCell ref="F11:F12"/>
    <mergeCell ref="G11:G12"/>
    <mergeCell ref="I11:I12"/>
    <mergeCell ref="K20:K23"/>
    <mergeCell ref="J24:J26"/>
    <mergeCell ref="K24:K26"/>
    <mergeCell ref="B13:B19"/>
    <mergeCell ref="I13:I16"/>
    <mergeCell ref="E11:E12"/>
    <mergeCell ref="C10:K10"/>
    <mergeCell ref="A27:A33"/>
    <mergeCell ref="J13:J16"/>
    <mergeCell ref="K13:K16"/>
    <mergeCell ref="J17:J19"/>
    <mergeCell ref="K17:K19"/>
    <mergeCell ref="C13:C16"/>
    <mergeCell ref="C17:C19"/>
    <mergeCell ref="I20:I23"/>
    <mergeCell ref="I24:I26"/>
    <mergeCell ref="J20:J23"/>
    <mergeCell ref="I17:I19"/>
    <mergeCell ref="B20:B26"/>
  </mergeCells>
  <dataValidations count="1">
    <dataValidation allowBlank="1" showInputMessage="1" showErrorMessage="1" error="Seleccionar de la lista desplegable" sqref="H41:H42 D13:G47" xr:uid="{00000000-0002-0000-0100-000000000000}"/>
  </dataValidation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7:T28"/>
  <sheetViews>
    <sheetView showGridLines="0" zoomScale="85" zoomScaleNormal="85" workbookViewId="0">
      <pane xSplit="2" ySplit="12" topLeftCell="C18" activePane="bottomRight" state="frozen"/>
      <selection pane="bottomRight" activeCell="F20" sqref="F20"/>
      <selection pane="bottomLeft" activeCell="A12" sqref="A12"/>
      <selection pane="topRight" activeCell="C1" sqref="C1"/>
    </sheetView>
  </sheetViews>
  <sheetFormatPr defaultColWidth="11.42578125" defaultRowHeight="18.75"/>
  <cols>
    <col min="1" max="1" width="6.28515625" style="1" bestFit="1" customWidth="1"/>
    <col min="2" max="2" width="37.85546875" style="2" customWidth="1"/>
    <col min="3" max="3" width="32" style="2" customWidth="1"/>
    <col min="4" max="4" width="20.28515625" style="3" bestFit="1" customWidth="1"/>
    <col min="5" max="5" width="16.42578125" style="3" bestFit="1" customWidth="1"/>
    <col min="6" max="6" width="26.140625" style="4" customWidth="1"/>
    <col min="7" max="15" width="9.5703125" style="5" bestFit="1" customWidth="1"/>
    <col min="16" max="16" width="9.7109375" style="5" bestFit="1" customWidth="1"/>
    <col min="17" max="18" width="14.140625" style="7" bestFit="1" customWidth="1"/>
    <col min="19" max="19" width="11.5703125" style="7" bestFit="1" customWidth="1"/>
    <col min="20" max="20" width="15.140625" style="7" bestFit="1" customWidth="1"/>
    <col min="21" max="23" width="11.85546875" style="7" bestFit="1" customWidth="1"/>
    <col min="24" max="16384" width="11.42578125" style="7"/>
  </cols>
  <sheetData>
    <row r="7" spans="1:20" ht="14.25" customHeight="1"/>
    <row r="8" spans="1:20" ht="14.25" customHeight="1"/>
    <row r="9" spans="1:20" ht="14.25" customHeight="1" thickBot="1"/>
    <row r="10" spans="1:20" s="6" customFormat="1" ht="33" customHeight="1">
      <c r="A10" s="27"/>
      <c r="B10" s="28" t="s">
        <v>0</v>
      </c>
      <c r="C10" s="81" t="s">
        <v>1</v>
      </c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3"/>
    </row>
    <row r="11" spans="1:20" s="8" customFormat="1" ht="21">
      <c r="A11" s="79" t="s">
        <v>2</v>
      </c>
      <c r="B11" s="80" t="s">
        <v>3</v>
      </c>
      <c r="C11" s="80" t="s">
        <v>4</v>
      </c>
      <c r="D11" s="80" t="s">
        <v>10</v>
      </c>
      <c r="E11" s="80" t="s">
        <v>11</v>
      </c>
      <c r="F11" s="78" t="s">
        <v>12</v>
      </c>
      <c r="G11" s="78" t="s">
        <v>49</v>
      </c>
      <c r="H11" s="78"/>
      <c r="I11" s="78"/>
      <c r="J11" s="78"/>
      <c r="K11" s="78"/>
      <c r="L11" s="78"/>
      <c r="M11" s="78"/>
      <c r="N11" s="78"/>
      <c r="O11" s="78"/>
      <c r="P11" s="78"/>
    </row>
    <row r="12" spans="1:20" s="6" customFormat="1" ht="72.75" customHeight="1">
      <c r="A12" s="79"/>
      <c r="B12" s="80"/>
      <c r="C12" s="80"/>
      <c r="D12" s="80"/>
      <c r="E12" s="80"/>
      <c r="F12" s="78"/>
      <c r="G12" s="26" t="s">
        <v>50</v>
      </c>
      <c r="H12" s="26" t="s">
        <v>51</v>
      </c>
      <c r="I12" s="26" t="s">
        <v>52</v>
      </c>
      <c r="J12" s="26" t="s">
        <v>53</v>
      </c>
      <c r="K12" s="26" t="s">
        <v>54</v>
      </c>
      <c r="L12" s="26" t="s">
        <v>55</v>
      </c>
      <c r="M12" s="26" t="s">
        <v>56</v>
      </c>
      <c r="N12" s="26" t="s">
        <v>57</v>
      </c>
      <c r="O12" s="26" t="s">
        <v>58</v>
      </c>
      <c r="P12" s="26" t="s">
        <v>59</v>
      </c>
    </row>
    <row r="13" spans="1:20" ht="51.75" customHeight="1">
      <c r="A13" s="59">
        <v>4</v>
      </c>
      <c r="B13" s="63" t="s">
        <v>13</v>
      </c>
      <c r="C13" s="14" t="s">
        <v>14</v>
      </c>
      <c r="D13" s="9">
        <v>276166</v>
      </c>
      <c r="E13" s="29">
        <v>864</v>
      </c>
      <c r="F13" s="23">
        <v>238607424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R13" s="39"/>
      <c r="S13" s="39"/>
      <c r="T13" s="39"/>
    </row>
    <row r="14" spans="1:20" ht="51.75" customHeight="1">
      <c r="A14" s="60"/>
      <c r="B14" s="64"/>
      <c r="C14" s="14" t="s">
        <v>19</v>
      </c>
      <c r="D14" s="9">
        <v>189252</v>
      </c>
      <c r="E14" s="29">
        <v>144</v>
      </c>
      <c r="F14" s="23">
        <v>27252288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  <c r="R14" s="39"/>
      <c r="S14" s="39"/>
      <c r="T14" s="39"/>
    </row>
    <row r="15" spans="1:20" ht="51.75" customHeight="1">
      <c r="A15" s="59">
        <v>5</v>
      </c>
      <c r="B15" s="63" t="s">
        <v>20</v>
      </c>
      <c r="C15" s="14" t="s">
        <v>21</v>
      </c>
      <c r="D15" s="9">
        <v>276166</v>
      </c>
      <c r="E15" s="9">
        <v>3240</v>
      </c>
      <c r="F15" s="23">
        <v>894777840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R15" s="39"/>
      <c r="S15" s="39"/>
      <c r="T15" s="39"/>
    </row>
    <row r="16" spans="1:20" ht="51.75" customHeight="1">
      <c r="A16" s="60"/>
      <c r="B16" s="64"/>
      <c r="C16" s="14" t="s">
        <v>22</v>
      </c>
      <c r="D16" s="9">
        <v>189252</v>
      </c>
      <c r="E16" s="9">
        <v>540</v>
      </c>
      <c r="F16" s="23">
        <v>102196080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R16" s="39"/>
      <c r="S16" s="39"/>
      <c r="T16" s="39"/>
    </row>
    <row r="17" spans="1:20" ht="51.75" customHeight="1">
      <c r="A17" s="59">
        <v>6</v>
      </c>
      <c r="B17" s="63" t="s">
        <v>23</v>
      </c>
      <c r="C17" s="14" t="s">
        <v>24</v>
      </c>
      <c r="D17" s="9">
        <v>552333</v>
      </c>
      <c r="E17" s="9">
        <v>324</v>
      </c>
      <c r="F17" s="23">
        <v>178955892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R17" s="39"/>
      <c r="S17" s="39"/>
      <c r="T17" s="39"/>
    </row>
    <row r="18" spans="1:20" ht="51.75" customHeight="1">
      <c r="A18" s="60"/>
      <c r="B18" s="64"/>
      <c r="C18" s="14" t="s">
        <v>25</v>
      </c>
      <c r="D18" s="9">
        <v>378503</v>
      </c>
      <c r="E18" s="9">
        <v>54</v>
      </c>
      <c r="F18" s="23">
        <v>20439162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R18" s="39"/>
      <c r="S18" s="39"/>
      <c r="T18" s="39"/>
    </row>
    <row r="19" spans="1:20" ht="62.25" customHeight="1">
      <c r="A19" s="59">
        <v>7</v>
      </c>
      <c r="B19" s="63" t="s">
        <v>26</v>
      </c>
      <c r="C19" s="14" t="s">
        <v>27</v>
      </c>
      <c r="D19" s="9">
        <v>552333</v>
      </c>
      <c r="E19" s="9">
        <v>108</v>
      </c>
      <c r="F19" s="23">
        <v>59651964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R19" s="39"/>
      <c r="S19" s="39"/>
      <c r="T19" s="39"/>
    </row>
    <row r="20" spans="1:20" ht="62.25" customHeight="1">
      <c r="A20" s="60"/>
      <c r="B20" s="64"/>
      <c r="C20" s="14" t="s">
        <v>28</v>
      </c>
      <c r="D20" s="9">
        <v>378503</v>
      </c>
      <c r="E20" s="9">
        <v>18</v>
      </c>
      <c r="F20" s="23">
        <v>6813054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R20" s="39"/>
      <c r="S20" s="39"/>
      <c r="T20" s="39"/>
    </row>
    <row r="21" spans="1:20" ht="51.75" customHeight="1">
      <c r="A21" s="19">
        <v>8</v>
      </c>
      <c r="B21" s="14" t="s">
        <v>60</v>
      </c>
      <c r="C21" s="14" t="s">
        <v>30</v>
      </c>
      <c r="D21" s="9">
        <v>1300101</v>
      </c>
      <c r="E21" s="9">
        <v>14</v>
      </c>
      <c r="F21" s="24">
        <v>18201414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R21" s="39"/>
      <c r="S21" s="39"/>
      <c r="T21" s="39"/>
    </row>
    <row r="22" spans="1:20" ht="51.75" customHeight="1">
      <c r="A22" s="19">
        <v>9</v>
      </c>
      <c r="B22" s="14" t="s">
        <v>61</v>
      </c>
      <c r="C22" s="14" t="s">
        <v>33</v>
      </c>
      <c r="D22" s="9">
        <v>1300000</v>
      </c>
      <c r="E22" s="9">
        <v>112</v>
      </c>
      <c r="F22" s="24">
        <v>145600000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R22" s="39"/>
      <c r="S22" s="39"/>
      <c r="T22" s="39"/>
    </row>
    <row r="23" spans="1:20" ht="51.75" customHeight="1">
      <c r="A23" s="19">
        <v>10</v>
      </c>
      <c r="B23" s="14" t="s">
        <v>34</v>
      </c>
      <c r="C23" s="14" t="s">
        <v>35</v>
      </c>
      <c r="D23" s="9">
        <v>3690408</v>
      </c>
      <c r="E23" s="9">
        <v>9</v>
      </c>
      <c r="F23" s="24">
        <v>33213672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R23" s="39"/>
      <c r="S23" s="39"/>
      <c r="T23" s="39"/>
    </row>
    <row r="24" spans="1:20" ht="51.75" customHeight="1">
      <c r="A24" s="19">
        <v>11</v>
      </c>
      <c r="B24" s="16" t="s">
        <v>37</v>
      </c>
      <c r="C24" s="16" t="s">
        <v>38</v>
      </c>
      <c r="D24" s="17">
        <v>15069367</v>
      </c>
      <c r="E24" s="17">
        <v>9</v>
      </c>
      <c r="F24" s="25">
        <v>135624303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R24" s="39"/>
      <c r="S24" s="39"/>
      <c r="T24" s="39"/>
    </row>
    <row r="25" spans="1:20">
      <c r="D25" s="84" t="s">
        <v>62</v>
      </c>
      <c r="E25" s="84"/>
      <c r="F25" s="41">
        <f>SUM(F13:F24)</f>
        <v>1861333093</v>
      </c>
    </row>
    <row r="26" spans="1:20">
      <c r="D26" s="64" t="s">
        <v>42</v>
      </c>
      <c r="E26" s="64"/>
      <c r="F26" s="40">
        <f>ROUND(F25*12%,0)</f>
        <v>223359971</v>
      </c>
    </row>
    <row r="27" spans="1:20">
      <c r="D27" s="53" t="s">
        <v>43</v>
      </c>
      <c r="E27" s="53"/>
      <c r="F27" s="10">
        <f>ROUND(F25*6%,0)-1</f>
        <v>111679985</v>
      </c>
    </row>
    <row r="28" spans="1:20">
      <c r="D28" s="69" t="s">
        <v>44</v>
      </c>
      <c r="E28" s="69"/>
      <c r="F28" s="35">
        <f>+F25+F26+F27</f>
        <v>2196373049</v>
      </c>
    </row>
  </sheetData>
  <autoFilter ref="A12:P25" xr:uid="{00000000-0009-0000-0000-000002000000}"/>
  <mergeCells count="20">
    <mergeCell ref="C10:P10"/>
    <mergeCell ref="D26:E26"/>
    <mergeCell ref="D27:E27"/>
    <mergeCell ref="D28:E28"/>
    <mergeCell ref="D25:E25"/>
    <mergeCell ref="G11:P11"/>
    <mergeCell ref="A19:A20"/>
    <mergeCell ref="A17:A18"/>
    <mergeCell ref="A15:A16"/>
    <mergeCell ref="A13:A14"/>
    <mergeCell ref="F11:F12"/>
    <mergeCell ref="A11:A12"/>
    <mergeCell ref="B11:B12"/>
    <mergeCell ref="C11:C12"/>
    <mergeCell ref="D11:D12"/>
    <mergeCell ref="E11:E12"/>
    <mergeCell ref="B13:B14"/>
    <mergeCell ref="B15:B16"/>
    <mergeCell ref="B17:B18"/>
    <mergeCell ref="B19:B20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Joya Sanchez, Jeimmy Vaneza</dc:creator>
  <cp:keywords/>
  <dc:description/>
  <cp:lastModifiedBy>Lizeth, Barrera Cortes</cp:lastModifiedBy>
  <cp:revision/>
  <dcterms:created xsi:type="dcterms:W3CDTF">2023-06-15T21:22:55Z</dcterms:created>
  <dcterms:modified xsi:type="dcterms:W3CDTF">2023-06-22T19:01:25Z</dcterms:modified>
  <cp:category/>
  <cp:contentStatus/>
</cp:coreProperties>
</file>