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424"/>
  <workbookPr hidePivotFieldList="1"/>
  <mc:AlternateContent xmlns:mc="http://schemas.openxmlformats.org/markup-compatibility/2006">
    <mc:Choice Requires="x15">
      <x15ac:absPath xmlns:x15ac="http://schemas.microsoft.com/office/spreadsheetml/2010/11/ac" url="C:\Users\gustavo.forero\Downloads\"/>
    </mc:Choice>
  </mc:AlternateContent>
  <xr:revisionPtr revIDLastSave="0" documentId="8_{EA32CC8A-AF6F-4A3E-97DF-C62496A765F0}" xr6:coauthVersionLast="47" xr6:coauthVersionMax="47" xr10:uidLastSave="{00000000-0000-0000-0000-000000000000}"/>
  <bookViews>
    <workbookView xWindow="-120" yWindow="-120" windowWidth="20730" windowHeight="11160" tabRatio="768" firstSheet="2" activeTab="2" xr2:uid="{00000000-000D-0000-FFFF-FFFF00000000}"/>
  </bookViews>
  <sheets>
    <sheet name="Equivalencias" sheetId="6" state="hidden" r:id="rId1"/>
    <sheet name="TOTAL EQUIPOS " sheetId="16" state="hidden" r:id="rId2"/>
    <sheet name="POA_Nuevo_Convenio_2023" sheetId="23" r:id="rId3"/>
  </sheets>
  <externalReferences>
    <externalReference r:id="rId4"/>
  </externalReferenc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23" i="23" l="1"/>
  <c r="M21" i="23"/>
  <c r="M14" i="23"/>
  <c r="M24" i="23" s="1"/>
  <c r="M26" i="23" s="1"/>
  <c r="L18" i="23"/>
  <c r="M28" i="23" l="1"/>
  <c r="AB20" i="23"/>
  <c r="AB19" i="23"/>
  <c r="AB18" i="23"/>
  <c r="AB17" i="23"/>
  <c r="AB16" i="23"/>
  <c r="L15" i="23"/>
  <c r="L21" i="23" s="1"/>
  <c r="AB13" i="23" l="1"/>
  <c r="L14" i="23" l="1"/>
  <c r="P14" i="23"/>
  <c r="Q14" i="23"/>
  <c r="R14" i="23"/>
  <c r="S14" i="23"/>
  <c r="T14" i="23"/>
  <c r="U14" i="23"/>
  <c r="V14" i="23"/>
  <c r="W14" i="23"/>
  <c r="X14" i="23"/>
  <c r="Y14" i="23"/>
  <c r="Z14" i="23"/>
  <c r="AA14" i="23"/>
  <c r="O14" i="23"/>
  <c r="P21" i="23"/>
  <c r="Q21" i="23"/>
  <c r="R21" i="23"/>
  <c r="S21" i="23"/>
  <c r="T21" i="23"/>
  <c r="U21" i="23"/>
  <c r="V21" i="23"/>
  <c r="W21" i="23"/>
  <c r="X21" i="23"/>
  <c r="Y21" i="23"/>
  <c r="Z21" i="23"/>
  <c r="AA21" i="23"/>
  <c r="O21" i="23"/>
  <c r="P23" i="23"/>
  <c r="Q23" i="23"/>
  <c r="R23" i="23"/>
  <c r="S23" i="23"/>
  <c r="T23" i="23"/>
  <c r="U23" i="23"/>
  <c r="V23" i="23"/>
  <c r="W23" i="23"/>
  <c r="X23" i="23"/>
  <c r="Y23" i="23"/>
  <c r="Z23" i="23"/>
  <c r="AA23" i="23"/>
  <c r="O23" i="23"/>
  <c r="AB22" i="23"/>
  <c r="L23" i="23"/>
  <c r="AB15" i="23"/>
  <c r="AB12" i="23"/>
  <c r="AB8" i="23"/>
  <c r="AB7" i="23"/>
  <c r="AB6" i="23"/>
  <c r="AB5" i="23"/>
  <c r="AB4" i="23"/>
  <c r="L24" i="23" l="1"/>
  <c r="L26" i="23" s="1"/>
  <c r="Y24" i="23"/>
  <c r="Y26" i="23" s="1"/>
  <c r="Y27" i="23" s="1"/>
  <c r="Y28" i="23" s="1"/>
  <c r="X24" i="23"/>
  <c r="X26" i="23" s="1"/>
  <c r="X27" i="23" s="1"/>
  <c r="X28" i="23" s="1"/>
  <c r="P24" i="23"/>
  <c r="P26" i="23" s="1"/>
  <c r="P27" i="23" s="1"/>
  <c r="P28" i="23" s="1"/>
  <c r="O24" i="23"/>
  <c r="O26" i="23" s="1"/>
  <c r="O27" i="23" s="1"/>
  <c r="T24" i="23"/>
  <c r="T26" i="23" s="1"/>
  <c r="T27" i="23" s="1"/>
  <c r="T28" i="23" s="1"/>
  <c r="Q24" i="23"/>
  <c r="Q26" i="23" s="1"/>
  <c r="Q27" i="23" s="1"/>
  <c r="Q28" i="23" s="1"/>
  <c r="AA24" i="23"/>
  <c r="AA26" i="23" s="1"/>
  <c r="AA27" i="23" s="1"/>
  <c r="S24" i="23"/>
  <c r="S26" i="23" s="1"/>
  <c r="S27" i="23" s="1"/>
  <c r="S28" i="23" s="1"/>
  <c r="Z24" i="23"/>
  <c r="Z26" i="23" s="1"/>
  <c r="Z27" i="23" s="1"/>
  <c r="Z28" i="23" s="1"/>
  <c r="R24" i="23"/>
  <c r="R26" i="23" s="1"/>
  <c r="R27" i="23" s="1"/>
  <c r="R28" i="23" s="1"/>
  <c r="W24" i="23"/>
  <c r="W26" i="23" s="1"/>
  <c r="W27" i="23" s="1"/>
  <c r="W28" i="23" s="1"/>
  <c r="V24" i="23"/>
  <c r="V26" i="23" s="1"/>
  <c r="V27" i="23" s="1"/>
  <c r="V28" i="23" s="1"/>
  <c r="U24" i="23"/>
  <c r="U26" i="23" s="1"/>
  <c r="U27" i="23" s="1"/>
  <c r="AB14" i="23"/>
  <c r="AB21" i="23"/>
  <c r="AB23" i="23"/>
  <c r="U28" i="23" l="1"/>
  <c r="AA28" i="23"/>
  <c r="AB27" i="23"/>
  <c r="AB24" i="23"/>
  <c r="O28" i="23"/>
  <c r="AB26" i="23"/>
  <c r="L28" i="23" l="1"/>
  <c r="AB28" i="23"/>
  <c r="C10" i="16" l="1"/>
  <c r="C19" i="16" s="1"/>
  <c r="F10" i="16"/>
  <c r="N13" i="16"/>
  <c r="D3" i="16"/>
  <c r="E3" i="16"/>
  <c r="D4" i="16"/>
  <c r="E4" i="16" s="1"/>
  <c r="C5" i="16"/>
  <c r="C13" i="16" s="1"/>
  <c r="C7" i="16"/>
  <c r="D7" i="16" s="1"/>
  <c r="D8" i="16"/>
  <c r="E8" i="16" s="1"/>
  <c r="D9" i="16"/>
  <c r="C12" i="16"/>
  <c r="D12" i="16" s="1"/>
  <c r="C20" i="16"/>
  <c r="C25" i="16" s="1"/>
  <c r="D25" i="16" s="1"/>
  <c r="F3" i="16"/>
  <c r="F8" i="16"/>
  <c r="D41" i="16"/>
  <c r="C18" i="16"/>
  <c r="D18" i="16"/>
  <c r="E18" i="16"/>
  <c r="D24" i="16"/>
  <c r="F24" i="16" s="1"/>
  <c r="E24" i="16"/>
  <c r="D31" i="16"/>
  <c r="E31" i="16"/>
  <c r="D32" i="16"/>
  <c r="E32" i="16"/>
  <c r="D33" i="16"/>
  <c r="F33" i="16" s="1"/>
  <c r="E33" i="16"/>
  <c r="C34" i="16"/>
  <c r="D34" i="16" s="1"/>
  <c r="C36" i="16"/>
  <c r="D36" i="16"/>
  <c r="F36" i="16" s="1"/>
  <c r="E36" i="16"/>
  <c r="D11" i="16"/>
  <c r="E11" i="16"/>
  <c r="F31" i="16"/>
  <c r="F32" i="16"/>
  <c r="F11" i="16"/>
  <c r="B13" i="16"/>
  <c r="J6" i="16" s="1"/>
  <c r="B26" i="16"/>
  <c r="J7" i="16" s="1"/>
  <c r="B37" i="16"/>
  <c r="J8" i="16"/>
  <c r="J9" i="16" s="1"/>
  <c r="E25" i="16" l="1"/>
  <c r="F25" i="16"/>
  <c r="E12" i="16"/>
  <c r="F12" i="16" s="1"/>
  <c r="D19" i="16"/>
  <c r="D26" i="16" s="1"/>
  <c r="K7" i="16" s="1"/>
  <c r="C23" i="16"/>
  <c r="D23" i="16" s="1"/>
  <c r="C21" i="16"/>
  <c r="D21" i="16" s="1"/>
  <c r="C26" i="16"/>
  <c r="F4" i="16"/>
  <c r="D37" i="16"/>
  <c r="K8" i="16" s="1"/>
  <c r="E34" i="16"/>
  <c r="F34" i="16" s="1"/>
  <c r="E7" i="16"/>
  <c r="F7" i="16" s="1"/>
  <c r="E9" i="16"/>
  <c r="F9" i="16" s="1"/>
  <c r="D5" i="16"/>
  <c r="D20" i="16"/>
  <c r="D10" i="16"/>
  <c r="E10" i="16" s="1"/>
  <c r="M13" i="16" s="1"/>
  <c r="K13" i="16" s="1"/>
  <c r="C35" i="16"/>
  <c r="D35" i="16" s="1"/>
  <c r="F18" i="16"/>
  <c r="C22" i="16"/>
  <c r="D22" i="16" s="1"/>
  <c r="C37" i="16" l="1"/>
  <c r="D13" i="16"/>
  <c r="K6" i="16" s="1"/>
  <c r="K9" i="16" s="1"/>
  <c r="E5" i="16"/>
  <c r="E19" i="16"/>
  <c r="F19" i="16"/>
  <c r="E35" i="16"/>
  <c r="E37" i="16" s="1"/>
  <c r="E21" i="16"/>
  <c r="F21" i="16" s="1"/>
  <c r="E22" i="16"/>
  <c r="F22" i="16" s="1"/>
  <c r="E20" i="16"/>
  <c r="F20" i="16" s="1"/>
  <c r="F26" i="16" s="1"/>
  <c r="F23" i="16"/>
  <c r="E23" i="16"/>
  <c r="F35" i="16" l="1"/>
  <c r="F37" i="16" s="1"/>
  <c r="N14" i="16" s="1"/>
  <c r="M12" i="16"/>
  <c r="E13" i="16"/>
  <c r="E26" i="16"/>
  <c r="M14" i="16" s="1"/>
  <c r="F5" i="16"/>
  <c r="F13" i="16" l="1"/>
  <c r="N12" i="16"/>
  <c r="K12" i="16" s="1"/>
  <c r="K14" i="1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Nini Johanna Sanchez Briceño</author>
    <author>Angela Rodriguez</author>
  </authors>
  <commentList>
    <comment ref="D2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Nini Johanna Sanchez Briceño:</t>
        </r>
        <r>
          <rPr>
            <sz val="9"/>
            <color indexed="81"/>
            <rFont val="Tahoma"/>
            <family val="2"/>
          </rPr>
          <t xml:space="preserve">
proyección duración desde mayo/2018 hasta Mar/2019.   </t>
        </r>
      </text>
    </comment>
    <comment ref="E2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Nini Johanna Sanchez Briceño:</t>
        </r>
        <r>
          <rPr>
            <sz val="9"/>
            <color indexed="81"/>
            <rFont val="Tahoma"/>
            <family val="2"/>
          </rPr>
          <t xml:space="preserve">
Los valores correspondientes a los meses de aquellas personas que iniciaron antes de mayo se incluyen en el rubro total para 2018</t>
        </r>
      </text>
    </comment>
    <comment ref="E3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>Nini Johanna Sanchez Briceño:</t>
        </r>
        <r>
          <rPr>
            <sz val="9"/>
            <color indexed="81"/>
            <rFont val="Tahoma"/>
            <family val="2"/>
          </rPr>
          <t xml:space="preserve">
Se adiciona lo correspondiente al mes de marzo y abril</t>
        </r>
      </text>
    </comment>
    <comment ref="A6" authorId="1" shapeId="0" xr:uid="{00000000-0006-0000-0100-000004000000}">
      <text>
        <r>
          <rPr>
            <b/>
            <sz val="9"/>
            <color indexed="81"/>
            <rFont val="Tahoma"/>
            <family val="2"/>
          </rPr>
          <t>Angela Rodriguez:</t>
        </r>
        <r>
          <rPr>
            <sz val="9"/>
            <color indexed="81"/>
            <rFont val="Tahoma"/>
            <family val="2"/>
          </rPr>
          <t xml:space="preserve">
Este cargo se eliminó cuando se agregó los ingenieros de sistemas regionales y se hizo upgrade del profesional social </t>
        </r>
      </text>
    </comment>
    <comment ref="A10" authorId="1" shapeId="0" xr:uid="{00000000-0006-0000-0100-000005000000}">
      <text>
        <r>
          <rPr>
            <b/>
            <sz val="9"/>
            <color indexed="81"/>
            <rFont val="Tahoma"/>
            <family val="2"/>
          </rPr>
          <t xml:space="preserve">PERSONAL PNUD </t>
        </r>
      </text>
    </comment>
    <comment ref="A11" authorId="1" shapeId="0" xr:uid="{00000000-0006-0000-0100-000006000000}">
      <text>
        <r>
          <rPr>
            <b/>
            <sz val="9"/>
            <color indexed="81"/>
            <rFont val="Tahoma"/>
            <family val="2"/>
          </rPr>
          <t>Angela Rodriguez:</t>
        </r>
        <r>
          <rPr>
            <sz val="9"/>
            <color indexed="81"/>
            <rFont val="Tahoma"/>
            <family val="2"/>
          </rPr>
          <t xml:space="preserve">
PERSONAL PNUD</t>
        </r>
      </text>
    </comment>
    <comment ref="A12" authorId="1" shapeId="0" xr:uid="{00000000-0006-0000-0100-000007000000}">
      <text>
        <r>
          <rPr>
            <b/>
            <sz val="9"/>
            <color indexed="81"/>
            <rFont val="Tahoma"/>
            <family val="2"/>
          </rPr>
          <t>Angela Rodriguez:</t>
        </r>
        <r>
          <rPr>
            <sz val="9"/>
            <color indexed="81"/>
            <rFont val="Tahoma"/>
            <family val="2"/>
          </rPr>
          <t xml:space="preserve">
PERSONAL PNUD</t>
        </r>
      </text>
    </comment>
    <comment ref="D17" authorId="0" shapeId="0" xr:uid="{00000000-0006-0000-0100-000008000000}">
      <text>
        <r>
          <rPr>
            <b/>
            <sz val="9"/>
            <color indexed="81"/>
            <rFont val="Tahoma"/>
            <family val="2"/>
          </rPr>
          <t>Nini Johanna Sanchez Briceño:</t>
        </r>
        <r>
          <rPr>
            <sz val="9"/>
            <color indexed="81"/>
            <rFont val="Tahoma"/>
            <family val="2"/>
          </rPr>
          <t xml:space="preserve">
Proyección desde Agos/2018 hasta Mar/2019</t>
        </r>
      </text>
    </comment>
    <comment ref="A18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>Nini Johanna Sanchez Briceño:</t>
        </r>
        <r>
          <rPr>
            <sz val="9"/>
            <color indexed="81"/>
            <rFont val="Tahoma"/>
            <family val="2"/>
          </rPr>
          <t xml:space="preserve">
Se modifico a SB-3
</t>
        </r>
      </text>
    </comment>
    <comment ref="D24" authorId="0" shapeId="0" xr:uid="{00000000-0006-0000-0100-00000A000000}">
      <text>
        <r>
          <rPr>
            <b/>
            <sz val="9"/>
            <color indexed="81"/>
            <rFont val="Tahoma"/>
            <family val="2"/>
          </rPr>
          <t>Nini Johanna Sanchez Briceño:</t>
        </r>
        <r>
          <rPr>
            <sz val="9"/>
            <color indexed="81"/>
            <rFont val="Tahoma"/>
            <family val="2"/>
          </rPr>
          <t xml:space="preserve">
Proyección desde Jul/2018 hasta Nov/2019</t>
        </r>
      </text>
    </comment>
    <comment ref="D25" authorId="0" shapeId="0" xr:uid="{00000000-0006-0000-0100-00000B000000}">
      <text>
        <r>
          <rPr>
            <b/>
            <sz val="9"/>
            <color indexed="81"/>
            <rFont val="Tahoma"/>
            <family val="2"/>
          </rPr>
          <t>Nini Johanna Sanchez Briceño:</t>
        </r>
        <r>
          <rPr>
            <sz val="9"/>
            <color indexed="81"/>
            <rFont val="Tahoma"/>
            <family val="2"/>
          </rPr>
          <t xml:space="preserve">
Proyección desde Jul/2018 hasta Nov/2019
</t>
        </r>
      </text>
    </comment>
    <comment ref="D30" authorId="0" shapeId="0" xr:uid="{00000000-0006-0000-0100-00000C000000}">
      <text>
        <r>
          <rPr>
            <b/>
            <sz val="9"/>
            <color indexed="81"/>
            <rFont val="Tahoma"/>
            <family val="2"/>
          </rPr>
          <t>Nini Johanna Sanchez Briceño:</t>
        </r>
        <r>
          <rPr>
            <sz val="9"/>
            <color indexed="81"/>
            <rFont val="Tahoma"/>
            <family val="2"/>
          </rPr>
          <t xml:space="preserve">
Proyección desde Mar/2018 hasta Nov/2019</t>
        </r>
      </text>
    </comment>
  </commentList>
</comments>
</file>

<file path=xl/sharedStrings.xml><?xml version="1.0" encoding="utf-8"?>
<sst xmlns="http://schemas.openxmlformats.org/spreadsheetml/2006/main" count="201" uniqueCount="139">
  <si>
    <t>1. Costos de personal</t>
  </si>
  <si>
    <t>2. Suministros, comodidades, materiales</t>
  </si>
  <si>
    <t>3. Equipo, vehículo y muebles, incluyendo su depreciación</t>
  </si>
  <si>
    <t>4. Servicios contractuales</t>
  </si>
  <si>
    <t>5. Viajes</t>
  </si>
  <si>
    <t>6. Transferencias y grants a contrapartes</t>
  </si>
  <si>
    <t>7. Costos generales de operación y otros costos directos</t>
  </si>
  <si>
    <t>8. Otros</t>
  </si>
  <si>
    <t xml:space="preserve">Resultados </t>
  </si>
  <si>
    <t>1. Formulación de planes de ordenamiento social de la propiedad rural en la zona norte del país</t>
  </si>
  <si>
    <t>2 Implementación de planes de ordenamiento social de la propiedad rural en la zona norte del país</t>
  </si>
  <si>
    <t>todos</t>
  </si>
  <si>
    <t>Etapas</t>
  </si>
  <si>
    <t>1.1 Alistamiento</t>
  </si>
  <si>
    <t>1.2 Elaboración POSPR</t>
  </si>
  <si>
    <t>2.1 Etapa: Visita de campo (barrido predial masivo)</t>
  </si>
  <si>
    <t>2.2 Actualización POSPR</t>
  </si>
  <si>
    <t>2.3 Actuaciones administrativas procedimiento único</t>
  </si>
  <si>
    <t>todas</t>
  </si>
  <si>
    <t>EQUIPO NACIONAL</t>
  </si>
  <si>
    <t xml:space="preserve">DENOMINACION DEL CARGO </t>
  </si>
  <si>
    <t>CANTIDAD DE PERSONAL</t>
  </si>
  <si>
    <t>HONORARIOS MES</t>
  </si>
  <si>
    <t>GERENTE NACIONAL DE PROYECTO 
SB4-3</t>
  </si>
  <si>
    <t>PROFESIONAL ESPECIALIZADO EN CIENCIAS JURIDICAS
SB3-3</t>
  </si>
  <si>
    <t>PROFESIONAL SOCIAL ESPECIALIZADO 
SB3-3</t>
  </si>
  <si>
    <t>NIVEL</t>
  </si>
  <si>
    <t xml:space="preserve">No </t>
  </si>
  <si>
    <t>VALOR</t>
  </si>
  <si>
    <t xml:space="preserve">PROFESIONAL CATASTRAL
SB3-2 </t>
  </si>
  <si>
    <t>PROFESIONAL ESPECIALIZADO CATASTRAL
SB3-3</t>
  </si>
  <si>
    <t>EQUIPO REGIONAL</t>
  </si>
  <si>
    <t>ASISTENTE TÉCNICO
SB3-1</t>
  </si>
  <si>
    <t>EQUIPO MUNICIAL</t>
  </si>
  <si>
    <t xml:space="preserve">PROFESIONAL INGENIERIA DE SISTEMAS
SB3-2 </t>
  </si>
  <si>
    <t>TOTAL</t>
  </si>
  <si>
    <t>PROFESIONAL EN MONITOREO Y SEGUIMIENTO 
SB3-2</t>
  </si>
  <si>
    <t xml:space="preserve">ASOCIADO DE SEGURIDAD UNV
</t>
  </si>
  <si>
    <t>PARTE RESPONSABLE</t>
  </si>
  <si>
    <t>No</t>
  </si>
  <si>
    <t>ASISTENTE ADMINISTRATIVO Y FINANCIERO 
SB3-1</t>
  </si>
  <si>
    <t>ANT</t>
  </si>
  <si>
    <t>NACIONAL</t>
  </si>
  <si>
    <t>PNUD</t>
  </si>
  <si>
    <t>REGIONAL Y MUNICIPAL</t>
  </si>
  <si>
    <t>JEFE REGIONAL DE PROYECTO  
SB3-3</t>
  </si>
  <si>
    <t>PROFESIONAL JURIDICO 
SB3-2</t>
  </si>
  <si>
    <t>ASISTENTE TECNICO JURIDICO
SB3-1</t>
  </si>
  <si>
    <t>PROFESIONAL SOCIAL
SB3-2</t>
  </si>
  <si>
    <t>ASISTENTE TECNICO SOCIAL
SB3-1</t>
  </si>
  <si>
    <t>PROFESIONAL CATASTRAL
SB3-2</t>
  </si>
  <si>
    <t>AUXILIAR ADMINISTRATIVO REGIONAL 
SB2-2</t>
  </si>
  <si>
    <t>INGENIEROS DE SISTEMAS - REGIONALES 
SB3-1</t>
  </si>
  <si>
    <t>EQUIPO MUNICIPAL</t>
  </si>
  <si>
    <t>PROFESIONAL JURIDICO
SB3-2</t>
  </si>
  <si>
    <t>AUXILIAR TECNICO JURIDICO
SB2-2</t>
  </si>
  <si>
    <t>ASISTENTE TECNICO CATASTRAL
SB3-1</t>
  </si>
  <si>
    <t>AUXILIAR ADMINISTRATIVO MUNICIPAL
SB2-2</t>
  </si>
  <si>
    <t>GRUPO DE GESTION DOCUMENTAL</t>
  </si>
  <si>
    <t xml:space="preserve">Tecnologos en gestión documental </t>
  </si>
  <si>
    <t xml:space="preserve">Notas: 17/04/2018 se ajusto el equipo de trabajo a los tiempos de la EDT, se incluye un mes al grupo de gestion documental </t>
  </si>
  <si>
    <t>06/06/20|8 se ajusta el equipo de trabajo con las nuevas bandas salariales del PNUD vigentes a partir de mayo de 2018, se ajusta el equipo municipal y regional a noviembre/2019</t>
  </si>
  <si>
    <t>20/08/2018  se ajusta el equipo de trabajo a marzo del 2019</t>
  </si>
  <si>
    <t>POA - PROYECTO No 00107866- CONVENIO No 951</t>
  </si>
  <si>
    <t>Resultado</t>
  </si>
  <si>
    <t xml:space="preserve">Producto /Actividad </t>
  </si>
  <si>
    <t>Ubicación</t>
  </si>
  <si>
    <t>Indicador Producto planeado</t>
  </si>
  <si>
    <t xml:space="preserve">Fórmula </t>
  </si>
  <si>
    <t>Valor_Meta Producto Prevista</t>
  </si>
  <si>
    <t>Responsable Ejecutor/ Implementador</t>
  </si>
  <si>
    <t>No Proyecto donde se ejecuta</t>
  </si>
  <si>
    <t>Fecha_Inicio de la Meta Planificada</t>
  </si>
  <si>
    <t>Fecha_Finalización de la Meta Planificada</t>
  </si>
  <si>
    <t>Avance Técnico</t>
  </si>
  <si>
    <t>Presupuesto  COP ANT</t>
  </si>
  <si>
    <t>Presupuesto  COP PNUD</t>
  </si>
  <si>
    <t>Linea de gasto</t>
  </si>
  <si>
    <t>Junio 2023</t>
  </si>
  <si>
    <t>Julio 2023</t>
  </si>
  <si>
    <t>Agosto 2023</t>
  </si>
  <si>
    <t>Septiembre 2023</t>
  </si>
  <si>
    <t>Octubre 2023</t>
  </si>
  <si>
    <t>Noviembre 2023</t>
  </si>
  <si>
    <t>Diciembre 2023</t>
  </si>
  <si>
    <t>Enero 2024</t>
  </si>
  <si>
    <t>Febrero 2024</t>
  </si>
  <si>
    <t>Marzo 2024</t>
  </si>
  <si>
    <t>Abril 2024</t>
  </si>
  <si>
    <t>Mayo 2024</t>
  </si>
  <si>
    <t>Junio 2024</t>
  </si>
  <si>
    <t>Total recursos  ejecutados (COP)</t>
  </si>
  <si>
    <t>Recursos ejecutados  (COP)</t>
  </si>
  <si>
    <t>1. Generar capacidades mediante transferencia de conocimiento y asistencia técnica al nivel nacional y a las Unidades de Gestión Territorial - UGT de la Agencia Nacional de Tierras – ANT.</t>
  </si>
  <si>
    <t>1.1 Innovación en el diseño de nuevas metodologías para la Formulación e Implementación de los POSPR</t>
  </si>
  <si>
    <t>Nacional</t>
  </si>
  <si>
    <t>Nivel de avance en diseño de nuevas metodologías</t>
  </si>
  <si>
    <t>Sumatoria de porcentajes en diseño de nuevas metodologías</t>
  </si>
  <si>
    <t>PNUD (parte responsable) - Contrapartida</t>
  </si>
  <si>
    <t>31/06/2024</t>
  </si>
  <si>
    <t xml:space="preserve">Servicios contractuales </t>
  </si>
  <si>
    <t>Suministros, comodidades, materiales</t>
  </si>
  <si>
    <t>Viajes pre-alistamiento</t>
  </si>
  <si>
    <t>Servicios contractuales (IC)</t>
  </si>
  <si>
    <t>1.2 Acompañamiento Técnico al nivel nacional y a las UGT en el proceso de intervención territorial.</t>
  </si>
  <si>
    <t>Nivel de avance del acompañamiento en la consolidación implementación Reforma Rural Integral</t>
  </si>
  <si>
    <t>Sumatoria de porcentajes de avance en el acompañamiento de la consolidación implementación Reforma Rural Integral</t>
  </si>
  <si>
    <t>PNUD (parte responsable) ANT</t>
  </si>
  <si>
    <t xml:space="preserve">Costos de personal </t>
  </si>
  <si>
    <t xml:space="preserve">Costos generales de operación </t>
  </si>
  <si>
    <t>Viajes</t>
  </si>
  <si>
    <t>Gestión del proyecto y costos directos</t>
  </si>
  <si>
    <t>1.3 Gestión del Conocimiento y Monitoreo y Seguimiento</t>
  </si>
  <si>
    <t>Nivel de avance en la estrategia de gestión del conocimiento, M&amp;S</t>
  </si>
  <si>
    <t>Actividades realizadas sobre actividades programadas X 100</t>
  </si>
  <si>
    <t>1.4 Apoyo en aspectos digitales para optimizar procedimientos de la misionalidad de la ANT.</t>
  </si>
  <si>
    <t>Nivel de avance en la implementación de herramientas digitales</t>
  </si>
  <si>
    <t>Actividades realizadas sobre actividades programas X 100</t>
  </si>
  <si>
    <t>Subtotal Resultado 1</t>
  </si>
  <si>
    <t>2 Apoyar logística y operativamente la puesta en marcha de las UGT en el territorio nacional.</t>
  </si>
  <si>
    <t>2.1  Esquema de Apoyo logístico y operativo a la intervención del nivel nacional y de las UGT de la ANT para el OSPR.</t>
  </si>
  <si>
    <t>Nivel de avance para la operación de oficinas terrritoriales</t>
  </si>
  <si>
    <t>Numero de oficinas territoriales apoyadas para la puesta en marcha en los municipios priorizados</t>
  </si>
  <si>
    <t>(parte responsable) ANT</t>
  </si>
  <si>
    <t>Suministros  y comodidades /eventos</t>
  </si>
  <si>
    <t>2.2 Apoyo en servicios especializados para la misionalidad de la ANT.</t>
  </si>
  <si>
    <t>Nivel de avance en apoyo técnico en servicios especializados prestados a la ANT</t>
  </si>
  <si>
    <t>Sumatoria de porcentajes de avance en apoyo  técnico en servicios especializados solicitados por la ANT</t>
  </si>
  <si>
    <t>Subtotal Resultado 2</t>
  </si>
  <si>
    <t>3 Evaluación Final</t>
  </si>
  <si>
    <t>3.1 Evaluación Final</t>
  </si>
  <si>
    <t>Nivel de avance en la implementación de Evaluación</t>
  </si>
  <si>
    <t>Actividades de seguimiento realizadas/ actividades de seguimiento programadas X 100</t>
  </si>
  <si>
    <t>Subtotal Resultado 3</t>
  </si>
  <si>
    <t>SUBTOTAL ACTIVIDADES</t>
  </si>
  <si>
    <t>DEPRECIACIÓN DE  ACTIVOS</t>
  </si>
  <si>
    <t>ACTIVIDADES Y  GASTO DE DEPRECIACION</t>
  </si>
  <si>
    <t>GMS (5%)</t>
  </si>
  <si>
    <t>TOTALES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</si>
</sst>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1" formatCode="_-* #,##0_-;\-* #,##0_-;_-* &quot;-&quot;_-;_-@_-"/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_-&quot;$&quot;\ * #,##0_-;\-&quot;$&quot;\ * #,##0_-;_-&quot;$&quot;\ * &quot;-&quot;_-;_-@_-"/>
    <numFmt numFmtId="167" formatCode="_-&quot;$&quot;\ * #,##0.00_-;\-&quot;$&quot;\ * #,##0.00_-;_-&quot;$&quot;\ * &quot;-&quot;??_-;_-@_-"/>
    <numFmt numFmtId="168" formatCode="_-&quot;$&quot;* #,##0_-;\-&quot;$&quot;* #,##0_-;_-&quot;$&quot;* &quot;-&quot;_-;_-@_-"/>
    <numFmt numFmtId="169" formatCode="_(* #,##0_);_(* \(#,##0\);_(* &quot;-&quot;??_);_(@_)"/>
    <numFmt numFmtId="170" formatCode="_-* #,##0.00_-;\-* #,##0.00_-;_-* &quot;-&quot;_-;_-@_-"/>
    <numFmt numFmtId="171" formatCode="_-* #,##0.00\ _F_B_-;\-* #,##0.00\ _F_B_-;_-* &quot;-&quot;??\ _F_B_-;_-@_-"/>
    <numFmt numFmtId="172" formatCode="_-&quot;$&quot;* #,##0.00_-;\-&quot;$&quot;* #,##0.00_-;_-&quot;$&quot;* &quot;-&quot;_-;_-@_-"/>
    <numFmt numFmtId="173" formatCode="_(&quot;COP&quot;* #,##0_);_(&quot;COP&quot;* \(#,##0\);_(&quot;COP&quot;* &quot;-&quot;_);_(@_)"/>
  </numFmts>
  <fonts count="29">
    <font>
      <sz val="11"/>
      <color rgb="FF000000"/>
      <name val="Calibri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rgb="FF000000"/>
      <name val="Calibri"/>
      <family val="2"/>
    </font>
    <font>
      <u/>
      <sz val="11"/>
      <color theme="10"/>
      <name val="Calibri"/>
      <family val="2"/>
    </font>
    <font>
      <u/>
      <sz val="11"/>
      <color theme="11"/>
      <name val="Calibri"/>
      <family val="2"/>
    </font>
    <font>
      <sz val="11"/>
      <color rgb="FF000000"/>
      <name val="Calibri"/>
      <family val="2"/>
    </font>
    <font>
      <b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2"/>
      <color theme="1"/>
      <name val="Calibri"/>
      <family val="2"/>
    </font>
    <font>
      <b/>
      <sz val="11"/>
      <color rgb="FF000000"/>
      <name val="Calibri"/>
      <family val="2"/>
    </font>
    <font>
      <b/>
      <sz val="11"/>
      <color theme="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2"/>
      <color rgb="FF006100"/>
      <name val="Calibri"/>
      <family val="2"/>
      <scheme val="minor"/>
    </font>
    <font>
      <sz val="11"/>
      <color rgb="FF000000"/>
      <name val="Calibri"/>
      <family val="2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theme="0"/>
      <name val="Calibri"/>
      <family val="2"/>
    </font>
    <font>
      <sz val="11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C6EFCE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30">
    <xf numFmtId="0" fontId="0" fillId="0" borderId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41" fontId="8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10" fillId="0" borderId="0"/>
    <xf numFmtId="168" fontId="4" fillId="0" borderId="0" applyFont="0" applyFill="0" applyBorder="0" applyAlignment="0" applyProtection="0"/>
    <xf numFmtId="171" fontId="11" fillId="0" borderId="0" applyFont="0" applyFill="0" applyBorder="0" applyAlignment="0" applyProtection="0"/>
    <xf numFmtId="0" fontId="8" fillId="0" borderId="0"/>
    <xf numFmtId="168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3" fillId="0" borderId="0"/>
    <xf numFmtId="173" fontId="10" fillId="0" borderId="0" applyFont="0" applyFill="0" applyBorder="0" applyAlignment="0" applyProtection="0"/>
    <xf numFmtId="0" fontId="21" fillId="8" borderId="0" applyNumberFormat="0" applyBorder="0" applyAlignment="0" applyProtection="0"/>
    <xf numFmtId="9" fontId="10" fillId="0" borderId="0" applyFont="0" applyFill="0" applyBorder="0" applyAlignment="0" applyProtection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22" fillId="0" borderId="0" applyFont="0" applyFill="0" applyBorder="0" applyAlignment="0" applyProtection="0"/>
  </cellStyleXfs>
  <cellXfs count="92">
    <xf numFmtId="0" fontId="0" fillId="0" borderId="0" xfId="0"/>
    <xf numFmtId="0" fontId="5" fillId="0" borderId="0" xfId="0" applyFont="1"/>
    <xf numFmtId="0" fontId="5" fillId="0" borderId="0" xfId="0" applyFont="1" applyAlignment="1">
      <alignment vertical="center"/>
    </xf>
    <xf numFmtId="49" fontId="0" fillId="0" borderId="0" xfId="0" applyNumberFormat="1" applyAlignment="1">
      <alignment horizontal="left" vertical="center"/>
    </xf>
    <xf numFmtId="0" fontId="8" fillId="0" borderId="0" xfId="16"/>
    <xf numFmtId="0" fontId="9" fillId="2" borderId="1" xfId="16" applyFont="1" applyFill="1" applyBorder="1" applyAlignment="1">
      <alignment vertical="center" wrapText="1"/>
    </xf>
    <xf numFmtId="0" fontId="9" fillId="2" borderId="1" xfId="16" applyFont="1" applyFill="1" applyBorder="1" applyAlignment="1">
      <alignment horizontal="center" vertical="center" wrapText="1"/>
    </xf>
    <xf numFmtId="0" fontId="8" fillId="0" borderId="1" xfId="16" applyBorder="1" applyAlignment="1">
      <alignment horizontal="center" vertical="center"/>
    </xf>
    <xf numFmtId="0" fontId="13" fillId="0" borderId="1" xfId="16" applyFont="1" applyBorder="1" applyAlignment="1">
      <alignment horizontal="center" vertical="center" wrapText="1"/>
    </xf>
    <xf numFmtId="0" fontId="12" fillId="0" borderId="1" xfId="16" applyFont="1" applyBorder="1" applyAlignment="1">
      <alignment horizontal="center" vertical="center"/>
    </xf>
    <xf numFmtId="0" fontId="14" fillId="0" borderId="1" xfId="16" applyFont="1" applyBorder="1" applyAlignment="1">
      <alignment horizontal="center" vertical="center"/>
    </xf>
    <xf numFmtId="0" fontId="8" fillId="0" borderId="0" xfId="16" applyAlignment="1">
      <alignment horizontal="center"/>
    </xf>
    <xf numFmtId="0" fontId="8" fillId="0" borderId="1" xfId="16" applyBorder="1" applyAlignment="1">
      <alignment horizontal="center"/>
    </xf>
    <xf numFmtId="0" fontId="9" fillId="2" borderId="2" xfId="16" applyFont="1" applyFill="1" applyBorder="1" applyAlignment="1">
      <alignment vertical="center" wrapText="1"/>
    </xf>
    <xf numFmtId="0" fontId="15" fillId="0" borderId="1" xfId="16" applyFont="1" applyBorder="1" applyAlignment="1">
      <alignment horizontal="center" vertical="center"/>
    </xf>
    <xf numFmtId="0" fontId="14" fillId="0" borderId="0" xfId="16" applyFont="1" applyAlignment="1">
      <alignment horizontal="center" vertical="center"/>
    </xf>
    <xf numFmtId="172" fontId="0" fillId="0" borderId="1" xfId="17" applyNumberFormat="1" applyFont="1" applyBorder="1" applyAlignment="1">
      <alignment vertical="center"/>
    </xf>
    <xf numFmtId="172" fontId="15" fillId="0" borderId="1" xfId="16" applyNumberFormat="1" applyFont="1" applyBorder="1" applyAlignment="1">
      <alignment vertical="center"/>
    </xf>
    <xf numFmtId="172" fontId="12" fillId="0" borderId="1" xfId="16" applyNumberFormat="1" applyFont="1" applyBorder="1" applyAlignment="1">
      <alignment horizontal="center" vertical="center"/>
    </xf>
    <xf numFmtId="172" fontId="14" fillId="0" borderId="1" xfId="16" applyNumberFormat="1" applyFont="1" applyBorder="1" applyAlignment="1">
      <alignment horizontal="center" vertical="center"/>
    </xf>
    <xf numFmtId="172" fontId="14" fillId="0" borderId="0" xfId="16" applyNumberFormat="1" applyFont="1" applyAlignment="1">
      <alignment horizontal="center" vertical="center"/>
    </xf>
    <xf numFmtId="0" fontId="9" fillId="4" borderId="1" xfId="16" applyFont="1" applyFill="1" applyBorder="1" applyAlignment="1">
      <alignment vertical="center" wrapText="1"/>
    </xf>
    <xf numFmtId="41" fontId="15" fillId="0" borderId="1" xfId="9" applyFont="1" applyBorder="1" applyAlignment="1">
      <alignment horizontal="center" vertical="center"/>
    </xf>
    <xf numFmtId="0" fontId="9" fillId="6" borderId="1" xfId="16" applyFont="1" applyFill="1" applyBorder="1" applyAlignment="1">
      <alignment vertical="center" wrapText="1"/>
    </xf>
    <xf numFmtId="0" fontId="8" fillId="6" borderId="1" xfId="16" applyFill="1" applyBorder="1" applyAlignment="1">
      <alignment horizontal="center" vertical="center"/>
    </xf>
    <xf numFmtId="0" fontId="9" fillId="5" borderId="1" xfId="16" applyFont="1" applyFill="1" applyBorder="1" applyAlignment="1">
      <alignment vertical="center" wrapText="1"/>
    </xf>
    <xf numFmtId="0" fontId="8" fillId="0" borderId="1" xfId="16" applyBorder="1"/>
    <xf numFmtId="167" fontId="8" fillId="0" borderId="1" xfId="16" applyNumberFormat="1" applyBorder="1"/>
    <xf numFmtId="167" fontId="8" fillId="0" borderId="0" xfId="16" applyNumberFormat="1"/>
    <xf numFmtId="0" fontId="15" fillId="0" borderId="1" xfId="16" applyFont="1" applyBorder="1"/>
    <xf numFmtId="172" fontId="15" fillId="0" borderId="1" xfId="16" applyNumberFormat="1" applyFont="1" applyBorder="1"/>
    <xf numFmtId="172" fontId="8" fillId="0" borderId="1" xfId="16" applyNumberFormat="1" applyBorder="1"/>
    <xf numFmtId="41" fontId="16" fillId="3" borderId="1" xfId="10" applyNumberFormat="1" applyFont="1" applyFill="1" applyBorder="1" applyAlignment="1">
      <alignment horizontal="right" vertical="center" wrapText="1"/>
    </xf>
    <xf numFmtId="41" fontId="16" fillId="3" borderId="1" xfId="9" applyFont="1" applyFill="1" applyBorder="1" applyAlignment="1">
      <alignment horizontal="right" vertical="center" wrapText="1"/>
    </xf>
    <xf numFmtId="41" fontId="16" fillId="3" borderId="1" xfId="9" applyFont="1" applyFill="1" applyBorder="1" applyAlignment="1">
      <alignment horizontal="center" vertical="center" wrapText="1"/>
    </xf>
    <xf numFmtId="4" fontId="16" fillId="7" borderId="1" xfId="10" applyNumberFormat="1" applyFont="1" applyFill="1" applyBorder="1" applyAlignment="1">
      <alignment horizontal="center" vertical="center" wrapText="1"/>
    </xf>
    <xf numFmtId="4" fontId="16" fillId="3" borderId="1" xfId="10" applyNumberFormat="1" applyFont="1" applyFill="1" applyBorder="1" applyAlignment="1">
      <alignment horizontal="right" vertical="center" wrapText="1"/>
    </xf>
    <xf numFmtId="4" fontId="16" fillId="3" borderId="1" xfId="9" applyNumberFormat="1" applyFont="1" applyFill="1" applyBorder="1" applyAlignment="1">
      <alignment horizontal="right" vertical="center" wrapText="1"/>
    </xf>
    <xf numFmtId="49" fontId="16" fillId="7" borderId="1" xfId="10" applyNumberFormat="1" applyFont="1" applyFill="1" applyBorder="1" applyAlignment="1">
      <alignment horizontal="center" vertical="center"/>
    </xf>
    <xf numFmtId="0" fontId="23" fillId="0" borderId="1" xfId="10" applyFont="1" applyBorder="1" applyAlignment="1">
      <alignment horizontal="center" vertical="center" wrapText="1"/>
    </xf>
    <xf numFmtId="0" fontId="26" fillId="0" borderId="1" xfId="10" applyFont="1" applyBorder="1" applyAlignment="1" applyProtection="1">
      <alignment horizontal="left" vertical="center" wrapText="1"/>
      <protection locked="0"/>
    </xf>
    <xf numFmtId="0" fontId="26" fillId="0" borderId="1" xfId="10" applyFont="1" applyBorder="1" applyAlignment="1">
      <alignment horizontal="center" vertical="center" wrapText="1"/>
    </xf>
    <xf numFmtId="0" fontId="27" fillId="0" borderId="0" xfId="0" applyFont="1"/>
    <xf numFmtId="0" fontId="28" fillId="0" borderId="0" xfId="0" applyFont="1"/>
    <xf numFmtId="0" fontId="26" fillId="0" borderId="1" xfId="10" applyFont="1" applyBorder="1" applyAlignment="1">
      <alignment vertical="center" wrapText="1"/>
    </xf>
    <xf numFmtId="41" fontId="26" fillId="0" borderId="1" xfId="10" applyNumberFormat="1" applyFont="1" applyBorder="1" applyAlignment="1">
      <alignment horizontal="left" vertical="center" wrapText="1"/>
    </xf>
    <xf numFmtId="165" fontId="26" fillId="0" borderId="1" xfId="10" applyNumberFormat="1" applyFont="1" applyBorder="1" applyAlignment="1">
      <alignment horizontal="left" vertical="center" wrapText="1"/>
    </xf>
    <xf numFmtId="41" fontId="26" fillId="0" borderId="1" xfId="9" applyFont="1" applyFill="1" applyBorder="1" applyAlignment="1">
      <alignment horizontal="center" vertical="center" wrapText="1"/>
    </xf>
    <xf numFmtId="41" fontId="26" fillId="0" borderId="1" xfId="9" applyFont="1" applyFill="1" applyBorder="1" applyAlignment="1">
      <alignment vertical="center" wrapText="1"/>
    </xf>
    <xf numFmtId="166" fontId="16" fillId="3" borderId="1" xfId="10" applyNumberFormat="1" applyFont="1" applyFill="1" applyBorder="1" applyAlignment="1">
      <alignment horizontal="right" vertical="center" wrapText="1"/>
    </xf>
    <xf numFmtId="166" fontId="16" fillId="3" borderId="1" xfId="9" applyNumberFormat="1" applyFont="1" applyFill="1" applyBorder="1" applyAlignment="1">
      <alignment horizontal="center" vertical="center" wrapText="1"/>
    </xf>
    <xf numFmtId="0" fontId="26" fillId="0" borderId="1" xfId="10" applyFont="1" applyBorder="1" applyAlignment="1">
      <alignment horizontal="left" vertical="center" wrapText="1"/>
    </xf>
    <xf numFmtId="169" fontId="0" fillId="0" borderId="0" xfId="0" applyNumberFormat="1"/>
    <xf numFmtId="166" fontId="0" fillId="0" borderId="0" xfId="0" applyNumberFormat="1"/>
    <xf numFmtId="165" fontId="0" fillId="0" borderId="0" xfId="29" applyFont="1"/>
    <xf numFmtId="164" fontId="0" fillId="0" borderId="0" xfId="0" applyNumberFormat="1"/>
    <xf numFmtId="14" fontId="26" fillId="0" borderId="1" xfId="10" applyNumberFormat="1" applyFont="1" applyBorder="1" applyAlignment="1">
      <alignment horizontal="center" vertical="center" wrapText="1"/>
    </xf>
    <xf numFmtId="14" fontId="26" fillId="0" borderId="1" xfId="10" applyNumberFormat="1" applyFont="1" applyBorder="1" applyAlignment="1">
      <alignment horizontal="center" vertical="center"/>
    </xf>
    <xf numFmtId="9" fontId="26" fillId="2" borderId="1" xfId="10" applyNumberFormat="1" applyFont="1" applyFill="1" applyBorder="1" applyAlignment="1">
      <alignment horizontal="center" vertical="center" wrapText="1"/>
    </xf>
    <xf numFmtId="0" fontId="26" fillId="0" borderId="1" xfId="10" applyFont="1" applyBorder="1" applyAlignment="1">
      <alignment vertical="center"/>
    </xf>
    <xf numFmtId="170" fontId="26" fillId="0" borderId="1" xfId="9" applyNumberFormat="1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169" fontId="26" fillId="0" borderId="1" xfId="29" applyNumberFormat="1" applyFont="1" applyBorder="1" applyAlignment="1">
      <alignment horizontal="center" vertical="center"/>
    </xf>
    <xf numFmtId="9" fontId="26" fillId="0" borderId="1" xfId="10" applyNumberFormat="1" applyFont="1" applyBorder="1" applyAlignment="1">
      <alignment horizontal="center" vertical="center" wrapText="1"/>
    </xf>
    <xf numFmtId="169" fontId="26" fillId="0" borderId="1" xfId="29" applyNumberFormat="1" applyFont="1" applyFill="1" applyBorder="1" applyAlignment="1">
      <alignment horizontal="center" vertical="center" wrapText="1"/>
    </xf>
    <xf numFmtId="0" fontId="16" fillId="3" borderId="1" xfId="10" applyFont="1" applyFill="1" applyBorder="1" applyAlignment="1">
      <alignment vertical="center" wrapText="1"/>
    </xf>
    <xf numFmtId="166" fontId="16" fillId="3" borderId="1" xfId="10" applyNumberFormat="1" applyFont="1" applyFill="1" applyBorder="1" applyAlignment="1">
      <alignment vertical="center" wrapText="1"/>
    </xf>
    <xf numFmtId="0" fontId="25" fillId="0" borderId="1" xfId="10" applyFont="1" applyBorder="1" applyAlignment="1">
      <alignment horizontal="center" vertical="center" wrapText="1"/>
    </xf>
    <xf numFmtId="0" fontId="25" fillId="3" borderId="1" xfId="10" applyFont="1" applyFill="1" applyBorder="1" applyAlignment="1">
      <alignment vertical="center" wrapText="1"/>
    </xf>
    <xf numFmtId="170" fontId="25" fillId="3" borderId="1" xfId="9" applyNumberFormat="1" applyFont="1" applyFill="1" applyBorder="1" applyAlignment="1">
      <alignment horizontal="center" vertical="center" wrapText="1"/>
    </xf>
    <xf numFmtId="0" fontId="16" fillId="3" borderId="1" xfId="10" applyFont="1" applyFill="1" applyBorder="1" applyAlignment="1">
      <alignment horizontal="right" vertical="center" wrapText="1"/>
    </xf>
    <xf numFmtId="0" fontId="24" fillId="3" borderId="1" xfId="10" applyFont="1" applyFill="1" applyBorder="1" applyAlignment="1">
      <alignment vertical="center" wrapText="1"/>
    </xf>
    <xf numFmtId="166" fontId="16" fillId="3" borderId="1" xfId="29" applyNumberFormat="1" applyFont="1" applyFill="1" applyBorder="1" applyAlignment="1">
      <alignment vertical="center" wrapText="1"/>
    </xf>
    <xf numFmtId="169" fontId="16" fillId="3" borderId="1" xfId="10" applyNumberFormat="1" applyFont="1" applyFill="1" applyBorder="1" applyAlignment="1">
      <alignment vertical="center" wrapText="1"/>
    </xf>
    <xf numFmtId="0" fontId="8" fillId="0" borderId="3" xfId="16" applyBorder="1" applyAlignment="1">
      <alignment horizontal="center" vertical="center" wrapText="1"/>
    </xf>
    <xf numFmtId="0" fontId="15" fillId="0" borderId="1" xfId="16" applyFont="1" applyBorder="1" applyAlignment="1">
      <alignment horizontal="center" vertical="center" wrapText="1"/>
    </xf>
    <xf numFmtId="0" fontId="15" fillId="0" borderId="1" xfId="16" applyFont="1" applyBorder="1" applyAlignment="1">
      <alignment horizontal="center"/>
    </xf>
    <xf numFmtId="10" fontId="26" fillId="0" borderId="1" xfId="10" applyNumberFormat="1" applyFont="1" applyBorder="1" applyAlignment="1">
      <alignment horizontal="center" vertical="center" wrapText="1"/>
    </xf>
    <xf numFmtId="0" fontId="26" fillId="0" borderId="1" xfId="10" applyFont="1" applyBorder="1" applyAlignment="1">
      <alignment horizontal="center" vertical="center" wrapText="1"/>
    </xf>
    <xf numFmtId="9" fontId="26" fillId="0" borderId="1" xfId="10" applyNumberFormat="1" applyFont="1" applyBorder="1" applyAlignment="1">
      <alignment horizontal="center" vertical="center"/>
    </xf>
    <xf numFmtId="0" fontId="23" fillId="0" borderId="1" xfId="10" applyFont="1" applyBorder="1" applyAlignment="1">
      <alignment horizontal="center" vertical="center" wrapText="1"/>
    </xf>
    <xf numFmtId="14" fontId="26" fillId="0" borderId="1" xfId="10" applyNumberFormat="1" applyFont="1" applyBorder="1" applyAlignment="1">
      <alignment horizontal="center" vertical="center"/>
    </xf>
    <xf numFmtId="10" fontId="26" fillId="0" borderId="1" xfId="10" applyNumberFormat="1" applyFont="1" applyBorder="1" applyAlignment="1">
      <alignment horizontal="center" vertical="center"/>
    </xf>
    <xf numFmtId="9" fontId="26" fillId="2" borderId="1" xfId="10" applyNumberFormat="1" applyFont="1" applyFill="1" applyBorder="1" applyAlignment="1">
      <alignment horizontal="center" vertical="center" wrapText="1"/>
    </xf>
    <xf numFmtId="14" fontId="26" fillId="0" borderId="1" xfId="10" applyNumberFormat="1" applyFont="1" applyBorder="1" applyAlignment="1">
      <alignment horizontal="center" vertical="center" wrapText="1"/>
    </xf>
    <xf numFmtId="0" fontId="25" fillId="0" borderId="1" xfId="10" applyFont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26" fillId="0" borderId="1" xfId="10" applyFont="1" applyBorder="1" applyAlignment="1">
      <alignment horizontal="center" vertical="center"/>
    </xf>
    <xf numFmtId="0" fontId="16" fillId="3" borderId="1" xfId="10" applyFont="1" applyFill="1" applyBorder="1" applyAlignment="1">
      <alignment horizontal="center" vertical="center" wrapText="1"/>
    </xf>
    <xf numFmtId="0" fontId="20" fillId="7" borderId="3" xfId="10" applyFont="1" applyFill="1" applyBorder="1" applyAlignment="1">
      <alignment horizontal="center" vertical="center"/>
    </xf>
    <xf numFmtId="0" fontId="19" fillId="7" borderId="3" xfId="10" applyFont="1" applyFill="1" applyBorder="1" applyAlignment="1">
      <alignment horizontal="center" vertical="center"/>
    </xf>
    <xf numFmtId="41" fontId="16" fillId="3" borderId="1" xfId="9" applyFont="1" applyFill="1" applyBorder="1" applyAlignment="1">
      <alignment horizontal="center" vertical="center" wrapText="1"/>
    </xf>
  </cellXfs>
  <cellStyles count="30">
    <cellStyle name="Bueno 2" xfId="21" xr:uid="{00000000-0005-0000-0000-000000000000}"/>
    <cellStyle name="Comma 2" xfId="15" xr:uid="{00000000-0005-0000-0000-000001000000}"/>
    <cellStyle name="Hipervínculo" xfId="5" builtinId="8" hidden="1"/>
    <cellStyle name="Hipervínculo" xfId="7" builtinId="8" hidden="1"/>
    <cellStyle name="Hipervínculo" xfId="3" builtinId="8" hidden="1"/>
    <cellStyle name="Hipervínculo" xfId="1" builtinId="8" hidden="1"/>
    <cellStyle name="Hipervínculo visitado" xfId="6" builtinId="9" hidden="1"/>
    <cellStyle name="Hipervínculo visitado" xfId="8" builtinId="9" hidden="1"/>
    <cellStyle name="Hipervínculo visitado" xfId="4" builtinId="9" hidden="1"/>
    <cellStyle name="Hipervínculo visitado" xfId="2" builtinId="9" hidden="1"/>
    <cellStyle name="Millares" xfId="29" builtinId="3"/>
    <cellStyle name="Millares [0]" xfId="9" builtinId="6"/>
    <cellStyle name="Millares [0] 2" xfId="27" xr:uid="{00000000-0005-0000-0000-00000C000000}"/>
    <cellStyle name="Millares 2" xfId="11" xr:uid="{00000000-0005-0000-0000-00000D000000}"/>
    <cellStyle name="Millares 3" xfId="18" xr:uid="{00000000-0005-0000-0000-00000E000000}"/>
    <cellStyle name="Millares 4" xfId="28" xr:uid="{74FB781C-F7AF-4B2C-BEF3-2D02244D8643}"/>
    <cellStyle name="Moneda [0] 2" xfId="14" xr:uid="{00000000-0005-0000-0000-000011000000}"/>
    <cellStyle name="Moneda [0] 3" xfId="17" xr:uid="{00000000-0005-0000-0000-000012000000}"/>
    <cellStyle name="Moneda [0] 4" xfId="20" xr:uid="{00000000-0005-0000-0000-000013000000}"/>
    <cellStyle name="Moneda 2" xfId="26" xr:uid="{00000000-0005-0000-0000-000014000000}"/>
    <cellStyle name="Normal" xfId="0" builtinId="0"/>
    <cellStyle name="Normal 2" xfId="10" xr:uid="{00000000-0005-0000-0000-000016000000}"/>
    <cellStyle name="Normal 2 2" xfId="13" xr:uid="{00000000-0005-0000-0000-000017000000}"/>
    <cellStyle name="Normal 2 3" xfId="23" xr:uid="{00000000-0005-0000-0000-000018000000}"/>
    <cellStyle name="Normal 3" xfId="16" xr:uid="{00000000-0005-0000-0000-000019000000}"/>
    <cellStyle name="Normal 3 2" xfId="24" xr:uid="{00000000-0005-0000-0000-00001A000000}"/>
    <cellStyle name="Normal 4" xfId="19" xr:uid="{00000000-0005-0000-0000-00001B000000}"/>
    <cellStyle name="Porcentaje 2" xfId="12" xr:uid="{00000000-0005-0000-0000-00001C000000}"/>
    <cellStyle name="Porcentaje 2 2" xfId="25" xr:uid="{00000000-0005-0000-0000-00001D000000}"/>
    <cellStyle name="Porcentaje 3" xfId="22" xr:uid="{00000000-0005-0000-0000-00001E000000}"/>
  </cellStyles>
  <dxfs count="0"/>
  <tableStyles count="0" defaultTableStyle="TableStyleMedium9" defaultPivotStyle="PivotStyleMedium7"/>
  <colors>
    <mruColors>
      <color rgb="FFFFCCFF"/>
      <color rgb="FF66FF33"/>
      <color rgb="FFCCECFF"/>
      <color rgb="FF1F4E7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externalLink" Target="externalLinks/externalLink1.xml"/><Relationship Id="rId9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ngela.rodriguez\AppData\Local\Microsoft\Windows\INetCache\Content.Outlook\HLJ2LC7E\POA%20detalla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s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000"/>
  <sheetViews>
    <sheetView workbookViewId="0">
      <selection activeCell="B16" sqref="B16"/>
    </sheetView>
  </sheetViews>
  <sheetFormatPr defaultColWidth="12.7109375" defaultRowHeight="15" customHeight="1"/>
  <cols>
    <col min="1" max="1" width="7" customWidth="1"/>
    <col min="2" max="2" width="49" customWidth="1"/>
    <col min="3" max="3" width="7" customWidth="1"/>
    <col min="4" max="4" width="35.140625" customWidth="1"/>
    <col min="5" max="5" width="7" customWidth="1"/>
    <col min="6" max="6" width="9" customWidth="1"/>
    <col min="7" max="7" width="7" customWidth="1"/>
    <col min="8" max="8" width="17" customWidth="1"/>
    <col min="9" max="18" width="7" customWidth="1"/>
    <col min="19" max="26" width="10.85546875" customWidth="1"/>
  </cols>
  <sheetData>
    <row r="1" spans="1:18"/>
    <row r="2" spans="1:18">
      <c r="A2" s="1"/>
      <c r="B2" s="2" t="s">
        <v>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8">
      <c r="A3" s="1"/>
      <c r="B3" s="2" t="s">
        <v>1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</row>
    <row r="4" spans="1:18">
      <c r="A4" s="1"/>
      <c r="B4" s="2" t="s">
        <v>2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</row>
    <row r="5" spans="1:18">
      <c r="A5" s="1"/>
      <c r="B5" s="2" t="s">
        <v>3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1:18">
      <c r="A6" s="1"/>
      <c r="B6" s="2" t="s">
        <v>4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</row>
    <row r="7" spans="1:18">
      <c r="A7" s="1"/>
      <c r="B7" s="2" t="s">
        <v>5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</row>
    <row r="8" spans="1:18">
      <c r="A8" s="1"/>
      <c r="B8" s="2" t="s">
        <v>6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</row>
    <row r="9" spans="1:18">
      <c r="A9" s="1"/>
      <c r="B9" s="2" t="s">
        <v>7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</row>
    <row r="10" spans="1:18"/>
    <row r="11" spans="1:18">
      <c r="B11" s="2"/>
    </row>
    <row r="12" spans="1:18">
      <c r="B12" s="2" t="s">
        <v>8</v>
      </c>
    </row>
    <row r="13" spans="1:18">
      <c r="A13" s="1"/>
      <c r="B13" s="2" t="s">
        <v>9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</row>
    <row r="14" spans="1:18">
      <c r="A14" s="1"/>
      <c r="B14" s="2" t="s">
        <v>10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</row>
    <row r="15" spans="1:18">
      <c r="B15" s="2" t="s">
        <v>11</v>
      </c>
    </row>
    <row r="16" spans="1:18">
      <c r="B16" s="2"/>
    </row>
    <row r="17" spans="1:18">
      <c r="B17" s="2" t="s">
        <v>12</v>
      </c>
    </row>
    <row r="18" spans="1:18">
      <c r="A18" s="1"/>
      <c r="B18" s="2" t="s">
        <v>13</v>
      </c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</row>
    <row r="19" spans="1:18">
      <c r="A19" s="1"/>
      <c r="B19" s="2" t="s">
        <v>14</v>
      </c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</row>
    <row r="20" spans="1:18">
      <c r="A20" s="1"/>
      <c r="B20" s="2" t="s">
        <v>15</v>
      </c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</row>
    <row r="21" spans="1:18">
      <c r="A21" s="1"/>
      <c r="B21" s="2" t="s">
        <v>16</v>
      </c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</row>
    <row r="22" spans="1:18">
      <c r="A22" s="1"/>
      <c r="B22" s="2" t="s">
        <v>17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</row>
    <row r="23" spans="1:18" ht="15" customHeight="1">
      <c r="B23" s="2" t="s">
        <v>18</v>
      </c>
      <c r="D23" s="3"/>
    </row>
    <row r="24" spans="1:18" ht="15" customHeight="1">
      <c r="D24" s="3"/>
    </row>
    <row r="25" spans="1:18" ht="15" customHeight="1">
      <c r="D25" s="3"/>
    </row>
    <row r="26" spans="1:18" ht="15" customHeight="1">
      <c r="D26" s="3"/>
    </row>
    <row r="27" spans="1:18" ht="15" customHeight="1">
      <c r="D27" s="3"/>
    </row>
    <row r="28" spans="1:18" ht="15" customHeight="1">
      <c r="D28" s="3"/>
    </row>
    <row r="29" spans="1:18" ht="15" customHeight="1">
      <c r="D29" s="3"/>
    </row>
    <row r="30" spans="1:18" ht="15" customHeight="1">
      <c r="D30" s="3"/>
    </row>
    <row r="31" spans="1:18" ht="15" customHeight="1">
      <c r="D31" s="3"/>
    </row>
    <row r="32" spans="1:18" ht="15" customHeight="1">
      <c r="D32" s="3"/>
    </row>
    <row r="33" spans="4:4" ht="15" customHeight="1">
      <c r="D33" s="3"/>
    </row>
    <row r="34" spans="4:4" ht="15" customHeight="1">
      <c r="D34" s="3"/>
    </row>
    <row r="35" spans="4:4" ht="15" customHeight="1">
      <c r="D35" s="3"/>
    </row>
    <row r="36" spans="4:4" ht="15" customHeight="1">
      <c r="D36" s="3"/>
    </row>
    <row r="37" spans="4:4" ht="15" customHeight="1">
      <c r="D37" s="3"/>
    </row>
    <row r="38" spans="4:4" ht="15" customHeight="1">
      <c r="D38" s="3"/>
    </row>
    <row r="39" spans="4:4" ht="15" customHeight="1">
      <c r="D39" s="3"/>
    </row>
    <row r="40" spans="4:4" ht="15" customHeight="1">
      <c r="D40" s="3"/>
    </row>
    <row r="41" spans="4:4" ht="15" customHeight="1">
      <c r="D41" s="3"/>
    </row>
    <row r="42" spans="4:4">
      <c r="D42" s="3"/>
    </row>
    <row r="43" spans="4:4"/>
    <row r="44" spans="4:4"/>
    <row r="45" spans="4:4"/>
    <row r="46" spans="4:4"/>
    <row r="47" spans="4:4"/>
    <row r="48" spans="4:4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  <row r="326"/>
    <row r="327"/>
    <row r="328"/>
    <row r="329"/>
    <row r="330"/>
    <row r="331"/>
    <row r="332"/>
    <row r="333"/>
    <row r="334"/>
    <row r="335"/>
    <row r="336"/>
    <row r="337"/>
    <row r="338"/>
    <row r="339"/>
    <row r="340"/>
    <row r="341"/>
    <row r="342"/>
    <row r="343"/>
    <row r="344"/>
    <row r="345"/>
    <row r="346"/>
    <row r="347"/>
    <row r="348"/>
    <row r="349"/>
    <row r="350"/>
    <row r="351"/>
    <row r="352"/>
    <row r="353"/>
    <row r="354"/>
    <row r="355"/>
    <row r="356"/>
    <row r="357"/>
    <row r="358"/>
    <row r="359"/>
    <row r="360"/>
    <row r="361"/>
    <row r="362"/>
    <row r="363"/>
    <row r="364"/>
    <row r="365"/>
    <row r="366"/>
    <row r="367"/>
    <row r="368"/>
    <row r="369"/>
    <row r="370"/>
    <row r="371"/>
    <row r="372"/>
    <row r="373"/>
    <row r="374"/>
    <row r="375"/>
    <row r="376"/>
    <row r="377"/>
    <row r="378"/>
    <row r="379"/>
    <row r="380"/>
    <row r="381"/>
    <row r="382"/>
    <row r="383"/>
    <row r="384"/>
    <row r="385"/>
    <row r="386"/>
    <row r="387"/>
    <row r="388"/>
    <row r="389"/>
    <row r="390"/>
    <row r="391"/>
    <row r="392"/>
    <row r="393"/>
    <row r="394"/>
    <row r="395"/>
    <row r="396"/>
    <row r="397"/>
    <row r="398"/>
    <row r="399"/>
    <row r="400"/>
    <row r="401"/>
    <row r="402"/>
    <row r="403"/>
    <row r="404"/>
    <row r="405"/>
    <row r="406"/>
    <row r="407"/>
    <row r="408"/>
    <row r="409"/>
    <row r="410"/>
    <row r="411"/>
    <row r="412"/>
    <row r="413"/>
    <row r="414"/>
    <row r="415"/>
    <row r="416"/>
    <row r="417"/>
    <row r="418"/>
    <row r="419"/>
    <row r="420"/>
    <row r="421"/>
    <row r="422"/>
    <row r="423"/>
    <row r="424"/>
    <row r="425"/>
    <row r="426"/>
    <row r="427"/>
    <row r="428"/>
    <row r="429"/>
    <row r="430"/>
    <row r="431"/>
    <row r="432"/>
    <row r="433"/>
    <row r="434"/>
    <row r="435"/>
    <row r="436"/>
    <row r="437"/>
    <row r="438"/>
    <row r="439"/>
    <row r="440"/>
    <row r="441"/>
    <row r="442"/>
    <row r="443"/>
    <row r="444"/>
    <row r="445"/>
    <row r="446"/>
    <row r="447"/>
    <row r="448"/>
    <row r="449"/>
    <row r="450"/>
    <row r="451"/>
    <row r="452"/>
    <row r="453"/>
    <row r="454"/>
    <row r="455"/>
    <row r="456"/>
    <row r="457"/>
    <row r="458"/>
    <row r="459"/>
    <row r="460"/>
    <row r="461"/>
    <row r="462"/>
    <row r="463"/>
    <row r="464"/>
    <row r="465"/>
    <row r="466"/>
    <row r="467"/>
    <row r="468"/>
    <row r="469"/>
    <row r="470"/>
    <row r="471"/>
    <row r="472"/>
    <row r="473"/>
    <row r="474"/>
    <row r="475"/>
    <row r="476"/>
    <row r="477"/>
    <row r="478"/>
    <row r="479"/>
    <row r="480"/>
    <row r="481"/>
    <row r="482"/>
    <row r="483"/>
    <row r="484"/>
    <row r="485"/>
    <row r="486"/>
    <row r="487"/>
    <row r="488"/>
    <row r="489"/>
    <row r="490"/>
    <row r="491"/>
    <row r="492"/>
    <row r="493"/>
    <row r="494"/>
    <row r="495"/>
    <row r="496"/>
    <row r="497"/>
    <row r="498"/>
    <row r="499"/>
    <row r="500"/>
    <row r="501"/>
    <row r="502"/>
    <row r="503"/>
    <row r="504"/>
    <row r="505"/>
    <row r="506"/>
    <row r="507"/>
    <row r="508"/>
    <row r="509"/>
    <row r="510"/>
    <row r="511"/>
    <row r="512"/>
    <row r="513"/>
    <row r="514"/>
    <row r="515"/>
    <row r="516"/>
    <row r="517"/>
    <row r="518"/>
    <row r="519"/>
    <row r="520"/>
    <row r="521"/>
    <row r="522"/>
    <row r="523"/>
    <row r="524"/>
    <row r="525"/>
    <row r="526"/>
    <row r="527"/>
    <row r="528"/>
    <row r="529"/>
    <row r="530"/>
    <row r="531"/>
    <row r="532"/>
    <row r="533"/>
    <row r="534"/>
    <row r="535"/>
    <row r="536"/>
    <row r="537"/>
    <row r="538"/>
    <row r="539"/>
    <row r="540"/>
    <row r="541"/>
    <row r="542"/>
    <row r="543"/>
    <row r="544"/>
    <row r="545"/>
    <row r="546"/>
    <row r="547"/>
    <row r="548"/>
    <row r="549"/>
    <row r="550"/>
    <row r="551"/>
    <row r="552"/>
    <row r="553"/>
    <row r="554"/>
    <row r="555"/>
    <row r="556"/>
    <row r="557"/>
    <row r="558"/>
    <row r="559"/>
    <row r="560"/>
    <row r="561"/>
    <row r="562"/>
    <row r="563"/>
    <row r="564"/>
    <row r="565"/>
    <row r="566"/>
    <row r="567"/>
    <row r="568"/>
    <row r="569"/>
    <row r="570"/>
    <row r="571"/>
    <row r="572"/>
    <row r="573"/>
    <row r="574"/>
    <row r="575"/>
    <row r="576"/>
    <row r="577"/>
    <row r="578"/>
    <row r="579"/>
    <row r="580"/>
    <row r="581"/>
    <row r="582"/>
    <row r="583"/>
    <row r="584"/>
    <row r="585"/>
    <row r="586"/>
    <row r="587"/>
    <row r="588"/>
    <row r="589"/>
    <row r="590"/>
    <row r="591"/>
    <row r="592"/>
    <row r="593"/>
    <row r="594"/>
    <row r="595"/>
    <row r="596"/>
    <row r="597"/>
    <row r="598"/>
    <row r="599"/>
    <row r="600"/>
    <row r="601"/>
    <row r="602"/>
    <row r="603"/>
    <row r="604"/>
    <row r="605"/>
    <row r="606"/>
    <row r="607"/>
    <row r="608"/>
    <row r="609"/>
    <row r="610"/>
    <row r="611"/>
    <row r="612"/>
    <row r="613"/>
    <row r="614"/>
    <row r="615"/>
    <row r="616"/>
    <row r="617"/>
    <row r="618"/>
    <row r="619"/>
    <row r="620"/>
    <row r="621"/>
    <row r="622"/>
    <row r="623"/>
    <row r="624"/>
    <row r="625"/>
    <row r="626"/>
    <row r="627"/>
    <row r="628"/>
    <row r="629"/>
    <row r="630"/>
    <row r="631"/>
    <row r="632"/>
    <row r="633"/>
    <row r="634"/>
    <row r="635"/>
    <row r="636"/>
    <row r="637"/>
    <row r="638"/>
    <row r="639"/>
    <row r="640"/>
    <row r="641"/>
    <row r="642"/>
    <row r="643"/>
    <row r="644"/>
    <row r="645"/>
    <row r="646"/>
    <row r="647"/>
    <row r="648"/>
    <row r="649"/>
    <row r="650"/>
    <row r="651"/>
    <row r="652"/>
    <row r="653"/>
    <row r="654"/>
    <row r="655"/>
    <row r="656"/>
    <row r="657"/>
    <row r="658"/>
    <row r="659"/>
    <row r="660"/>
    <row r="661"/>
    <row r="662"/>
    <row r="663"/>
    <row r="664"/>
    <row r="665"/>
    <row r="666"/>
    <row r="667"/>
    <row r="668"/>
    <row r="669"/>
    <row r="670"/>
    <row r="671"/>
    <row r="672"/>
    <row r="673"/>
    <row r="674"/>
    <row r="675"/>
    <row r="676"/>
    <row r="677"/>
    <row r="678"/>
    <row r="679"/>
    <row r="680"/>
    <row r="681"/>
    <row r="682"/>
    <row r="683"/>
    <row r="684"/>
    <row r="685"/>
    <row r="686"/>
    <row r="687"/>
    <row r="688"/>
    <row r="689"/>
    <row r="690"/>
    <row r="691"/>
    <row r="692"/>
    <row r="693"/>
    <row r="694"/>
    <row r="695"/>
    <row r="696"/>
    <row r="697"/>
    <row r="698"/>
    <row r="699"/>
    <row r="700"/>
    <row r="701"/>
    <row r="702"/>
    <row r="703"/>
    <row r="704"/>
    <row r="705"/>
    <row r="706"/>
    <row r="707"/>
    <row r="708"/>
    <row r="709"/>
    <row r="710"/>
    <row r="711"/>
    <row r="712"/>
    <row r="713"/>
    <row r="714"/>
    <row r="715"/>
    <row r="716"/>
    <row r="717"/>
    <row r="718"/>
    <row r="719"/>
    <row r="720"/>
    <row r="721"/>
    <row r="722"/>
    <row r="723"/>
    <row r="724"/>
    <row r="725"/>
    <row r="726"/>
    <row r="727"/>
    <row r="728"/>
    <row r="729"/>
    <row r="730"/>
    <row r="731"/>
    <row r="732"/>
    <row r="733"/>
    <row r="734"/>
    <row r="735"/>
    <row r="736"/>
    <row r="737"/>
    <row r="738"/>
    <row r="739"/>
    <row r="740"/>
    <row r="741"/>
    <row r="742"/>
    <row r="743"/>
    <row r="744"/>
    <row r="745"/>
    <row r="746"/>
    <row r="747"/>
    <row r="748"/>
    <row r="749"/>
    <row r="750"/>
    <row r="751"/>
    <row r="752"/>
    <row r="753"/>
    <row r="754"/>
    <row r="755"/>
    <row r="756"/>
    <row r="757"/>
    <row r="758"/>
    <row r="759"/>
    <row r="760"/>
    <row r="761"/>
    <row r="762"/>
    <row r="763"/>
    <row r="764"/>
    <row r="765"/>
    <row r="766"/>
    <row r="767"/>
    <row r="768"/>
    <row r="769"/>
    <row r="770"/>
    <row r="771"/>
    <row r="772"/>
    <row r="773"/>
    <row r="774"/>
    <row r="775"/>
    <row r="776"/>
    <row r="777"/>
    <row r="778"/>
    <row r="779"/>
    <row r="780"/>
    <row r="781"/>
    <row r="782"/>
    <row r="783"/>
    <row r="784"/>
    <row r="785"/>
    <row r="786"/>
    <row r="787"/>
    <row r="788"/>
    <row r="789"/>
    <row r="790"/>
    <row r="791"/>
    <row r="792"/>
    <row r="793"/>
    <row r="794"/>
    <row r="795"/>
    <row r="796"/>
    <row r="797"/>
    <row r="798"/>
    <row r="799"/>
    <row r="800"/>
    <row r="801"/>
    <row r="802"/>
    <row r="803"/>
    <row r="804"/>
    <row r="805"/>
    <row r="806"/>
    <row r="807"/>
    <row r="808"/>
    <row r="809"/>
    <row r="810"/>
    <row r="811"/>
    <row r="812"/>
    <row r="813"/>
    <row r="814"/>
    <row r="815"/>
    <row r="816"/>
    <row r="817"/>
    <row r="818"/>
    <row r="819"/>
    <row r="820"/>
    <row r="821"/>
    <row r="822"/>
    <row r="823"/>
    <row r="824"/>
    <row r="825"/>
    <row r="826"/>
    <row r="827"/>
    <row r="828"/>
    <row r="829"/>
    <row r="830"/>
    <row r="831"/>
    <row r="832"/>
    <row r="833"/>
    <row r="834"/>
    <row r="835"/>
    <row r="836"/>
    <row r="837"/>
    <row r="838"/>
    <row r="839"/>
    <row r="840"/>
    <row r="841"/>
    <row r="842"/>
    <row r="843"/>
    <row r="844"/>
    <row r="845"/>
    <row r="846"/>
    <row r="847"/>
    <row r="848"/>
    <row r="849"/>
    <row r="850"/>
    <row r="851"/>
    <row r="852"/>
    <row r="853"/>
    <row r="854"/>
    <row r="855"/>
    <row r="856"/>
    <row r="857"/>
    <row r="858"/>
    <row r="859"/>
    <row r="860"/>
    <row r="861"/>
    <row r="862"/>
    <row r="863"/>
    <row r="864"/>
    <row r="865"/>
    <row r="866"/>
    <row r="867"/>
    <row r="868"/>
    <row r="869"/>
    <row r="870"/>
    <row r="871"/>
    <row r="872"/>
    <row r="873"/>
    <row r="874"/>
    <row r="875"/>
    <row r="876"/>
    <row r="877"/>
    <row r="878"/>
    <row r="879"/>
    <row r="880"/>
    <row r="881"/>
    <row r="882"/>
    <row r="883"/>
    <row r="884"/>
    <row r="885"/>
    <row r="886"/>
    <row r="887"/>
    <row r="888"/>
    <row r="889"/>
    <row r="890"/>
    <row r="891"/>
    <row r="892"/>
    <row r="893"/>
    <row r="894"/>
    <row r="895"/>
    <row r="896"/>
    <row r="897"/>
    <row r="898"/>
    <row r="899"/>
    <row r="900"/>
    <row r="901"/>
    <row r="902"/>
    <row r="903"/>
    <row r="904"/>
    <row r="905"/>
    <row r="906"/>
    <row r="907"/>
    <row r="908"/>
    <row r="909"/>
    <row r="910"/>
    <row r="911"/>
    <row r="912"/>
    <row r="913"/>
    <row r="914"/>
    <row r="915"/>
    <row r="916"/>
    <row r="917"/>
    <row r="918"/>
    <row r="919"/>
    <row r="920"/>
    <row r="921"/>
    <row r="922"/>
    <row r="923"/>
    <row r="924"/>
    <row r="925"/>
    <row r="926"/>
    <row r="927"/>
    <row r="928"/>
    <row r="929"/>
    <row r="930"/>
    <row r="931"/>
    <row r="932"/>
    <row r="933"/>
    <row r="934"/>
    <row r="935"/>
    <row r="936"/>
    <row r="937"/>
    <row r="938"/>
    <row r="939"/>
    <row r="940"/>
    <row r="941"/>
    <row r="942"/>
    <row r="943"/>
    <row r="944"/>
    <row r="945"/>
    <row r="946"/>
    <row r="947"/>
    <row r="948"/>
    <row r="949"/>
    <row r="950"/>
    <row r="951"/>
    <row r="952"/>
    <row r="953"/>
    <row r="954"/>
    <row r="955"/>
    <row r="956"/>
    <row r="957"/>
    <row r="958"/>
    <row r="959"/>
    <row r="960"/>
    <row r="961"/>
    <row r="962"/>
    <row r="963"/>
    <row r="964"/>
    <row r="965"/>
    <row r="966"/>
    <row r="967"/>
    <row r="968"/>
    <row r="969"/>
    <row r="970"/>
    <row r="971"/>
    <row r="972"/>
    <row r="973"/>
    <row r="974"/>
    <row r="975"/>
    <row r="976"/>
    <row r="977"/>
    <row r="978"/>
    <row r="979"/>
    <row r="980"/>
    <row r="981"/>
    <row r="982"/>
    <row r="983"/>
    <row r="984"/>
    <row r="985"/>
    <row r="986"/>
    <row r="987"/>
    <row r="988"/>
    <row r="989"/>
    <row r="990"/>
    <row r="991"/>
    <row r="992"/>
    <row r="993"/>
    <row r="994"/>
    <row r="995"/>
    <row r="996"/>
    <row r="997"/>
    <row r="998"/>
    <row r="999"/>
    <row r="1000"/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'C:\Users\angela.rodriguez\AppData\Local\Microsoft\Windows\INetCache\Content.Outlook\HLJ2LC7E\[POA detallado.xlsx]Listas'!#REF!</xm:f>
          </x14:formula1>
          <xm:sqref>B13:B14 B18:B22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47"/>
  <sheetViews>
    <sheetView showRuler="0" showWhiteSpace="0" topLeftCell="D10" zoomScale="67" zoomScaleNormal="70" zoomScalePageLayoutView="70" workbookViewId="0">
      <selection activeCell="K15" sqref="K15"/>
    </sheetView>
  </sheetViews>
  <sheetFormatPr defaultColWidth="11.42578125" defaultRowHeight="15"/>
  <cols>
    <col min="1" max="1" width="23.42578125" style="4" customWidth="1"/>
    <col min="2" max="2" width="20.42578125" style="11" bestFit="1" customWidth="1"/>
    <col min="3" max="3" width="24.42578125" style="4" customWidth="1"/>
    <col min="4" max="4" width="26.7109375" style="4" customWidth="1"/>
    <col min="5" max="5" width="23.28515625" style="4" customWidth="1"/>
    <col min="6" max="6" width="23.140625" style="4" customWidth="1"/>
    <col min="7" max="7" width="15.28515625" style="4" customWidth="1"/>
    <col min="8" max="8" width="11.42578125" style="4"/>
    <col min="9" max="9" width="23.42578125" style="4" customWidth="1"/>
    <col min="10" max="10" width="19.42578125" style="4" bestFit="1" customWidth="1"/>
    <col min="11" max="11" width="42" style="4" customWidth="1"/>
    <col min="12" max="12" width="26" style="4" customWidth="1"/>
    <col min="13" max="13" width="26.28515625" style="4" customWidth="1"/>
    <col min="14" max="14" width="37.140625" style="4" bestFit="1" customWidth="1"/>
    <col min="15" max="16384" width="11.42578125" style="4"/>
  </cols>
  <sheetData>
    <row r="1" spans="1:14">
      <c r="A1" s="74" t="s">
        <v>19</v>
      </c>
      <c r="B1" s="74"/>
      <c r="C1" s="74"/>
      <c r="D1" s="74"/>
    </row>
    <row r="2" spans="1:14" ht="25.5">
      <c r="A2" s="5" t="s">
        <v>20</v>
      </c>
      <c r="B2" s="6" t="s">
        <v>21</v>
      </c>
      <c r="C2" s="14" t="s">
        <v>22</v>
      </c>
      <c r="D2" s="14">
        <v>11</v>
      </c>
      <c r="E2" s="26">
        <v>2018</v>
      </c>
      <c r="F2" s="26">
        <v>2019</v>
      </c>
    </row>
    <row r="3" spans="1:14" ht="52.5" customHeight="1">
      <c r="A3" s="5" t="s">
        <v>23</v>
      </c>
      <c r="B3" s="6">
        <v>1</v>
      </c>
      <c r="C3" s="16">
        <v>13110646.32</v>
      </c>
      <c r="D3" s="16">
        <f>C3*11</f>
        <v>144217109.52000001</v>
      </c>
      <c r="E3" s="16">
        <f>((D3/11)*8)+5225335.41+12627893.9</f>
        <v>122738399.87</v>
      </c>
      <c r="F3" s="16">
        <f>+C3*3</f>
        <v>39331938.960000001</v>
      </c>
    </row>
    <row r="4" spans="1:14" ht="64.5" customHeight="1">
      <c r="A4" s="5" t="s">
        <v>24</v>
      </c>
      <c r="B4" s="6">
        <v>1</v>
      </c>
      <c r="C4" s="16">
        <v>8547530.0600000005</v>
      </c>
      <c r="D4" s="16">
        <f>C4*11</f>
        <v>94022830.660000011</v>
      </c>
      <c r="E4" s="16">
        <f>(D4/11)*8</f>
        <v>68380240.480000004</v>
      </c>
      <c r="F4" s="16">
        <f>D4-E4</f>
        <v>25642590.180000007</v>
      </c>
    </row>
    <row r="5" spans="1:14" ht="59.25" customHeight="1">
      <c r="A5" s="23" t="s">
        <v>25</v>
      </c>
      <c r="B5" s="6">
        <v>1</v>
      </c>
      <c r="C5" s="16">
        <f>C4</f>
        <v>8547530.0600000005</v>
      </c>
      <c r="D5" s="16">
        <f>+C5*10</f>
        <v>85475300.600000009</v>
      </c>
      <c r="E5" s="16">
        <f>(D5/10)*7</f>
        <v>59832710.420000002</v>
      </c>
      <c r="F5" s="16">
        <f>D5-E5</f>
        <v>25642590.180000007</v>
      </c>
      <c r="I5" s="8" t="s">
        <v>26</v>
      </c>
      <c r="J5" s="8" t="s">
        <v>27</v>
      </c>
      <c r="K5" s="8" t="s">
        <v>28</v>
      </c>
    </row>
    <row r="6" spans="1:14" ht="37.5" customHeight="1">
      <c r="A6" s="25" t="s">
        <v>29</v>
      </c>
      <c r="B6" s="6">
        <v>0</v>
      </c>
      <c r="C6" s="16"/>
      <c r="D6" s="16"/>
      <c r="E6" s="26"/>
      <c r="F6" s="26"/>
      <c r="I6" s="9" t="s">
        <v>19</v>
      </c>
      <c r="J6" s="9">
        <f>B13</f>
        <v>9</v>
      </c>
      <c r="K6" s="18">
        <f>D13</f>
        <v>705828904.48000002</v>
      </c>
    </row>
    <row r="7" spans="1:14" ht="53.25" customHeight="1">
      <c r="A7" s="5" t="s">
        <v>30</v>
      </c>
      <c r="B7" s="6">
        <v>1</v>
      </c>
      <c r="C7" s="16">
        <f>C4</f>
        <v>8547530.0600000005</v>
      </c>
      <c r="D7" s="16">
        <f>C7*10</f>
        <v>85475300.600000009</v>
      </c>
      <c r="E7" s="16">
        <f>(D7/10)*7</f>
        <v>59832710.420000002</v>
      </c>
      <c r="F7" s="16">
        <f t="shared" ref="F7:F12" si="0">D7-E7</f>
        <v>25642590.180000007</v>
      </c>
      <c r="I7" s="9" t="s">
        <v>31</v>
      </c>
      <c r="J7" s="9">
        <f>B26</f>
        <v>32</v>
      </c>
      <c r="K7" s="18">
        <f>D26</f>
        <v>1622072825.8800001</v>
      </c>
      <c r="L7" s="28"/>
    </row>
    <row r="8" spans="1:14" ht="37.5" customHeight="1">
      <c r="A8" s="5" t="s">
        <v>32</v>
      </c>
      <c r="B8" s="6">
        <v>1</v>
      </c>
      <c r="C8" s="16">
        <v>5394689.4500000002</v>
      </c>
      <c r="D8" s="16">
        <f>C8*11</f>
        <v>59341583.950000003</v>
      </c>
      <c r="E8" s="16">
        <f>((D8/11)*8)+2361311.35</f>
        <v>45518826.950000003</v>
      </c>
      <c r="F8" s="16">
        <f>+C8*3</f>
        <v>16184068.350000001</v>
      </c>
      <c r="I8" s="9" t="s">
        <v>33</v>
      </c>
      <c r="J8" s="9">
        <f>B37</f>
        <v>78</v>
      </c>
      <c r="K8" s="18">
        <f>D37</f>
        <v>3618222321.8700004</v>
      </c>
    </row>
    <row r="9" spans="1:14" ht="52.5" customHeight="1">
      <c r="A9" s="5" t="s">
        <v>34</v>
      </c>
      <c r="B9" s="6">
        <v>1</v>
      </c>
      <c r="C9" s="16">
        <v>6971109.7599999998</v>
      </c>
      <c r="D9" s="16">
        <f>+C9*9</f>
        <v>62739987.839999996</v>
      </c>
      <c r="E9" s="16">
        <f>(D9/9)*6</f>
        <v>41826658.560000002</v>
      </c>
      <c r="F9" s="16">
        <f t="shared" si="0"/>
        <v>20913329.279999994</v>
      </c>
      <c r="I9" s="10" t="s">
        <v>35</v>
      </c>
      <c r="J9" s="10">
        <f>J8+J7+J6</f>
        <v>119</v>
      </c>
      <c r="K9" s="19">
        <f>SUM(K6:K8)</f>
        <v>5946124052.2300005</v>
      </c>
      <c r="L9" s="20"/>
    </row>
    <row r="10" spans="1:14" ht="51">
      <c r="A10" s="21" t="s">
        <v>36</v>
      </c>
      <c r="B10" s="6">
        <v>1</v>
      </c>
      <c r="C10" s="16">
        <f>C9</f>
        <v>6971109.7599999998</v>
      </c>
      <c r="D10" s="16">
        <f>C10*11</f>
        <v>76682207.359999999</v>
      </c>
      <c r="E10" s="16">
        <f>((D10/11)*8)+6634832.43</f>
        <v>62403710.509999998</v>
      </c>
      <c r="F10" s="16">
        <f>+C10*3</f>
        <v>20913329.280000001</v>
      </c>
      <c r="I10" s="15"/>
      <c r="J10" s="15"/>
      <c r="K10" s="20"/>
    </row>
    <row r="11" spans="1:14" ht="38.25">
      <c r="A11" s="21" t="s">
        <v>37</v>
      </c>
      <c r="B11" s="6">
        <v>1</v>
      </c>
      <c r="C11" s="16">
        <v>3503000</v>
      </c>
      <c r="D11" s="16">
        <f>C11*11</f>
        <v>38533000</v>
      </c>
      <c r="E11" s="16">
        <f>(D11/11)*8</f>
        <v>28024000</v>
      </c>
      <c r="F11" s="16">
        <f t="shared" si="0"/>
        <v>10509000</v>
      </c>
      <c r="I11" s="29" t="s">
        <v>38</v>
      </c>
      <c r="J11" s="29" t="s">
        <v>39</v>
      </c>
      <c r="K11" s="30" t="s">
        <v>28</v>
      </c>
      <c r="L11" s="26" t="s">
        <v>26</v>
      </c>
      <c r="M11" s="26">
        <v>2018</v>
      </c>
      <c r="N11" s="26">
        <v>2019</v>
      </c>
    </row>
    <row r="12" spans="1:14" ht="49.5" customHeight="1">
      <c r="A12" s="21" t="s">
        <v>40</v>
      </c>
      <c r="B12" s="6">
        <v>1</v>
      </c>
      <c r="C12" s="16">
        <f>C8</f>
        <v>5394689.4500000002</v>
      </c>
      <c r="D12" s="16">
        <f>C12*11</f>
        <v>59341583.950000003</v>
      </c>
      <c r="E12" s="16">
        <f>(D12/11)*8</f>
        <v>43157515.600000001</v>
      </c>
      <c r="F12" s="16">
        <f t="shared" si="0"/>
        <v>16184068.350000001</v>
      </c>
      <c r="I12" s="26" t="s">
        <v>41</v>
      </c>
      <c r="J12" s="26">
        <v>10</v>
      </c>
      <c r="K12" s="31">
        <f>+M12+N12</f>
        <v>745695474.03000009</v>
      </c>
      <c r="L12" s="26" t="s">
        <v>42</v>
      </c>
      <c r="M12" s="27">
        <f>+E3+E4+E5+E7+E8+E9+E25</f>
        <v>527602093.50000006</v>
      </c>
      <c r="N12" s="27">
        <f>+F3+F4+F5+F7+F8+F9+F25</f>
        <v>218093380.53000003</v>
      </c>
    </row>
    <row r="13" spans="1:14">
      <c r="A13" s="5" t="s">
        <v>35</v>
      </c>
      <c r="B13" s="6">
        <f>SUM(B3:B12)</f>
        <v>9</v>
      </c>
      <c r="C13" s="17">
        <f>SUM(C3:C12)</f>
        <v>66987834.920000009</v>
      </c>
      <c r="D13" s="17">
        <f>SUM(D3:D12)</f>
        <v>705828904.48000002</v>
      </c>
      <c r="E13" s="31">
        <f>SUM(E3:E12)</f>
        <v>531714772.81000006</v>
      </c>
      <c r="F13" s="31">
        <f>SUM(F3:F12)</f>
        <v>200963504.76000002</v>
      </c>
      <c r="I13" s="26" t="s">
        <v>43</v>
      </c>
      <c r="J13" s="26">
        <v>1</v>
      </c>
      <c r="K13" s="27">
        <f>+M13+N13</f>
        <v>83317039.789999992</v>
      </c>
      <c r="L13" s="26" t="s">
        <v>42</v>
      </c>
      <c r="M13" s="27">
        <f>E10</f>
        <v>62403710.509999998</v>
      </c>
      <c r="N13" s="27">
        <f>F10</f>
        <v>20913329.280000001</v>
      </c>
    </row>
    <row r="14" spans="1:14">
      <c r="I14" s="26" t="s">
        <v>43</v>
      </c>
      <c r="J14" s="26">
        <v>112</v>
      </c>
      <c r="K14" s="27">
        <f>+M14+N14</f>
        <v>5143960911.5</v>
      </c>
      <c r="L14" s="26" t="s">
        <v>44</v>
      </c>
      <c r="M14" s="27">
        <f>E26+E37-E25+E11+E12</f>
        <v>3381572082.9799995</v>
      </c>
      <c r="N14" s="27">
        <f>+F26+F37-F25+F11+F12</f>
        <v>1762388828.52</v>
      </c>
    </row>
    <row r="16" spans="1:14">
      <c r="A16" s="75" t="s">
        <v>31</v>
      </c>
      <c r="B16" s="75"/>
      <c r="C16" s="75"/>
      <c r="D16" s="75"/>
      <c r="E16" s="26"/>
      <c r="F16" s="26"/>
    </row>
    <row r="17" spans="1:6" ht="25.5">
      <c r="A17" s="5" t="s">
        <v>20</v>
      </c>
      <c r="B17" s="6" t="s">
        <v>21</v>
      </c>
      <c r="C17" s="14" t="s">
        <v>22</v>
      </c>
      <c r="D17" s="14">
        <v>8</v>
      </c>
      <c r="E17" s="29">
        <v>2018</v>
      </c>
      <c r="F17" s="29">
        <v>2019</v>
      </c>
    </row>
    <row r="18" spans="1:6" ht="38.25">
      <c r="A18" s="5" t="s">
        <v>45</v>
      </c>
      <c r="B18" s="7">
        <v>4</v>
      </c>
      <c r="C18" s="16">
        <f>C4</f>
        <v>8547530.0600000005</v>
      </c>
      <c r="D18" s="16">
        <f>(C18*B18)*$D$17</f>
        <v>273520961.92000002</v>
      </c>
      <c r="E18" s="16">
        <f t="shared" ref="E18:E23" si="1">(D18/8)*5</f>
        <v>170950601.20000002</v>
      </c>
      <c r="F18" s="16">
        <f t="shared" ref="F18:F25" si="2">D18-E18</f>
        <v>102570360.72</v>
      </c>
    </row>
    <row r="19" spans="1:6" ht="42.75" customHeight="1">
      <c r="A19" s="5" t="s">
        <v>46</v>
      </c>
      <c r="B19" s="7">
        <v>4</v>
      </c>
      <c r="C19" s="16">
        <f>C10</f>
        <v>6971109.7599999998</v>
      </c>
      <c r="D19" s="16">
        <f t="shared" ref="D19:D23" si="3">(C19*B19)*$D$17</f>
        <v>223075512.31999999</v>
      </c>
      <c r="E19" s="16">
        <f t="shared" si="1"/>
        <v>139422195.19999999</v>
      </c>
      <c r="F19" s="16">
        <f t="shared" si="2"/>
        <v>83653317.120000005</v>
      </c>
    </row>
    <row r="20" spans="1:6" ht="38.25">
      <c r="A20" s="5" t="s">
        <v>47</v>
      </c>
      <c r="B20" s="7">
        <v>4</v>
      </c>
      <c r="C20" s="16">
        <f>C12</f>
        <v>5394689.4500000002</v>
      </c>
      <c r="D20" s="16">
        <f t="shared" si="3"/>
        <v>172630062.40000001</v>
      </c>
      <c r="E20" s="16">
        <f t="shared" si="1"/>
        <v>107893789</v>
      </c>
      <c r="F20" s="16">
        <f t="shared" si="2"/>
        <v>64736273.400000006</v>
      </c>
    </row>
    <row r="21" spans="1:6" ht="48.75" customHeight="1">
      <c r="A21" s="5" t="s">
        <v>48</v>
      </c>
      <c r="B21" s="7">
        <v>4</v>
      </c>
      <c r="C21" s="16">
        <f>C19</f>
        <v>6971109.7599999998</v>
      </c>
      <c r="D21" s="16">
        <f t="shared" si="3"/>
        <v>223075512.31999999</v>
      </c>
      <c r="E21" s="16">
        <f t="shared" si="1"/>
        <v>139422195.19999999</v>
      </c>
      <c r="F21" s="16">
        <f t="shared" si="2"/>
        <v>83653317.120000005</v>
      </c>
    </row>
    <row r="22" spans="1:6" ht="45.75" customHeight="1">
      <c r="A22" s="5" t="s">
        <v>49</v>
      </c>
      <c r="B22" s="7">
        <v>4</v>
      </c>
      <c r="C22" s="16">
        <f>C20</f>
        <v>5394689.4500000002</v>
      </c>
      <c r="D22" s="16">
        <f t="shared" si="3"/>
        <v>172630062.40000001</v>
      </c>
      <c r="E22" s="16">
        <f t="shared" si="1"/>
        <v>107893789</v>
      </c>
      <c r="F22" s="16">
        <f t="shared" si="2"/>
        <v>64736273.400000006</v>
      </c>
    </row>
    <row r="23" spans="1:6" ht="41.25" customHeight="1">
      <c r="A23" s="5" t="s">
        <v>50</v>
      </c>
      <c r="B23" s="7">
        <v>4</v>
      </c>
      <c r="C23" s="16">
        <f>C19</f>
        <v>6971109.7599999998</v>
      </c>
      <c r="D23" s="16">
        <f t="shared" si="3"/>
        <v>223075512.31999999</v>
      </c>
      <c r="E23" s="16">
        <f t="shared" si="1"/>
        <v>139422195.19999999</v>
      </c>
      <c r="F23" s="16">
        <f t="shared" si="2"/>
        <v>83653317.120000005</v>
      </c>
    </row>
    <row r="24" spans="1:6" ht="57.75" customHeight="1">
      <c r="A24" s="5" t="s">
        <v>51</v>
      </c>
      <c r="B24" s="7">
        <v>4</v>
      </c>
      <c r="C24" s="16">
        <v>3884899.5</v>
      </c>
      <c r="D24" s="16">
        <f>(C24*B24)*9</f>
        <v>139856382</v>
      </c>
      <c r="E24" s="16">
        <f>(D24/9)*6</f>
        <v>93237588</v>
      </c>
      <c r="F24" s="16">
        <f t="shared" si="2"/>
        <v>46618794</v>
      </c>
    </row>
    <row r="25" spans="1:6" ht="60" customHeight="1">
      <c r="A25" s="23" t="s">
        <v>52</v>
      </c>
      <c r="B25" s="24">
        <v>4</v>
      </c>
      <c r="C25" s="16">
        <f>C20</f>
        <v>5394689.4500000002</v>
      </c>
      <c r="D25" s="16">
        <f>(C25*B25)*9</f>
        <v>194208820.20000002</v>
      </c>
      <c r="E25" s="16">
        <f>(D25/9)*6</f>
        <v>129472546.80000001</v>
      </c>
      <c r="F25" s="16">
        <f t="shared" si="2"/>
        <v>64736273.400000006</v>
      </c>
    </row>
    <row r="26" spans="1:6">
      <c r="A26" s="5" t="s">
        <v>35</v>
      </c>
      <c r="B26" s="12">
        <f>SUM(B18:B25)</f>
        <v>32</v>
      </c>
      <c r="C26" s="16">
        <f>SUM(C18:C25)</f>
        <v>49529827.190000005</v>
      </c>
      <c r="D26" s="16">
        <f>SUM(D18:D25)</f>
        <v>1622072825.8800001</v>
      </c>
      <c r="E26" s="31">
        <f>SUM(E18:E25)</f>
        <v>1027714899.5999999</v>
      </c>
      <c r="F26" s="31">
        <f>SUM(F18:F25)</f>
        <v>594357926.27999997</v>
      </c>
    </row>
    <row r="29" spans="1:6">
      <c r="A29" s="76" t="s">
        <v>53</v>
      </c>
      <c r="B29" s="76"/>
      <c r="C29" s="76"/>
      <c r="D29" s="76"/>
      <c r="E29" s="26"/>
      <c r="F29" s="26"/>
    </row>
    <row r="30" spans="1:6" ht="25.5">
      <c r="A30" s="13" t="s">
        <v>20</v>
      </c>
      <c r="B30" s="6" t="s">
        <v>21</v>
      </c>
      <c r="C30" s="14" t="s">
        <v>22</v>
      </c>
      <c r="D30" s="14">
        <v>9</v>
      </c>
      <c r="E30" s="26">
        <v>2018</v>
      </c>
      <c r="F30" s="26">
        <v>2019</v>
      </c>
    </row>
    <row r="31" spans="1:6" ht="41.25" customHeight="1">
      <c r="A31" s="5" t="s">
        <v>54</v>
      </c>
      <c r="B31" s="7">
        <v>13</v>
      </c>
      <c r="C31" s="16">
        <v>6971109.7599999998</v>
      </c>
      <c r="D31" s="16">
        <f>(C31*B31)*D30</f>
        <v>815619841.91999996</v>
      </c>
      <c r="E31" s="16">
        <f t="shared" ref="E31:E36" si="4">(D31/9)*6</f>
        <v>543746561.27999997</v>
      </c>
      <c r="F31" s="16">
        <f t="shared" ref="F31:F36" si="5">D31-E31</f>
        <v>271873280.63999999</v>
      </c>
    </row>
    <row r="32" spans="1:6" ht="48" customHeight="1">
      <c r="A32" s="5" t="s">
        <v>55</v>
      </c>
      <c r="B32" s="7">
        <v>13</v>
      </c>
      <c r="C32" s="16">
        <v>3884899.5</v>
      </c>
      <c r="D32" s="16">
        <f>(C32*B32)*D30</f>
        <v>454533241.5</v>
      </c>
      <c r="E32" s="16">
        <f t="shared" si="4"/>
        <v>303022161</v>
      </c>
      <c r="F32" s="16">
        <f t="shared" si="5"/>
        <v>151511080.5</v>
      </c>
    </row>
    <row r="33" spans="1:6" ht="59.25" customHeight="1">
      <c r="A33" s="5" t="s">
        <v>56</v>
      </c>
      <c r="B33" s="7">
        <v>13</v>
      </c>
      <c r="C33" s="16">
        <v>5394689.4500000002</v>
      </c>
      <c r="D33" s="16">
        <f>(C33*B33)*D30</f>
        <v>631178665.6500001</v>
      </c>
      <c r="E33" s="16">
        <f t="shared" si="4"/>
        <v>420785777.10000002</v>
      </c>
      <c r="F33" s="16">
        <f t="shared" si="5"/>
        <v>210392888.55000007</v>
      </c>
    </row>
    <row r="34" spans="1:6" ht="39.75" customHeight="1">
      <c r="A34" s="5" t="s">
        <v>49</v>
      </c>
      <c r="B34" s="7">
        <v>13</v>
      </c>
      <c r="C34" s="16">
        <f>C33</f>
        <v>5394689.4500000002</v>
      </c>
      <c r="D34" s="16">
        <f>(C34*B34)*D30</f>
        <v>631178665.6500001</v>
      </c>
      <c r="E34" s="16">
        <f t="shared" si="4"/>
        <v>420785777.10000002</v>
      </c>
      <c r="F34" s="16">
        <f t="shared" si="5"/>
        <v>210392888.55000007</v>
      </c>
    </row>
    <row r="35" spans="1:6" ht="35.25" customHeight="1">
      <c r="A35" s="5" t="s">
        <v>49</v>
      </c>
      <c r="B35" s="7">
        <v>13</v>
      </c>
      <c r="C35" s="16">
        <f>C34</f>
        <v>5394689.4500000002</v>
      </c>
      <c r="D35" s="16">
        <f>(C35*B35)*D30</f>
        <v>631178665.6500001</v>
      </c>
      <c r="E35" s="16">
        <f t="shared" si="4"/>
        <v>420785777.10000002</v>
      </c>
      <c r="F35" s="16">
        <f t="shared" si="5"/>
        <v>210392888.55000007</v>
      </c>
    </row>
    <row r="36" spans="1:6" ht="51.75" customHeight="1">
      <c r="A36" s="5" t="s">
        <v>57</v>
      </c>
      <c r="B36" s="7">
        <v>13</v>
      </c>
      <c r="C36" s="16">
        <f>C24</f>
        <v>3884899.5</v>
      </c>
      <c r="D36" s="16">
        <f>(C36*B36)*D30</f>
        <v>454533241.5</v>
      </c>
      <c r="E36" s="16">
        <f t="shared" si="4"/>
        <v>303022161</v>
      </c>
      <c r="F36" s="16">
        <f t="shared" si="5"/>
        <v>151511080.5</v>
      </c>
    </row>
    <row r="37" spans="1:6">
      <c r="A37" s="5" t="s">
        <v>35</v>
      </c>
      <c r="B37" s="12">
        <f>SUM(B31:B36)</f>
        <v>78</v>
      </c>
      <c r="C37" s="16">
        <f>SUM(C31:C36)</f>
        <v>30924977.109999999</v>
      </c>
      <c r="D37" s="16">
        <f>SUM(D31:D36)</f>
        <v>3618222321.8700004</v>
      </c>
      <c r="E37" s="31">
        <f>SUM(E31:E36)</f>
        <v>2412148214.5799999</v>
      </c>
      <c r="F37" s="31">
        <f>SUM(F31:F36)</f>
        <v>1206074107.2900002</v>
      </c>
    </row>
    <row r="39" spans="1:6">
      <c r="A39" s="76" t="s">
        <v>58</v>
      </c>
      <c r="B39" s="76"/>
      <c r="C39" s="76"/>
      <c r="D39" s="76"/>
    </row>
    <row r="40" spans="1:6" ht="25.5">
      <c r="A40" s="6" t="s">
        <v>20</v>
      </c>
      <c r="B40" s="6" t="s">
        <v>21</v>
      </c>
      <c r="C40" s="14" t="s">
        <v>22</v>
      </c>
      <c r="D40" s="14">
        <v>8</v>
      </c>
    </row>
    <row r="41" spans="1:6" ht="25.5">
      <c r="A41" s="13" t="s">
        <v>59</v>
      </c>
      <c r="B41" s="6">
        <v>10</v>
      </c>
      <c r="C41" s="22">
        <v>2800000</v>
      </c>
      <c r="D41" s="22">
        <f>C41*D40*B41</f>
        <v>224000000</v>
      </c>
    </row>
    <row r="45" spans="1:6">
      <c r="A45" s="4" t="s">
        <v>60</v>
      </c>
    </row>
    <row r="46" spans="1:6">
      <c r="A46" s="4" t="s">
        <v>61</v>
      </c>
    </row>
    <row r="47" spans="1:6">
      <c r="A47" s="4" t="s">
        <v>62</v>
      </c>
    </row>
  </sheetData>
  <mergeCells count="4">
    <mergeCell ref="A1:D1"/>
    <mergeCell ref="A16:D16"/>
    <mergeCell ref="A29:D29"/>
    <mergeCell ref="A39:D39"/>
  </mergeCells>
  <pageMargins left="0.7" right="0.7" top="0.75" bottom="0.75" header="0.3" footer="0.3"/>
  <pageSetup orientation="portrait" r:id="rId1"/>
  <ignoredErrors>
    <ignoredError sqref="F8" formula="1"/>
  </ignoredError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6D0287-0360-47BC-A193-EBF32125FDCC}">
  <dimension ref="A1:AB42"/>
  <sheetViews>
    <sheetView tabSelected="1" topLeftCell="A2" zoomScale="115" zoomScaleNormal="115" workbookViewId="0">
      <pane xSplit="2" ySplit="2" topLeftCell="C4" activePane="bottomRight" state="frozen"/>
      <selection pane="bottomRight" activeCell="M13" sqref="M13"/>
      <selection pane="bottomLeft" activeCell="A4" sqref="A4"/>
      <selection pane="topRight" activeCell="C2" sqref="C2"/>
    </sheetView>
  </sheetViews>
  <sheetFormatPr defaultColWidth="11.42578125" defaultRowHeight="15"/>
  <cols>
    <col min="1" max="1" width="20.28515625" customWidth="1"/>
    <col min="2" max="2" width="33.5703125" customWidth="1"/>
    <col min="3" max="5" width="17.42578125" customWidth="1"/>
    <col min="6" max="6" width="12.85546875" customWidth="1"/>
    <col min="7" max="7" width="13" customWidth="1"/>
    <col min="8" max="10" width="17.42578125" customWidth="1"/>
    <col min="11" max="11" width="10.42578125" customWidth="1"/>
    <col min="12" max="12" width="17.5703125" bestFit="1" customWidth="1"/>
    <col min="13" max="13" width="17.5703125" customWidth="1"/>
    <col min="14" max="14" width="38.85546875" customWidth="1"/>
    <col min="15" max="15" width="24.5703125" customWidth="1"/>
    <col min="16" max="27" width="15.7109375" customWidth="1"/>
    <col min="28" max="28" width="38.85546875" customWidth="1"/>
  </cols>
  <sheetData>
    <row r="1" spans="1:28" ht="18.75">
      <c r="A1" s="89" t="s">
        <v>63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  <c r="R1" s="90"/>
      <c r="S1" s="90"/>
      <c r="T1" s="90"/>
      <c r="U1" s="90"/>
      <c r="V1" s="90"/>
      <c r="W1" s="90"/>
      <c r="X1" s="90"/>
      <c r="Y1" s="90"/>
      <c r="Z1" s="90"/>
      <c r="AA1" s="90"/>
      <c r="AB1" s="90"/>
    </row>
    <row r="2" spans="1:28" ht="32.450000000000003" customHeight="1">
      <c r="A2" s="88" t="s">
        <v>64</v>
      </c>
      <c r="B2" s="88" t="s">
        <v>65</v>
      </c>
      <c r="C2" s="88" t="s">
        <v>66</v>
      </c>
      <c r="D2" s="88" t="s">
        <v>67</v>
      </c>
      <c r="E2" s="88" t="s">
        <v>68</v>
      </c>
      <c r="F2" s="88" t="s">
        <v>69</v>
      </c>
      <c r="G2" s="88" t="s">
        <v>70</v>
      </c>
      <c r="H2" s="88" t="s">
        <v>71</v>
      </c>
      <c r="I2" s="88" t="s">
        <v>72</v>
      </c>
      <c r="J2" s="88" t="s">
        <v>73</v>
      </c>
      <c r="K2" s="88" t="s">
        <v>74</v>
      </c>
      <c r="L2" s="88" t="s">
        <v>75</v>
      </c>
      <c r="M2" s="88" t="s">
        <v>76</v>
      </c>
      <c r="N2" s="88" t="s">
        <v>77</v>
      </c>
      <c r="O2" s="38" t="s">
        <v>78</v>
      </c>
      <c r="P2" s="38" t="s">
        <v>79</v>
      </c>
      <c r="Q2" s="38" t="s">
        <v>80</v>
      </c>
      <c r="R2" s="38" t="s">
        <v>81</v>
      </c>
      <c r="S2" s="38" t="s">
        <v>82</v>
      </c>
      <c r="T2" s="38" t="s">
        <v>83</v>
      </c>
      <c r="U2" s="38" t="s">
        <v>84</v>
      </c>
      <c r="V2" s="38" t="s">
        <v>85</v>
      </c>
      <c r="W2" s="38" t="s">
        <v>86</v>
      </c>
      <c r="X2" s="38" t="s">
        <v>87</v>
      </c>
      <c r="Y2" s="38" t="s">
        <v>88</v>
      </c>
      <c r="Z2" s="38" t="s">
        <v>89</v>
      </c>
      <c r="AA2" s="38" t="s">
        <v>90</v>
      </c>
      <c r="AB2" s="91" t="s">
        <v>91</v>
      </c>
    </row>
    <row r="3" spans="1:28" ht="45">
      <c r="A3" s="88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35" t="s">
        <v>92</v>
      </c>
      <c r="P3" s="35" t="s">
        <v>92</v>
      </c>
      <c r="Q3" s="35" t="s">
        <v>92</v>
      </c>
      <c r="R3" s="35" t="s">
        <v>92</v>
      </c>
      <c r="S3" s="35" t="s">
        <v>92</v>
      </c>
      <c r="T3" s="35" t="s">
        <v>92</v>
      </c>
      <c r="U3" s="35" t="s">
        <v>92</v>
      </c>
      <c r="V3" s="35" t="s">
        <v>92</v>
      </c>
      <c r="W3" s="35" t="s">
        <v>92</v>
      </c>
      <c r="X3" s="35" t="s">
        <v>92</v>
      </c>
      <c r="Y3" s="35" t="s">
        <v>92</v>
      </c>
      <c r="Z3" s="35" t="s">
        <v>92</v>
      </c>
      <c r="AA3" s="35" t="s">
        <v>92</v>
      </c>
      <c r="AB3" s="91"/>
    </row>
    <row r="4" spans="1:28">
      <c r="A4" s="85" t="s">
        <v>93</v>
      </c>
      <c r="B4" s="78" t="s">
        <v>94</v>
      </c>
      <c r="C4" s="78" t="s">
        <v>95</v>
      </c>
      <c r="D4" s="86" t="s">
        <v>96</v>
      </c>
      <c r="E4" s="86" t="s">
        <v>97</v>
      </c>
      <c r="F4" s="83">
        <v>1</v>
      </c>
      <c r="G4" s="78" t="s">
        <v>98</v>
      </c>
      <c r="H4" s="80"/>
      <c r="I4" s="84">
        <v>44932</v>
      </c>
      <c r="J4" s="81" t="s">
        <v>99</v>
      </c>
      <c r="K4" s="79">
        <v>1</v>
      </c>
      <c r="L4" s="62">
        <v>0</v>
      </c>
      <c r="M4" s="62">
        <v>133980000</v>
      </c>
      <c r="N4" s="44" t="s">
        <v>100</v>
      </c>
      <c r="O4" s="48">
        <v>0</v>
      </c>
      <c r="P4" s="48">
        <v>0</v>
      </c>
      <c r="Q4" s="48">
        <v>0</v>
      </c>
      <c r="R4" s="48">
        <v>0</v>
      </c>
      <c r="S4" s="48">
        <v>0</v>
      </c>
      <c r="T4" s="60">
        <v>0</v>
      </c>
      <c r="U4" s="48">
        <v>0</v>
      </c>
      <c r="V4" s="48">
        <v>0</v>
      </c>
      <c r="W4" s="48">
        <v>0</v>
      </c>
      <c r="X4" s="48">
        <v>0</v>
      </c>
      <c r="Y4" s="48">
        <v>0</v>
      </c>
      <c r="Z4" s="48">
        <v>0</v>
      </c>
      <c r="AA4" s="48">
        <v>0</v>
      </c>
      <c r="AB4" s="48">
        <f>SUM(O4:AA4)</f>
        <v>0</v>
      </c>
    </row>
    <row r="5" spans="1:28">
      <c r="A5" s="85"/>
      <c r="B5" s="78"/>
      <c r="C5" s="78"/>
      <c r="D5" s="86"/>
      <c r="E5" s="86"/>
      <c r="F5" s="83"/>
      <c r="G5" s="78"/>
      <c r="H5" s="80"/>
      <c r="I5" s="84"/>
      <c r="J5" s="87"/>
      <c r="K5" s="81"/>
      <c r="L5" s="62">
        <v>0</v>
      </c>
      <c r="M5" s="62">
        <v>89320000</v>
      </c>
      <c r="N5" s="44" t="s">
        <v>101</v>
      </c>
      <c r="O5" s="48">
        <v>0</v>
      </c>
      <c r="P5" s="48">
        <v>0</v>
      </c>
      <c r="Q5" s="48">
        <v>0</v>
      </c>
      <c r="R5" s="48">
        <v>0</v>
      </c>
      <c r="S5" s="48">
        <v>0</v>
      </c>
      <c r="T5" s="60">
        <v>0</v>
      </c>
      <c r="U5" s="48">
        <v>0</v>
      </c>
      <c r="V5" s="48">
        <v>0</v>
      </c>
      <c r="W5" s="48">
        <v>0</v>
      </c>
      <c r="X5" s="48">
        <v>0</v>
      </c>
      <c r="Y5" s="48">
        <v>0</v>
      </c>
      <c r="Z5" s="48">
        <v>0</v>
      </c>
      <c r="AA5" s="48">
        <v>0</v>
      </c>
      <c r="AB5" s="48">
        <f t="shared" ref="AB5:AB13" si="0">SUM(O5:AA5)</f>
        <v>0</v>
      </c>
    </row>
    <row r="6" spans="1:28">
      <c r="A6" s="85"/>
      <c r="B6" s="78"/>
      <c r="C6" s="78"/>
      <c r="D6" s="86"/>
      <c r="E6" s="86"/>
      <c r="F6" s="83"/>
      <c r="G6" s="78"/>
      <c r="H6" s="80"/>
      <c r="I6" s="84"/>
      <c r="J6" s="87"/>
      <c r="K6" s="81"/>
      <c r="L6" s="62">
        <v>0</v>
      </c>
      <c r="M6" s="62">
        <v>89320000</v>
      </c>
      <c r="N6" s="44" t="s">
        <v>102</v>
      </c>
      <c r="O6" s="48">
        <v>0</v>
      </c>
      <c r="P6" s="48">
        <v>0</v>
      </c>
      <c r="Q6" s="48">
        <v>0</v>
      </c>
      <c r="R6" s="48">
        <v>0</v>
      </c>
      <c r="S6" s="48">
        <v>0</v>
      </c>
      <c r="T6" s="60">
        <v>0</v>
      </c>
      <c r="U6" s="48">
        <v>0</v>
      </c>
      <c r="V6" s="48">
        <v>0</v>
      </c>
      <c r="W6" s="48">
        <v>0</v>
      </c>
      <c r="X6" s="48">
        <v>0</v>
      </c>
      <c r="Y6" s="48">
        <v>0</v>
      </c>
      <c r="Z6" s="48">
        <v>0</v>
      </c>
      <c r="AA6" s="48">
        <v>0</v>
      </c>
      <c r="AB6" s="48">
        <f t="shared" si="0"/>
        <v>0</v>
      </c>
    </row>
    <row r="7" spans="1:28">
      <c r="A7" s="85"/>
      <c r="B7" s="78"/>
      <c r="C7" s="78"/>
      <c r="D7" s="86"/>
      <c r="E7" s="86"/>
      <c r="F7" s="83"/>
      <c r="G7" s="78"/>
      <c r="H7" s="80"/>
      <c r="I7" s="84"/>
      <c r="J7" s="87"/>
      <c r="K7" s="81"/>
      <c r="L7" s="62">
        <v>0</v>
      </c>
      <c r="M7" s="62">
        <v>112713333.3333333</v>
      </c>
      <c r="N7" s="44" t="s">
        <v>103</v>
      </c>
      <c r="O7" s="48">
        <v>0</v>
      </c>
      <c r="P7" s="48">
        <v>0</v>
      </c>
      <c r="Q7" s="48">
        <v>0</v>
      </c>
      <c r="R7" s="48">
        <v>0</v>
      </c>
      <c r="S7" s="48">
        <v>0</v>
      </c>
      <c r="T7" s="60">
        <v>0</v>
      </c>
      <c r="U7" s="48">
        <v>0</v>
      </c>
      <c r="V7" s="48">
        <v>0</v>
      </c>
      <c r="W7" s="48">
        <v>0</v>
      </c>
      <c r="X7" s="48">
        <v>0</v>
      </c>
      <c r="Y7" s="48">
        <v>0</v>
      </c>
      <c r="Z7" s="48">
        <v>0</v>
      </c>
      <c r="AA7" s="48">
        <v>0</v>
      </c>
      <c r="AB7" s="48">
        <f t="shared" si="0"/>
        <v>0</v>
      </c>
    </row>
    <row r="8" spans="1:28">
      <c r="A8" s="85"/>
      <c r="B8" s="78" t="s">
        <v>104</v>
      </c>
      <c r="C8" s="78" t="s">
        <v>95</v>
      </c>
      <c r="D8" s="86" t="s">
        <v>105</v>
      </c>
      <c r="E8" s="86" t="s">
        <v>106</v>
      </c>
      <c r="F8" s="83">
        <v>1</v>
      </c>
      <c r="G8" s="78" t="s">
        <v>107</v>
      </c>
      <c r="H8" s="80"/>
      <c r="I8" s="84">
        <v>44932</v>
      </c>
      <c r="J8" s="81" t="s">
        <v>99</v>
      </c>
      <c r="K8" s="79">
        <v>1</v>
      </c>
      <c r="L8" s="62">
        <v>959971300.79999995</v>
      </c>
      <c r="M8" s="62">
        <v>0</v>
      </c>
      <c r="N8" s="44" t="s">
        <v>108</v>
      </c>
      <c r="O8" s="48">
        <v>0</v>
      </c>
      <c r="P8" s="48">
        <v>0</v>
      </c>
      <c r="Q8" s="48">
        <v>0</v>
      </c>
      <c r="R8" s="48">
        <v>0</v>
      </c>
      <c r="S8" s="48">
        <v>0</v>
      </c>
      <c r="T8" s="60">
        <v>0</v>
      </c>
      <c r="U8" s="48">
        <v>0</v>
      </c>
      <c r="V8" s="48">
        <v>0</v>
      </c>
      <c r="W8" s="48">
        <v>0</v>
      </c>
      <c r="X8" s="48">
        <v>0</v>
      </c>
      <c r="Y8" s="48">
        <v>0</v>
      </c>
      <c r="Z8" s="48">
        <v>0</v>
      </c>
      <c r="AA8" s="48">
        <v>0</v>
      </c>
      <c r="AB8" s="48">
        <f t="shared" si="0"/>
        <v>0</v>
      </c>
    </row>
    <row r="9" spans="1:28">
      <c r="A9" s="85"/>
      <c r="B9" s="78"/>
      <c r="C9" s="78"/>
      <c r="D9" s="86"/>
      <c r="E9" s="86"/>
      <c r="F9" s="83"/>
      <c r="G9" s="78"/>
      <c r="H9" s="80"/>
      <c r="I9" s="84"/>
      <c r="J9" s="87"/>
      <c r="K9" s="81"/>
      <c r="L9" s="62">
        <v>152200000</v>
      </c>
      <c r="M9" s="62">
        <v>0</v>
      </c>
      <c r="N9" s="44" t="s">
        <v>109</v>
      </c>
      <c r="O9" s="48">
        <v>0</v>
      </c>
      <c r="P9" s="48">
        <v>0</v>
      </c>
      <c r="Q9" s="48">
        <v>0</v>
      </c>
      <c r="R9" s="48">
        <v>0</v>
      </c>
      <c r="S9" s="48">
        <v>0</v>
      </c>
      <c r="T9" s="60">
        <v>0</v>
      </c>
      <c r="U9" s="48">
        <v>0</v>
      </c>
      <c r="V9" s="48">
        <v>0</v>
      </c>
      <c r="W9" s="48">
        <v>0</v>
      </c>
      <c r="X9" s="48">
        <v>0</v>
      </c>
      <c r="Y9" s="48">
        <v>0</v>
      </c>
      <c r="Z9" s="48">
        <v>0</v>
      </c>
      <c r="AA9" s="48">
        <v>0</v>
      </c>
      <c r="AB9" s="48"/>
    </row>
    <row r="10" spans="1:28">
      <c r="A10" s="85"/>
      <c r="B10" s="78"/>
      <c r="C10" s="78"/>
      <c r="D10" s="86"/>
      <c r="E10" s="86"/>
      <c r="F10" s="83"/>
      <c r="G10" s="78"/>
      <c r="H10" s="80"/>
      <c r="I10" s="84"/>
      <c r="J10" s="87"/>
      <c r="K10" s="81"/>
      <c r="L10" s="62">
        <v>76500000</v>
      </c>
      <c r="M10" s="62">
        <v>0</v>
      </c>
      <c r="N10" s="44" t="s">
        <v>110</v>
      </c>
      <c r="O10" s="48">
        <v>0</v>
      </c>
      <c r="P10" s="48">
        <v>0</v>
      </c>
      <c r="Q10" s="48">
        <v>0</v>
      </c>
      <c r="R10" s="48">
        <v>0</v>
      </c>
      <c r="S10" s="48">
        <v>0</v>
      </c>
      <c r="T10" s="60">
        <v>0</v>
      </c>
      <c r="U10" s="48">
        <v>0</v>
      </c>
      <c r="V10" s="48">
        <v>0</v>
      </c>
      <c r="W10" s="48">
        <v>0</v>
      </c>
      <c r="X10" s="48">
        <v>0</v>
      </c>
      <c r="Y10" s="48">
        <v>0</v>
      </c>
      <c r="Z10" s="48">
        <v>0</v>
      </c>
      <c r="AA10" s="48">
        <v>0</v>
      </c>
      <c r="AB10" s="48"/>
    </row>
    <row r="11" spans="1:28">
      <c r="A11" s="85"/>
      <c r="B11" s="78"/>
      <c r="C11" s="78"/>
      <c r="D11" s="86"/>
      <c r="E11" s="86"/>
      <c r="F11" s="83"/>
      <c r="G11" s="78"/>
      <c r="H11" s="80"/>
      <c r="I11" s="84"/>
      <c r="J11" s="87"/>
      <c r="K11" s="81"/>
      <c r="L11" s="62">
        <v>203790312</v>
      </c>
      <c r="M11" s="62">
        <v>0</v>
      </c>
      <c r="N11" s="59" t="s">
        <v>111</v>
      </c>
      <c r="O11" s="48">
        <v>0</v>
      </c>
      <c r="P11" s="48">
        <v>0</v>
      </c>
      <c r="Q11" s="48">
        <v>0</v>
      </c>
      <c r="R11" s="48">
        <v>0</v>
      </c>
      <c r="S11" s="48">
        <v>0</v>
      </c>
      <c r="T11" s="60">
        <v>0</v>
      </c>
      <c r="U11" s="48">
        <v>0</v>
      </c>
      <c r="V11" s="48">
        <v>0</v>
      </c>
      <c r="W11" s="48">
        <v>0</v>
      </c>
      <c r="X11" s="48">
        <v>0</v>
      </c>
      <c r="Y11" s="48">
        <v>0</v>
      </c>
      <c r="Z11" s="48">
        <v>0</v>
      </c>
      <c r="AA11" s="48">
        <v>0</v>
      </c>
      <c r="AB11" s="48"/>
    </row>
    <row r="12" spans="1:28" ht="72.75" customHeight="1">
      <c r="A12" s="85"/>
      <c r="B12" s="40" t="s">
        <v>112</v>
      </c>
      <c r="C12" s="41" t="s">
        <v>95</v>
      </c>
      <c r="D12" s="61" t="s">
        <v>113</v>
      </c>
      <c r="E12" s="61" t="s">
        <v>114</v>
      </c>
      <c r="F12" s="58">
        <v>1</v>
      </c>
      <c r="G12" s="41" t="s">
        <v>107</v>
      </c>
      <c r="H12" s="39"/>
      <c r="I12" s="57">
        <v>44932</v>
      </c>
      <c r="J12" s="56" t="s">
        <v>99</v>
      </c>
      <c r="K12" s="63">
        <v>1</v>
      </c>
      <c r="L12" s="64">
        <v>0</v>
      </c>
      <c r="M12" s="64">
        <v>0</v>
      </c>
      <c r="N12" s="44" t="s">
        <v>100</v>
      </c>
      <c r="O12" s="48">
        <v>0</v>
      </c>
      <c r="P12" s="48">
        <v>0</v>
      </c>
      <c r="Q12" s="48">
        <v>0</v>
      </c>
      <c r="R12" s="48">
        <v>0</v>
      </c>
      <c r="S12" s="48">
        <v>0</v>
      </c>
      <c r="T12" s="60">
        <v>0</v>
      </c>
      <c r="U12" s="48">
        <v>0</v>
      </c>
      <c r="V12" s="48">
        <v>0</v>
      </c>
      <c r="W12" s="48">
        <v>0</v>
      </c>
      <c r="X12" s="48">
        <v>0</v>
      </c>
      <c r="Y12" s="48">
        <v>0</v>
      </c>
      <c r="Z12" s="48">
        <v>0</v>
      </c>
      <c r="AA12" s="48">
        <v>0</v>
      </c>
      <c r="AB12" s="48">
        <f t="shared" si="0"/>
        <v>0</v>
      </c>
    </row>
    <row r="13" spans="1:28" ht="70.5" customHeight="1">
      <c r="A13" s="85"/>
      <c r="B13" s="41" t="s">
        <v>115</v>
      </c>
      <c r="C13" s="41" t="s">
        <v>95</v>
      </c>
      <c r="D13" s="61" t="s">
        <v>116</v>
      </c>
      <c r="E13" s="61" t="s">
        <v>117</v>
      </c>
      <c r="F13" s="58">
        <v>1</v>
      </c>
      <c r="G13" s="41" t="s">
        <v>107</v>
      </c>
      <c r="H13" s="39"/>
      <c r="I13" s="56">
        <v>44932</v>
      </c>
      <c r="J13" s="56" t="s">
        <v>99</v>
      </c>
      <c r="K13" s="63">
        <v>1</v>
      </c>
      <c r="L13" s="64">
        <v>0</v>
      </c>
      <c r="M13" s="64">
        <v>0</v>
      </c>
      <c r="N13" s="44" t="s">
        <v>100</v>
      </c>
      <c r="O13" s="48">
        <v>0</v>
      </c>
      <c r="P13" s="48">
        <v>0</v>
      </c>
      <c r="Q13" s="48">
        <v>0</v>
      </c>
      <c r="R13" s="48">
        <v>0</v>
      </c>
      <c r="S13" s="48">
        <v>0</v>
      </c>
      <c r="T13" s="60">
        <v>0</v>
      </c>
      <c r="U13" s="48">
        <v>0</v>
      </c>
      <c r="V13" s="48">
        <v>0</v>
      </c>
      <c r="W13" s="48">
        <v>0</v>
      </c>
      <c r="X13" s="48">
        <v>0</v>
      </c>
      <c r="Y13" s="48">
        <v>0</v>
      </c>
      <c r="Z13" s="48">
        <v>0</v>
      </c>
      <c r="AA13" s="48">
        <v>0</v>
      </c>
      <c r="AB13" s="48">
        <f t="shared" si="0"/>
        <v>0</v>
      </c>
    </row>
    <row r="14" spans="1:28" s="42" customFormat="1">
      <c r="A14" s="65" t="s">
        <v>118</v>
      </c>
      <c r="B14" s="65"/>
      <c r="C14" s="65"/>
      <c r="D14" s="65"/>
      <c r="E14" s="65"/>
      <c r="F14" s="65"/>
      <c r="G14" s="65"/>
      <c r="H14" s="65"/>
      <c r="I14" s="65"/>
      <c r="J14" s="65"/>
      <c r="K14" s="65"/>
      <c r="L14" s="66">
        <f>SUM(L4:L13)</f>
        <v>1392461612.8</v>
      </c>
      <c r="M14" s="66">
        <f>SUM(M4:M13)</f>
        <v>425333333.33333331</v>
      </c>
      <c r="N14" s="65" t="s">
        <v>118</v>
      </c>
      <c r="O14" s="49">
        <f t="shared" ref="O14:AA14" si="1">SUM(O4:O13)</f>
        <v>0</v>
      </c>
      <c r="P14" s="49">
        <f t="shared" si="1"/>
        <v>0</v>
      </c>
      <c r="Q14" s="49">
        <f t="shared" si="1"/>
        <v>0</v>
      </c>
      <c r="R14" s="49">
        <f t="shared" si="1"/>
        <v>0</v>
      </c>
      <c r="S14" s="49">
        <f t="shared" si="1"/>
        <v>0</v>
      </c>
      <c r="T14" s="49">
        <f t="shared" si="1"/>
        <v>0</v>
      </c>
      <c r="U14" s="49">
        <f t="shared" si="1"/>
        <v>0</v>
      </c>
      <c r="V14" s="49">
        <f t="shared" si="1"/>
        <v>0</v>
      </c>
      <c r="W14" s="49">
        <f t="shared" si="1"/>
        <v>0</v>
      </c>
      <c r="X14" s="49">
        <f t="shared" si="1"/>
        <v>0</v>
      </c>
      <c r="Y14" s="49">
        <f t="shared" si="1"/>
        <v>0</v>
      </c>
      <c r="Z14" s="49">
        <f t="shared" si="1"/>
        <v>0</v>
      </c>
      <c r="AA14" s="49">
        <f t="shared" si="1"/>
        <v>0</v>
      </c>
      <c r="AB14" s="34">
        <f>SUM(O14:AA14)</f>
        <v>0</v>
      </c>
    </row>
    <row r="15" spans="1:28">
      <c r="A15" s="85" t="s">
        <v>119</v>
      </c>
      <c r="B15" s="78" t="s">
        <v>120</v>
      </c>
      <c r="C15" s="78" t="s">
        <v>95</v>
      </c>
      <c r="D15" s="78" t="s">
        <v>121</v>
      </c>
      <c r="E15" s="78" t="s">
        <v>122</v>
      </c>
      <c r="F15" s="79">
        <v>1</v>
      </c>
      <c r="G15" s="78" t="s">
        <v>123</v>
      </c>
      <c r="H15" s="80"/>
      <c r="I15" s="81">
        <v>44932</v>
      </c>
      <c r="J15" s="81" t="s">
        <v>99</v>
      </c>
      <c r="K15" s="82">
        <v>1</v>
      </c>
      <c r="L15" s="62">
        <f>1672000000+1560000000</f>
        <v>3232000000</v>
      </c>
      <c r="M15" s="62">
        <v>0</v>
      </c>
      <c r="N15" s="44" t="s">
        <v>109</v>
      </c>
      <c r="O15" s="48">
        <v>0</v>
      </c>
      <c r="P15" s="48">
        <v>0</v>
      </c>
      <c r="Q15" s="48">
        <v>0</v>
      </c>
      <c r="R15" s="48">
        <v>0</v>
      </c>
      <c r="S15" s="48">
        <v>0</v>
      </c>
      <c r="T15" s="48">
        <v>0</v>
      </c>
      <c r="U15" s="48">
        <v>0</v>
      </c>
      <c r="V15" s="48">
        <v>0</v>
      </c>
      <c r="W15" s="48">
        <v>0</v>
      </c>
      <c r="X15" s="48">
        <v>0</v>
      </c>
      <c r="Y15" s="48">
        <v>0</v>
      </c>
      <c r="Z15" s="48">
        <v>0</v>
      </c>
      <c r="AA15" s="48">
        <v>0</v>
      </c>
      <c r="AB15" s="48">
        <f t="shared" ref="AB15:AB22" si="2">SUM(O15:AA15)</f>
        <v>0</v>
      </c>
    </row>
    <row r="16" spans="1:28">
      <c r="A16" s="85"/>
      <c r="B16" s="78"/>
      <c r="C16" s="78"/>
      <c r="D16" s="78"/>
      <c r="E16" s="78"/>
      <c r="F16" s="79"/>
      <c r="G16" s="78"/>
      <c r="H16" s="80"/>
      <c r="I16" s="81"/>
      <c r="J16" s="81"/>
      <c r="K16" s="82"/>
      <c r="L16" s="62">
        <v>1297357344</v>
      </c>
      <c r="M16" s="62">
        <v>0</v>
      </c>
      <c r="N16" s="44" t="s">
        <v>124</v>
      </c>
      <c r="O16" s="48">
        <v>0</v>
      </c>
      <c r="P16" s="48">
        <v>0</v>
      </c>
      <c r="Q16" s="48">
        <v>0</v>
      </c>
      <c r="R16" s="48">
        <v>0</v>
      </c>
      <c r="S16" s="48">
        <v>0</v>
      </c>
      <c r="T16" s="48">
        <v>0</v>
      </c>
      <c r="U16" s="48">
        <v>0</v>
      </c>
      <c r="V16" s="48">
        <v>0</v>
      </c>
      <c r="W16" s="48">
        <v>0</v>
      </c>
      <c r="X16" s="48">
        <v>0</v>
      </c>
      <c r="Y16" s="48">
        <v>0</v>
      </c>
      <c r="Z16" s="48">
        <v>0</v>
      </c>
      <c r="AA16" s="48">
        <v>0</v>
      </c>
      <c r="AB16" s="48">
        <f t="shared" si="2"/>
        <v>0</v>
      </c>
    </row>
    <row r="17" spans="1:28">
      <c r="A17" s="85"/>
      <c r="B17" s="78"/>
      <c r="C17" s="78"/>
      <c r="D17" s="78"/>
      <c r="E17" s="78"/>
      <c r="F17" s="79"/>
      <c r="G17" s="78"/>
      <c r="H17" s="80"/>
      <c r="I17" s="81"/>
      <c r="J17" s="81"/>
      <c r="K17" s="82"/>
      <c r="L17" s="62">
        <v>864560000</v>
      </c>
      <c r="M17" s="62">
        <v>0</v>
      </c>
      <c r="N17" s="44" t="s">
        <v>100</v>
      </c>
      <c r="O17" s="48">
        <v>0</v>
      </c>
      <c r="P17" s="48">
        <v>0</v>
      </c>
      <c r="Q17" s="48">
        <v>0</v>
      </c>
      <c r="R17" s="48">
        <v>0</v>
      </c>
      <c r="S17" s="48">
        <v>0</v>
      </c>
      <c r="T17" s="48">
        <v>0</v>
      </c>
      <c r="U17" s="48">
        <v>0</v>
      </c>
      <c r="V17" s="48">
        <v>0</v>
      </c>
      <c r="W17" s="48">
        <v>0</v>
      </c>
      <c r="X17" s="48">
        <v>0</v>
      </c>
      <c r="Y17" s="48">
        <v>0</v>
      </c>
      <c r="Z17" s="48">
        <v>0</v>
      </c>
      <c r="AA17" s="48">
        <v>0</v>
      </c>
      <c r="AB17" s="48">
        <f t="shared" si="2"/>
        <v>0</v>
      </c>
    </row>
    <row r="18" spans="1:28">
      <c r="A18" s="85"/>
      <c r="B18" s="78"/>
      <c r="C18" s="78"/>
      <c r="D18" s="78"/>
      <c r="E18" s="78"/>
      <c r="F18" s="79"/>
      <c r="G18" s="78"/>
      <c r="H18" s="80"/>
      <c r="I18" s="81"/>
      <c r="J18" s="81"/>
      <c r="K18" s="82"/>
      <c r="L18" s="62">
        <f>1946000000+440648096+20341562+336671205</f>
        <v>2743660863</v>
      </c>
      <c r="M18" s="62">
        <v>0</v>
      </c>
      <c r="N18" s="44" t="s">
        <v>100</v>
      </c>
      <c r="O18" s="48">
        <v>0</v>
      </c>
      <c r="P18" s="48">
        <v>0</v>
      </c>
      <c r="Q18" s="48">
        <v>0</v>
      </c>
      <c r="R18" s="48">
        <v>0</v>
      </c>
      <c r="S18" s="48">
        <v>0</v>
      </c>
      <c r="T18" s="48">
        <v>0</v>
      </c>
      <c r="U18" s="48">
        <v>0</v>
      </c>
      <c r="V18" s="48">
        <v>0</v>
      </c>
      <c r="W18" s="48">
        <v>0</v>
      </c>
      <c r="X18" s="48">
        <v>0</v>
      </c>
      <c r="Y18" s="48">
        <v>0</v>
      </c>
      <c r="Z18" s="48">
        <v>0</v>
      </c>
      <c r="AA18" s="48">
        <v>0</v>
      </c>
      <c r="AB18" s="48">
        <f t="shared" si="2"/>
        <v>0</v>
      </c>
    </row>
    <row r="19" spans="1:28" ht="28.5" customHeight="1">
      <c r="A19" s="85"/>
      <c r="B19" s="78" t="s">
        <v>125</v>
      </c>
      <c r="C19" s="78" t="s">
        <v>95</v>
      </c>
      <c r="D19" s="86" t="s">
        <v>126</v>
      </c>
      <c r="E19" s="86" t="s">
        <v>127</v>
      </c>
      <c r="F19" s="83">
        <v>1</v>
      </c>
      <c r="G19" s="78" t="s">
        <v>123</v>
      </c>
      <c r="H19" s="80"/>
      <c r="I19" s="84">
        <v>44932</v>
      </c>
      <c r="J19" s="84" t="s">
        <v>99</v>
      </c>
      <c r="K19" s="77">
        <v>1</v>
      </c>
      <c r="L19" s="64">
        <v>0</v>
      </c>
      <c r="M19" s="64">
        <v>0</v>
      </c>
      <c r="N19" s="44" t="s">
        <v>100</v>
      </c>
      <c r="O19" s="48">
        <v>0</v>
      </c>
      <c r="P19" s="48">
        <v>0</v>
      </c>
      <c r="Q19" s="48">
        <v>0</v>
      </c>
      <c r="R19" s="48">
        <v>0</v>
      </c>
      <c r="S19" s="48">
        <v>0</v>
      </c>
      <c r="T19" s="48">
        <v>0</v>
      </c>
      <c r="U19" s="48">
        <v>0</v>
      </c>
      <c r="V19" s="48">
        <v>0</v>
      </c>
      <c r="W19" s="48">
        <v>0</v>
      </c>
      <c r="X19" s="48">
        <v>0</v>
      </c>
      <c r="Y19" s="48">
        <v>0</v>
      </c>
      <c r="Z19" s="48">
        <v>0</v>
      </c>
      <c r="AA19" s="48">
        <v>0</v>
      </c>
      <c r="AB19" s="48">
        <f t="shared" si="2"/>
        <v>0</v>
      </c>
    </row>
    <row r="20" spans="1:28" ht="30" customHeight="1">
      <c r="A20" s="85"/>
      <c r="B20" s="78"/>
      <c r="C20" s="78"/>
      <c r="D20" s="86"/>
      <c r="E20" s="86"/>
      <c r="F20" s="83"/>
      <c r="G20" s="78"/>
      <c r="H20" s="80"/>
      <c r="I20" s="84"/>
      <c r="J20" s="84"/>
      <c r="K20" s="77"/>
      <c r="L20" s="64">
        <v>0</v>
      </c>
      <c r="M20" s="64">
        <v>0</v>
      </c>
      <c r="N20" s="44" t="s">
        <v>109</v>
      </c>
      <c r="O20" s="48">
        <v>0</v>
      </c>
      <c r="P20" s="48">
        <v>0</v>
      </c>
      <c r="Q20" s="48">
        <v>0</v>
      </c>
      <c r="R20" s="48">
        <v>0</v>
      </c>
      <c r="S20" s="48">
        <v>0</v>
      </c>
      <c r="T20" s="48">
        <v>0</v>
      </c>
      <c r="U20" s="48">
        <v>0</v>
      </c>
      <c r="V20" s="48">
        <v>0</v>
      </c>
      <c r="W20" s="48">
        <v>0</v>
      </c>
      <c r="X20" s="48">
        <v>0</v>
      </c>
      <c r="Y20" s="48">
        <v>0</v>
      </c>
      <c r="Z20" s="48">
        <v>0</v>
      </c>
      <c r="AA20" s="48">
        <v>0</v>
      </c>
      <c r="AB20" s="48">
        <f t="shared" si="2"/>
        <v>0</v>
      </c>
    </row>
    <row r="21" spans="1:28" s="43" customFormat="1">
      <c r="A21" s="65" t="s">
        <v>128</v>
      </c>
      <c r="B21" s="68"/>
      <c r="C21" s="68"/>
      <c r="D21" s="68"/>
      <c r="E21" s="68"/>
      <c r="F21" s="68"/>
      <c r="G21" s="68"/>
      <c r="H21" s="68"/>
      <c r="I21" s="68"/>
      <c r="J21" s="68"/>
      <c r="K21" s="68"/>
      <c r="L21" s="49">
        <f>SUM(L15:L20)</f>
        <v>8137578207</v>
      </c>
      <c r="M21" s="49">
        <f>SUM(M15:M20)</f>
        <v>0</v>
      </c>
      <c r="N21" s="65" t="s">
        <v>128</v>
      </c>
      <c r="O21" s="49">
        <f t="shared" ref="O21:AA21" si="3">SUM(O15:O19)</f>
        <v>0</v>
      </c>
      <c r="P21" s="49">
        <f t="shared" si="3"/>
        <v>0</v>
      </c>
      <c r="Q21" s="49">
        <f t="shared" si="3"/>
        <v>0</v>
      </c>
      <c r="R21" s="49">
        <f t="shared" si="3"/>
        <v>0</v>
      </c>
      <c r="S21" s="49">
        <f t="shared" si="3"/>
        <v>0</v>
      </c>
      <c r="T21" s="49">
        <f t="shared" si="3"/>
        <v>0</v>
      </c>
      <c r="U21" s="49">
        <f t="shared" si="3"/>
        <v>0</v>
      </c>
      <c r="V21" s="49">
        <f t="shared" si="3"/>
        <v>0</v>
      </c>
      <c r="W21" s="49">
        <f t="shared" si="3"/>
        <v>0</v>
      </c>
      <c r="X21" s="49">
        <f t="shared" si="3"/>
        <v>0</v>
      </c>
      <c r="Y21" s="49">
        <f t="shared" si="3"/>
        <v>0</v>
      </c>
      <c r="Z21" s="49">
        <f t="shared" si="3"/>
        <v>0</v>
      </c>
      <c r="AA21" s="49">
        <f t="shared" si="3"/>
        <v>0</v>
      </c>
      <c r="AB21" s="69">
        <f>SUM(O21:AA21)</f>
        <v>0</v>
      </c>
    </row>
    <row r="22" spans="1:28" ht="90">
      <c r="A22" s="67" t="s">
        <v>129</v>
      </c>
      <c r="B22" s="51" t="s">
        <v>130</v>
      </c>
      <c r="C22" s="41" t="s">
        <v>95</v>
      </c>
      <c r="D22" s="61" t="s">
        <v>131</v>
      </c>
      <c r="E22" s="61" t="s">
        <v>132</v>
      </c>
      <c r="F22" s="58">
        <v>1</v>
      </c>
      <c r="G22" s="41" t="s">
        <v>107</v>
      </c>
      <c r="H22" s="41"/>
      <c r="I22" s="56">
        <v>44932</v>
      </c>
      <c r="J22" s="56" t="s">
        <v>99</v>
      </c>
      <c r="K22" s="63">
        <v>1</v>
      </c>
      <c r="L22" s="64">
        <v>150000000</v>
      </c>
      <c r="M22" s="64">
        <v>0</v>
      </c>
      <c r="N22" s="44" t="s">
        <v>100</v>
      </c>
      <c r="O22" s="45">
        <v>0</v>
      </c>
      <c r="P22" s="46">
        <v>0</v>
      </c>
      <c r="Q22" s="45">
        <v>0</v>
      </c>
      <c r="R22" s="46">
        <v>0</v>
      </c>
      <c r="S22" s="45">
        <v>0</v>
      </c>
      <c r="T22" s="47">
        <v>0</v>
      </c>
      <c r="U22" s="47">
        <v>0</v>
      </c>
      <c r="V22" s="47">
        <v>0</v>
      </c>
      <c r="W22" s="47">
        <v>0</v>
      </c>
      <c r="X22" s="47"/>
      <c r="Y22" s="47">
        <v>0</v>
      </c>
      <c r="Z22" s="47">
        <v>0</v>
      </c>
      <c r="AA22" s="47">
        <v>0</v>
      </c>
      <c r="AB22" s="48">
        <f t="shared" si="2"/>
        <v>0</v>
      </c>
    </row>
    <row r="23" spans="1:28" s="42" customFormat="1">
      <c r="A23" s="65" t="s">
        <v>133</v>
      </c>
      <c r="B23" s="65"/>
      <c r="C23" s="65"/>
      <c r="D23" s="65"/>
      <c r="E23" s="65"/>
      <c r="F23" s="65"/>
      <c r="G23" s="65"/>
      <c r="H23" s="65"/>
      <c r="I23" s="65"/>
      <c r="J23" s="65"/>
      <c r="K23" s="65"/>
      <c r="L23" s="66">
        <f>SUM(L22:L22)</f>
        <v>150000000</v>
      </c>
      <c r="M23" s="66">
        <f>SUM(M22:M22)</f>
        <v>0</v>
      </c>
      <c r="N23" s="70" t="s">
        <v>133</v>
      </c>
      <c r="O23" s="49">
        <f t="shared" ref="O23:AA23" si="4">SUM(O22:O22)</f>
        <v>0</v>
      </c>
      <c r="P23" s="49">
        <f t="shared" si="4"/>
        <v>0</v>
      </c>
      <c r="Q23" s="49">
        <f t="shared" si="4"/>
        <v>0</v>
      </c>
      <c r="R23" s="49">
        <f t="shared" si="4"/>
        <v>0</v>
      </c>
      <c r="S23" s="49">
        <f t="shared" si="4"/>
        <v>0</v>
      </c>
      <c r="T23" s="49">
        <f t="shared" si="4"/>
        <v>0</v>
      </c>
      <c r="U23" s="49">
        <f t="shared" si="4"/>
        <v>0</v>
      </c>
      <c r="V23" s="49">
        <f t="shared" si="4"/>
        <v>0</v>
      </c>
      <c r="W23" s="49">
        <f t="shared" si="4"/>
        <v>0</v>
      </c>
      <c r="X23" s="49">
        <f t="shared" si="4"/>
        <v>0</v>
      </c>
      <c r="Y23" s="49">
        <f t="shared" si="4"/>
        <v>0</v>
      </c>
      <c r="Z23" s="49">
        <f t="shared" si="4"/>
        <v>0</v>
      </c>
      <c r="AA23" s="49">
        <f t="shared" si="4"/>
        <v>0</v>
      </c>
      <c r="AB23" s="50">
        <f>SUM(O23:AA23)</f>
        <v>0</v>
      </c>
    </row>
    <row r="24" spans="1:28" s="42" customFormat="1" ht="30">
      <c r="A24" s="65" t="s">
        <v>134</v>
      </c>
      <c r="B24" s="65"/>
      <c r="C24" s="65"/>
      <c r="D24" s="65"/>
      <c r="E24" s="65"/>
      <c r="F24" s="65"/>
      <c r="G24" s="65"/>
      <c r="H24" s="65"/>
      <c r="I24" s="65"/>
      <c r="J24" s="65"/>
      <c r="K24" s="65"/>
      <c r="L24" s="66">
        <f>SUM(L23,L21,L14)</f>
        <v>9680039819.7999992</v>
      </c>
      <c r="M24" s="66">
        <f>SUM(M23,M21,M14)</f>
        <v>425333333.33333331</v>
      </c>
      <c r="N24" s="70" t="s">
        <v>134</v>
      </c>
      <c r="O24" s="66">
        <f t="shared" ref="O24:AA24" si="5">SUM(O23,O21,O14)</f>
        <v>0</v>
      </c>
      <c r="P24" s="66">
        <f t="shared" si="5"/>
        <v>0</v>
      </c>
      <c r="Q24" s="66">
        <f t="shared" si="5"/>
        <v>0</v>
      </c>
      <c r="R24" s="66">
        <f t="shared" si="5"/>
        <v>0</v>
      </c>
      <c r="S24" s="66">
        <f t="shared" si="5"/>
        <v>0</v>
      </c>
      <c r="T24" s="66">
        <f t="shared" si="5"/>
        <v>0</v>
      </c>
      <c r="U24" s="66">
        <f t="shared" si="5"/>
        <v>0</v>
      </c>
      <c r="V24" s="66">
        <f t="shared" si="5"/>
        <v>0</v>
      </c>
      <c r="W24" s="66">
        <f t="shared" si="5"/>
        <v>0</v>
      </c>
      <c r="X24" s="66">
        <f t="shared" si="5"/>
        <v>0</v>
      </c>
      <c r="Y24" s="66">
        <f t="shared" si="5"/>
        <v>0</v>
      </c>
      <c r="Z24" s="66">
        <f t="shared" si="5"/>
        <v>0</v>
      </c>
      <c r="AA24" s="66">
        <f t="shared" si="5"/>
        <v>0</v>
      </c>
      <c r="AB24" s="49">
        <f>SUM(O24:AA24)</f>
        <v>0</v>
      </c>
    </row>
    <row r="25" spans="1:28" s="42" customFormat="1">
      <c r="A25" s="70"/>
      <c r="B25" s="70"/>
      <c r="C25" s="70"/>
      <c r="D25" s="70"/>
      <c r="E25" s="70"/>
      <c r="F25" s="70"/>
      <c r="G25" s="70"/>
      <c r="H25" s="70"/>
      <c r="I25" s="70"/>
      <c r="J25" s="70"/>
      <c r="K25" s="70"/>
      <c r="L25" s="70">
        <v>0</v>
      </c>
      <c r="M25" s="70">
        <v>0</v>
      </c>
      <c r="N25" s="70" t="s">
        <v>135</v>
      </c>
      <c r="O25" s="36">
        <v>0</v>
      </c>
      <c r="P25" s="32">
        <v>0</v>
      </c>
      <c r="Q25" s="32">
        <v>0</v>
      </c>
      <c r="R25" s="32">
        <v>0</v>
      </c>
      <c r="S25" s="32">
        <v>0</v>
      </c>
      <c r="T25" s="32">
        <v>0</v>
      </c>
      <c r="U25" s="32">
        <v>0</v>
      </c>
      <c r="V25" s="32">
        <v>0</v>
      </c>
      <c r="W25" s="32">
        <v>0</v>
      </c>
      <c r="X25" s="32">
        <v>0</v>
      </c>
      <c r="Y25" s="32">
        <v>0</v>
      </c>
      <c r="Z25" s="32"/>
      <c r="AA25" s="32"/>
      <c r="AB25" s="49">
        <v>0</v>
      </c>
    </row>
    <row r="26" spans="1:28" s="42" customFormat="1">
      <c r="A26" s="70"/>
      <c r="B26" s="70"/>
      <c r="C26" s="70"/>
      <c r="D26" s="70"/>
      <c r="E26" s="70"/>
      <c r="F26" s="70"/>
      <c r="G26" s="70"/>
      <c r="H26" s="70"/>
      <c r="I26" s="70"/>
      <c r="J26" s="70"/>
      <c r="K26" s="70"/>
      <c r="L26" s="49">
        <f>SUM(L24:L25)</f>
        <v>9680039819.7999992</v>
      </c>
      <c r="M26" s="49">
        <f>SUM(M24:M25)</f>
        <v>425333333.33333331</v>
      </c>
      <c r="N26" s="70" t="s">
        <v>136</v>
      </c>
      <c r="O26" s="36">
        <f t="shared" ref="O26:AA26" si="6">SUM(O24:O25)</f>
        <v>0</v>
      </c>
      <c r="P26" s="32">
        <f t="shared" si="6"/>
        <v>0</v>
      </c>
      <c r="Q26" s="32">
        <f t="shared" si="6"/>
        <v>0</v>
      </c>
      <c r="R26" s="32">
        <f t="shared" si="6"/>
        <v>0</v>
      </c>
      <c r="S26" s="32">
        <f t="shared" si="6"/>
        <v>0</v>
      </c>
      <c r="T26" s="32">
        <f t="shared" si="6"/>
        <v>0</v>
      </c>
      <c r="U26" s="32">
        <f t="shared" si="6"/>
        <v>0</v>
      </c>
      <c r="V26" s="32">
        <f t="shared" si="6"/>
        <v>0</v>
      </c>
      <c r="W26" s="32">
        <f t="shared" si="6"/>
        <v>0</v>
      </c>
      <c r="X26" s="32">
        <f t="shared" si="6"/>
        <v>0</v>
      </c>
      <c r="Y26" s="32">
        <f t="shared" si="6"/>
        <v>0</v>
      </c>
      <c r="Z26" s="32">
        <f t="shared" si="6"/>
        <v>0</v>
      </c>
      <c r="AA26" s="32">
        <f t="shared" si="6"/>
        <v>0</v>
      </c>
      <c r="AB26" s="49">
        <f>SUM(O26:AA26)</f>
        <v>0</v>
      </c>
    </row>
    <row r="27" spans="1:28" s="42" customFormat="1">
      <c r="A27" s="65" t="s">
        <v>137</v>
      </c>
      <c r="B27" s="71"/>
      <c r="C27" s="71"/>
      <c r="D27" s="71"/>
      <c r="E27" s="71"/>
      <c r="F27" s="71"/>
      <c r="G27" s="71"/>
      <c r="H27" s="71"/>
      <c r="I27" s="71"/>
      <c r="J27" s="71"/>
      <c r="K27" s="71"/>
      <c r="L27" s="72">
        <v>509475780.23023367</v>
      </c>
      <c r="M27" s="72">
        <v>21266666.666666668</v>
      </c>
      <c r="N27" s="70" t="s">
        <v>137</v>
      </c>
      <c r="O27" s="37">
        <f t="shared" ref="O27:AA27" si="7">O26*0.05</f>
        <v>0</v>
      </c>
      <c r="P27" s="33">
        <f t="shared" si="7"/>
        <v>0</v>
      </c>
      <c r="Q27" s="33">
        <f t="shared" si="7"/>
        <v>0</v>
      </c>
      <c r="R27" s="33">
        <f t="shared" si="7"/>
        <v>0</v>
      </c>
      <c r="S27" s="33">
        <f t="shared" si="7"/>
        <v>0</v>
      </c>
      <c r="T27" s="33">
        <f t="shared" si="7"/>
        <v>0</v>
      </c>
      <c r="U27" s="33">
        <f t="shared" si="7"/>
        <v>0</v>
      </c>
      <c r="V27" s="33">
        <f t="shared" si="7"/>
        <v>0</v>
      </c>
      <c r="W27" s="33">
        <f t="shared" si="7"/>
        <v>0</v>
      </c>
      <c r="X27" s="33">
        <f t="shared" si="7"/>
        <v>0</v>
      </c>
      <c r="Y27" s="33">
        <f t="shared" si="7"/>
        <v>0</v>
      </c>
      <c r="Z27" s="33">
        <f t="shared" si="7"/>
        <v>0</v>
      </c>
      <c r="AA27" s="33">
        <f t="shared" si="7"/>
        <v>0</v>
      </c>
      <c r="AB27" s="49">
        <f>SUM(O27:AA27)</f>
        <v>0</v>
      </c>
    </row>
    <row r="28" spans="1:28" s="42" customFormat="1">
      <c r="A28" s="65" t="s">
        <v>138</v>
      </c>
      <c r="B28" s="65"/>
      <c r="C28" s="65"/>
      <c r="D28" s="65"/>
      <c r="E28" s="65"/>
      <c r="F28" s="65"/>
      <c r="G28" s="65"/>
      <c r="H28" s="65"/>
      <c r="I28" s="65"/>
      <c r="J28" s="65"/>
      <c r="K28" s="65"/>
      <c r="L28" s="73">
        <f>SUM(L26:L27)</f>
        <v>10189515600.030233</v>
      </c>
      <c r="M28" s="73">
        <f>SUM(M26:M27)</f>
        <v>446600000</v>
      </c>
      <c r="N28" s="70" t="s">
        <v>138</v>
      </c>
      <c r="O28" s="73">
        <f t="shared" ref="O28:AB28" si="8">SUM(O26:O27)</f>
        <v>0</v>
      </c>
      <c r="P28" s="73">
        <f t="shared" si="8"/>
        <v>0</v>
      </c>
      <c r="Q28" s="73">
        <f t="shared" si="8"/>
        <v>0</v>
      </c>
      <c r="R28" s="73">
        <f t="shared" si="8"/>
        <v>0</v>
      </c>
      <c r="S28" s="73">
        <f t="shared" si="8"/>
        <v>0</v>
      </c>
      <c r="T28" s="73">
        <f t="shared" si="8"/>
        <v>0</v>
      </c>
      <c r="U28" s="73">
        <f t="shared" si="8"/>
        <v>0</v>
      </c>
      <c r="V28" s="73">
        <f t="shared" si="8"/>
        <v>0</v>
      </c>
      <c r="W28" s="73">
        <f t="shared" si="8"/>
        <v>0</v>
      </c>
      <c r="X28" s="73">
        <f t="shared" si="8"/>
        <v>0</v>
      </c>
      <c r="Y28" s="73">
        <f t="shared" si="8"/>
        <v>0</v>
      </c>
      <c r="Z28" s="73">
        <f t="shared" si="8"/>
        <v>0</v>
      </c>
      <c r="AA28" s="73">
        <f t="shared" si="8"/>
        <v>0</v>
      </c>
      <c r="AB28" s="49">
        <f t="shared" si="8"/>
        <v>0</v>
      </c>
    </row>
    <row r="30" spans="1:28">
      <c r="M30" s="54"/>
    </row>
    <row r="31" spans="1:28">
      <c r="J31" s="54"/>
      <c r="L31" s="52"/>
      <c r="M31" s="52"/>
    </row>
    <row r="32" spans="1:28">
      <c r="J32" s="54"/>
      <c r="L32" s="53"/>
      <c r="M32" s="53"/>
    </row>
    <row r="33" spans="10:13">
      <c r="J33" s="54"/>
    </row>
    <row r="34" spans="10:13">
      <c r="J34" s="54"/>
      <c r="L34" s="54"/>
      <c r="M34" s="54"/>
    </row>
    <row r="35" spans="10:13">
      <c r="J35" s="54"/>
      <c r="L35" s="54"/>
      <c r="M35" s="54"/>
    </row>
    <row r="37" spans="10:13">
      <c r="L37" s="53"/>
      <c r="M37" s="53"/>
    </row>
    <row r="38" spans="10:13">
      <c r="J38" s="54"/>
    </row>
    <row r="39" spans="10:13">
      <c r="J39" s="54"/>
      <c r="L39" s="54"/>
      <c r="M39" s="54"/>
    </row>
    <row r="40" spans="10:13">
      <c r="J40" s="54"/>
      <c r="L40" s="54"/>
      <c r="M40" s="54"/>
    </row>
    <row r="41" spans="10:13">
      <c r="J41" s="54"/>
      <c r="L41" s="54"/>
      <c r="M41" s="54"/>
    </row>
    <row r="42" spans="10:13">
      <c r="L42" s="55"/>
      <c r="M42" s="55"/>
    </row>
  </sheetData>
  <mergeCells count="58">
    <mergeCell ref="A1:AB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B2:AB3"/>
    <mergeCell ref="N2:N3"/>
    <mergeCell ref="M2:M3"/>
    <mergeCell ref="A4:A13"/>
    <mergeCell ref="B4:B7"/>
    <mergeCell ref="C4:C7"/>
    <mergeCell ref="D4:D7"/>
    <mergeCell ref="E4:E7"/>
    <mergeCell ref="B8:B11"/>
    <mergeCell ref="D8:D11"/>
    <mergeCell ref="C8:C11"/>
    <mergeCell ref="E8:E11"/>
    <mergeCell ref="F8:F11"/>
    <mergeCell ref="G8:G11"/>
    <mergeCell ref="H8:H11"/>
    <mergeCell ref="I8:I11"/>
    <mergeCell ref="J8:J11"/>
    <mergeCell ref="K8:K11"/>
    <mergeCell ref="K4:K7"/>
    <mergeCell ref="J2:J3"/>
    <mergeCell ref="K2:K3"/>
    <mergeCell ref="L2:L3"/>
    <mergeCell ref="F4:F7"/>
    <mergeCell ref="G4:G7"/>
    <mergeCell ref="H4:H7"/>
    <mergeCell ref="I4:I7"/>
    <mergeCell ref="J4:J7"/>
    <mergeCell ref="A15:A20"/>
    <mergeCell ref="B19:B20"/>
    <mergeCell ref="C19:C20"/>
    <mergeCell ref="D19:D20"/>
    <mergeCell ref="E19:E20"/>
    <mergeCell ref="K19:K20"/>
    <mergeCell ref="B15:B18"/>
    <mergeCell ref="C15:C18"/>
    <mergeCell ref="D15:D18"/>
    <mergeCell ref="E15:E18"/>
    <mergeCell ref="F15:F18"/>
    <mergeCell ref="G15:G18"/>
    <mergeCell ref="H15:H18"/>
    <mergeCell ref="I15:I18"/>
    <mergeCell ref="J15:J18"/>
    <mergeCell ref="K15:K18"/>
    <mergeCell ref="F19:F20"/>
    <mergeCell ref="G19:G20"/>
    <mergeCell ref="H19:H20"/>
    <mergeCell ref="I19:I20"/>
    <mergeCell ref="J19:J20"/>
  </mergeCells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27F9E1D1CD9324E92A49A2CA51A8F7D" ma:contentTypeVersion="12" ma:contentTypeDescription="Crear nuevo documento." ma:contentTypeScope="" ma:versionID="a6491b6acc2f714e61ff656b3250da7e">
  <xsd:schema xmlns:xsd="http://www.w3.org/2001/XMLSchema" xmlns:xs="http://www.w3.org/2001/XMLSchema" xmlns:p="http://schemas.microsoft.com/office/2006/metadata/properties" xmlns:ns2="37383720-83a2-43e8-8623-ab5806e11576" xmlns:ns3="3bbd4ef0-2312-4aa6-8cb8-ac9a1fabe0d6" targetNamespace="http://schemas.microsoft.com/office/2006/metadata/properties" ma:root="true" ma:fieldsID="07159a382052e0fa6d11faa8192ac3d5" ns2:_="" ns3:_="">
    <xsd:import namespace="37383720-83a2-43e8-8623-ab5806e11576"/>
    <xsd:import namespace="3bbd4ef0-2312-4aa6-8cb8-ac9a1fabe0d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7383720-83a2-43e8-8623-ab5806e115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db153745-5d5f-4857-8630-a95a3280e7d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bbd4ef0-2312-4aa6-8cb8-ac9a1fabe0d6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f541441a-5412-46f6-af5c-a0aee565886c}" ma:internalName="TaxCatchAll" ma:showField="CatchAllData" ma:web="3bbd4ef0-2312-4aa6-8cb8-ac9a1fabe0d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7383720-83a2-43e8-8623-ab5806e11576">
      <Terms xmlns="http://schemas.microsoft.com/office/infopath/2007/PartnerControls"/>
    </lcf76f155ced4ddcb4097134ff3c332f>
    <TaxCatchAll xmlns="3bbd4ef0-2312-4aa6-8cb8-ac9a1fabe0d6" xsi:nil="true"/>
  </documentManagement>
</p:properties>
</file>

<file path=customXml/itemProps1.xml><?xml version="1.0" encoding="utf-8"?>
<ds:datastoreItem xmlns:ds="http://schemas.openxmlformats.org/officeDocument/2006/customXml" ds:itemID="{FACC3AFB-6D53-4647-827B-3B3404A55027}"/>
</file>

<file path=customXml/itemProps2.xml><?xml version="1.0" encoding="utf-8"?>
<ds:datastoreItem xmlns:ds="http://schemas.openxmlformats.org/officeDocument/2006/customXml" ds:itemID="{5A1BF739-590B-4C96-868F-25CF8D5A6255}"/>
</file>

<file path=customXml/itemProps3.xml><?xml version="1.0" encoding="utf-8"?>
<ds:datastoreItem xmlns:ds="http://schemas.openxmlformats.org/officeDocument/2006/customXml" ds:itemID="{2A40933A-1F60-4912-A0CC-093E75B8EC5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Angela Maria Rodriguez</dc:creator>
  <cp:keywords/>
  <dc:description/>
  <cp:lastModifiedBy>Gustavo Adolfo Forero Velasco</cp:lastModifiedBy>
  <cp:revision/>
  <dcterms:created xsi:type="dcterms:W3CDTF">2017-09-01T09:43:35Z</dcterms:created>
  <dcterms:modified xsi:type="dcterms:W3CDTF">2023-04-27T22:58:37Z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0x010100527F9E1D1CD9324E92A49A2CA51A8F7D</vt:lpwstr>
  </property>
  <property fmtid="{D5CDD505-2E9C-101B-9397-08002B2CF9AE}" pid="3" name="MediaServiceImageTags">
    <vt:lpwstr/>
  </property>
</Properties>
</file>