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enciadetierras.sharepoint.com/sites/ADMINISTRATIVOSPO2023/Documentos compartidos/General/🛄 CONVENIOS/NUEVO CONVENIO 2023 ANT - PNUD/"/>
    </mc:Choice>
  </mc:AlternateContent>
  <xr:revisionPtr revIDLastSave="418" documentId="13_ncr:1_{C8B5099E-B1B6-4568-ADA3-2B3105CEC037}" xr6:coauthVersionLast="47" xr6:coauthVersionMax="47" xr10:uidLastSave="{EAA6BBBA-4AAF-4539-892E-74C9D8FD73C3}"/>
  <bookViews>
    <workbookView xWindow="-110" yWindow="-110" windowWidth="19420" windowHeight="10420" firstSheet="4" activeTab="6" xr2:uid="{02F739A7-EEEC-41EC-B013-7D0B0849A63F}"/>
  </bookViews>
  <sheets>
    <sheet name="RESUMEN" sheetId="2" state="hidden" r:id="rId1"/>
    <sheet name="CONVENIO NUEVO GASTOS OPERATIVO" sheetId="3" state="hidden" r:id="rId2"/>
    <sheet name="RESUMEN PROYECCION " sheetId="12" r:id="rId3"/>
    <sheet name="INFORMACIÓN" sheetId="1" state="hidden" r:id="rId4"/>
    <sheet name="ACITIVIDAD" sheetId="4" r:id="rId5"/>
    <sheet name="COSTOS NOMINA  OPERATIV PNUD " sheetId="16" r:id="rId6"/>
    <sheet name="DESAGRECACIÓN DE GASTOS PNUD" sheetId="17" r:id="rId7"/>
    <sheet name=" COSTOS MENSUALES ITEM (1)" sheetId="6" r:id="rId8"/>
    <sheet name=" COSTOS MENSUALES ITEM (2)" sheetId="7" r:id="rId9"/>
    <sheet name=" COSTOS MENSUALES ITEM (3)" sheetId="8" r:id="rId10"/>
    <sheet name=" COSTOS MENSUALES ITEM (4)" sheetId="9" r:id="rId11"/>
    <sheet name=" COSTOS MENSUALES ITEM (5)" sheetId="10" r:id="rId12"/>
    <sheet name=" COSTOS MENSUALES ITEM (6)" sheetId="14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Fill" hidden="1">#REF!</definedName>
    <definedName name="A">[1]Data!$F$1:$F$65536</definedName>
    <definedName name="AA">[2]Data!$F$1:$F$65536</definedName>
    <definedName name="ACCT_CODE">[3]Data!$F$1:$F$65536</definedName>
    <definedName name="ACTV_CODE">[3]Data!$E$1:$E$65536</definedName>
    <definedName name="CARGO">#REF!</definedName>
    <definedName name="CARGO1">[4]Base!$B$12</definedName>
    <definedName name="CBWorkbookPriority" hidden="1">-456698257</definedName>
    <definedName name="cuadrilla">#REF!</definedName>
    <definedName name="DEPARTAMENTO">[5]TRANSACCIONES!#REF!</definedName>
    <definedName name="DEPTO">#REF!</definedName>
    <definedName name="desc_rps">[6]des_rps!$A$1:$A$364</definedName>
    <definedName name="Días">OFFSET([7]Reporte!#REF!,1,0,COUNTA([7]Reporte!$R$36:$R$190)-COUNTIF([7]Reporte!$R$36:$R$71,"")+1,1)</definedName>
    <definedName name="DME_Dirty" hidden="1">"False"</definedName>
    <definedName name="equipo">#REF!</definedName>
    <definedName name="Etapa">OFFSET([7]Reporte!#REF!,1,0,COUNTA([7]Reporte!$R$36:$R$190)-COUNTIF([7]Reporte!$R$36:$R$71,"")+1,1)</definedName>
    <definedName name="FECHA">#REF!</definedName>
    <definedName name="FUND_CODE">[3]Data!$C$1:$C$65536</definedName>
    <definedName name="ListaDeCategorías">[8]Configuración!$B$5:$B$11</definedName>
    <definedName name="MAESTRO">#REF!</definedName>
    <definedName name="MATERIALES">#REF!</definedName>
    <definedName name="MPIO">#REF!</definedName>
    <definedName name="NOMBRE1">[4]Base!$B$11</definedName>
    <definedName name="NombreTabla">"Dummy"</definedName>
    <definedName name="NUMPROY">#REF!</definedName>
    <definedName name="OBRERO">#REF!</definedName>
    <definedName name="OFICIAL">#REF!</definedName>
    <definedName name="ORG_CODE">[3]Data!$D$1:$D$65536</definedName>
    <definedName name="PAIS">#REF!</definedName>
    <definedName name="PAYEE_FLAG">[3]Data!$I$1:$I$65536</definedName>
    <definedName name="Presupuesto">[5]TRANSACCIONES!#REF!</definedName>
    <definedName name="PROY">#REF!</definedName>
    <definedName name="PROYECTO">#REF!</definedName>
    <definedName name="REPRE">#REF!</definedName>
    <definedName name="SAL_MIN">#REF!</definedName>
    <definedName name="SPARE_CODE">[3]Data!$G$1:$G$65536</definedName>
    <definedName name="SUBLINE_CODE">[3]Data!$H$1:$H$65536</definedName>
    <definedName name="TítuloDeColumna2">[8]!TablaDeCategoríasYEmpleados[[#Headers],[Nombre de categoría]]</definedName>
    <definedName name="TOTAL_DIRECTO">#REF!</definedName>
    <definedName name="TRANS_TYPE">[3]Data!$B$1:$B$65536</definedName>
    <definedName name="unidades">[6]Listado!$AI$2:$AI$85</definedName>
    <definedName name="zzz">#REF!</definedName>
  </definedName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1" i="17" l="1"/>
  <c r="C31" i="17"/>
  <c r="D31" i="17"/>
  <c r="E31" i="17"/>
  <c r="F31" i="17"/>
  <c r="G31" i="17"/>
  <c r="H31" i="17"/>
  <c r="I31" i="17"/>
  <c r="J31" i="17"/>
  <c r="K31" i="17"/>
  <c r="L31" i="17"/>
  <c r="M31" i="17"/>
  <c r="N31" i="17"/>
  <c r="O31" i="17"/>
  <c r="B31" i="17"/>
  <c r="D8" i="16"/>
  <c r="D9" i="16"/>
  <c r="D10" i="16"/>
  <c r="D3" i="16"/>
  <c r="F13" i="7"/>
  <c r="F12" i="7"/>
  <c r="F11" i="7"/>
  <c r="C12" i="14"/>
  <c r="C11" i="14"/>
  <c r="P20" i="17"/>
  <c r="N29" i="17"/>
  <c r="O29" i="17"/>
  <c r="O20" i="17" l="1"/>
  <c r="N20" i="17"/>
  <c r="P17" i="17"/>
  <c r="O17" i="17"/>
  <c r="N17" i="17"/>
  <c r="P4" i="17"/>
  <c r="P5" i="17"/>
  <c r="P6" i="17"/>
  <c r="P7" i="17"/>
  <c r="P8" i="17"/>
  <c r="P9" i="17"/>
  <c r="P10" i="17"/>
  <c r="P11" i="17"/>
  <c r="P12" i="17"/>
  <c r="P13" i="17"/>
  <c r="P3" i="17"/>
  <c r="E29" i="12"/>
  <c r="E28" i="12"/>
  <c r="D30" i="12" l="1"/>
  <c r="D28" i="12"/>
  <c r="D29" i="12"/>
  <c r="P24" i="17"/>
  <c r="P23" i="17"/>
  <c r="M20" i="17"/>
  <c r="L20" i="17"/>
  <c r="K20" i="17"/>
  <c r="J20" i="17"/>
  <c r="I20" i="17"/>
  <c r="H20" i="17"/>
  <c r="G20" i="17"/>
  <c r="F20" i="17"/>
  <c r="E20" i="17"/>
  <c r="D20" i="17"/>
  <c r="C20" i="17"/>
  <c r="B20" i="17"/>
  <c r="M17" i="17"/>
  <c r="L17" i="17"/>
  <c r="K17" i="17"/>
  <c r="J17" i="17"/>
  <c r="I17" i="17"/>
  <c r="H17" i="17"/>
  <c r="G17" i="17"/>
  <c r="F17" i="17"/>
  <c r="E17" i="17"/>
  <c r="D17" i="17"/>
  <c r="C17" i="17"/>
  <c r="B17" i="17"/>
  <c r="F11" i="10"/>
  <c r="C29" i="17" l="1"/>
  <c r="K29" i="17"/>
  <c r="D29" i="17"/>
  <c r="L29" i="17"/>
  <c r="E29" i="17"/>
  <c r="I29" i="17"/>
  <c r="M29" i="17"/>
  <c r="G29" i="17"/>
  <c r="H29" i="17"/>
  <c r="B6" i="16"/>
  <c r="B29" i="17"/>
  <c r="F29" i="17"/>
  <c r="J29" i="17"/>
  <c r="P14" i="17"/>
  <c r="B5" i="16" s="1"/>
  <c r="P25" i="17"/>
  <c r="B11" i="16" s="1"/>
  <c r="B7" i="16"/>
  <c r="F11" i="9"/>
  <c r="C15" i="6"/>
  <c r="F15" i="6"/>
  <c r="F6" i="6"/>
  <c r="F11" i="6"/>
  <c r="F12" i="14"/>
  <c r="F11" i="14"/>
  <c r="B25" i="14"/>
  <c r="E25" i="14"/>
  <c r="C25" i="14"/>
  <c r="F12" i="8"/>
  <c r="F13" i="8"/>
  <c r="F14" i="8"/>
  <c r="F11" i="8"/>
  <c r="F14" i="7"/>
  <c r="F15" i="7"/>
  <c r="F16" i="7"/>
  <c r="F17" i="7"/>
  <c r="F18" i="7"/>
  <c r="F13" i="6"/>
  <c r="F14" i="6"/>
  <c r="F16" i="6"/>
  <c r="F17" i="6"/>
  <c r="F18" i="6"/>
  <c r="P27" i="17" l="1"/>
  <c r="P29" i="17"/>
  <c r="C14" i="12"/>
  <c r="C15" i="12"/>
  <c r="C16" i="12"/>
  <c r="C17" i="12"/>
  <c r="C18" i="12"/>
  <c r="C19" i="12"/>
  <c r="C11" i="16"/>
  <c r="C7" i="16"/>
  <c r="C6" i="16"/>
  <c r="C5" i="16"/>
  <c r="C10" i="16"/>
  <c r="C9" i="16"/>
  <c r="B9" i="16"/>
  <c r="B8" i="16"/>
  <c r="C8" i="16" s="1"/>
  <c r="B4" i="16"/>
  <c r="C3" i="16"/>
  <c r="B12" i="16" l="1"/>
  <c r="C12" i="16"/>
  <c r="D4" i="16"/>
  <c r="D12" i="16" s="1"/>
  <c r="C13" i="12"/>
  <c r="C20" i="12"/>
  <c r="C4" i="16"/>
  <c r="B13" i="16"/>
  <c r="C13" i="16" s="1"/>
  <c r="C17" i="14"/>
  <c r="F16" i="14"/>
  <c r="F15" i="14"/>
  <c r="F14" i="14"/>
  <c r="F13" i="14"/>
  <c r="G9" i="14"/>
  <c r="D27" i="12"/>
  <c r="C17" i="10"/>
  <c r="F16" i="10"/>
  <c r="F15" i="10"/>
  <c r="F14" i="10"/>
  <c r="F13" i="10"/>
  <c r="F12" i="10"/>
  <c r="G9" i="10"/>
  <c r="C15" i="9"/>
  <c r="F14" i="9"/>
  <c r="F12" i="9"/>
  <c r="C15" i="8"/>
  <c r="F12" i="6"/>
  <c r="G9" i="6"/>
  <c r="E30" i="17" l="1"/>
  <c r="I30" i="17"/>
  <c r="M30" i="17"/>
  <c r="E12" i="16"/>
  <c r="C30" i="17"/>
  <c r="K30" i="17"/>
  <c r="F30" i="17"/>
  <c r="J30" i="17"/>
  <c r="N30" i="17"/>
  <c r="G30" i="17"/>
  <c r="O30" i="17"/>
  <c r="D30" i="17"/>
  <c r="H30" i="17"/>
  <c r="L30" i="17"/>
  <c r="B30" i="17"/>
  <c r="F19" i="6"/>
  <c r="F17" i="14"/>
  <c r="F17" i="10"/>
  <c r="C11" i="12" s="1"/>
  <c r="F15" i="8"/>
  <c r="F19" i="7"/>
  <c r="C19" i="7" s="1"/>
  <c r="C19" i="6"/>
  <c r="P30" i="17" l="1"/>
  <c r="C12" i="12"/>
  <c r="C9" i="12"/>
  <c r="C8" i="12"/>
  <c r="C7" i="12"/>
  <c r="D31" i="3"/>
  <c r="E29" i="3"/>
  <c r="E30" i="3"/>
  <c r="E27" i="3"/>
  <c r="E31" i="3"/>
  <c r="E28" i="3" s="1"/>
  <c r="E18" i="3"/>
  <c r="E19" i="3" s="1"/>
  <c r="E21" i="3" s="1"/>
  <c r="E8" i="3"/>
  <c r="E10" i="3" s="1"/>
  <c r="E32" i="1"/>
  <c r="E18" i="1"/>
  <c r="D3" i="2" l="1"/>
  <c r="C3" i="2"/>
  <c r="D5" i="2"/>
  <c r="C5" i="2"/>
  <c r="E5" i="2"/>
  <c r="D4" i="2" l="1"/>
  <c r="C4" i="2"/>
  <c r="F5" i="2" l="1"/>
  <c r="E34" i="1" l="1"/>
  <c r="E8" i="1"/>
  <c r="E19" i="1"/>
  <c r="E4" i="2" s="1"/>
  <c r="E10" i="1" l="1"/>
  <c r="E3" i="2"/>
  <c r="F3" i="2" s="1"/>
  <c r="E21" i="1"/>
  <c r="F4" i="2"/>
  <c r="F13" i="9" l="1"/>
  <c r="F15" i="9" s="1"/>
  <c r="C10" i="12" l="1"/>
  <c r="C9" i="4" l="1"/>
  <c r="D4" i="4" l="1"/>
  <c r="E4" i="4" s="1"/>
  <c r="D8" i="4"/>
  <c r="E8" i="4" s="1"/>
  <c r="D5" i="4"/>
  <c r="E5" i="4" s="1"/>
  <c r="D7" i="4"/>
  <c r="E7" i="4" s="1"/>
  <c r="F7" i="4" s="1"/>
  <c r="B5" i="10" s="1"/>
  <c r="C5" i="10" s="1"/>
  <c r="H7" i="4" s="1"/>
  <c r="D6" i="4"/>
  <c r="E6" i="4" s="1"/>
  <c r="D3" i="4"/>
  <c r="E3" i="4" s="1"/>
  <c r="C10" i="4"/>
  <c r="G7" i="4" l="1"/>
  <c r="F6" i="4"/>
  <c r="B5" i="9" s="1"/>
  <c r="C5" i="9" s="1"/>
  <c r="H6" i="4" s="1"/>
  <c r="F4" i="4"/>
  <c r="B5" i="7" s="1"/>
  <c r="C5" i="7" s="1"/>
  <c r="F8" i="4"/>
  <c r="B5" i="14" s="1"/>
  <c r="C5" i="14" s="1"/>
  <c r="H8" i="4" s="1"/>
  <c r="F5" i="4"/>
  <c r="B5" i="8" s="1"/>
  <c r="C5" i="8" s="1"/>
  <c r="H5" i="4" s="1"/>
  <c r="F3" i="4"/>
  <c r="B5" i="6" l="1"/>
  <c r="C5" i="6" s="1"/>
  <c r="H3" i="4" s="1"/>
  <c r="F10" i="4"/>
  <c r="G5" i="4"/>
  <c r="G8" i="4"/>
  <c r="D5" i="7"/>
  <c r="H4" i="4"/>
  <c r="C21" i="12"/>
  <c r="G4" i="4"/>
  <c r="G3" i="4"/>
  <c r="E9" i="4"/>
  <c r="G6" i="4"/>
  <c r="C22" i="12" l="1"/>
  <c r="D7" i="12"/>
  <c r="C23" i="12"/>
  <c r="D22" i="12"/>
</calcChain>
</file>

<file path=xl/sharedStrings.xml><?xml version="1.0" encoding="utf-8"?>
<sst xmlns="http://schemas.openxmlformats.org/spreadsheetml/2006/main" count="334" uniqueCount="137">
  <si>
    <t xml:space="preserve">CONVENIO </t>
  </si>
  <si>
    <t xml:space="preserve">VALOR CONVENIO </t>
  </si>
  <si>
    <t xml:space="preserve">EJECUCIÓN </t>
  </si>
  <si>
    <t xml:space="preserve">OVERHEAD Y COSTOS OPERATIVOS ACUMULADOS </t>
  </si>
  <si>
    <t xml:space="preserve">% COSTOS OPERATIVOS SOBRE LA EJECUCIÓN </t>
  </si>
  <si>
    <t xml:space="preserve">CONVENIO 1278 FAO </t>
  </si>
  <si>
    <t>CONVENIO 1410  FAO(PRODUCTO 4)</t>
  </si>
  <si>
    <t xml:space="preserve">CONVENIO 951 PNUD </t>
  </si>
  <si>
    <t xml:space="preserve">Nota: los costos de overhead y operativos aquí relacioandos estan a fecha del ultimo reporte financiero remitido por cada socio  </t>
  </si>
  <si>
    <t>CONVENIO 1278</t>
  </si>
  <si>
    <t>PRESUPUESTO</t>
  </si>
  <si>
    <t>EJECUTADO A 31 DE ENERO DEL 2022</t>
  </si>
  <si>
    <t>LINEA DEL GASTO</t>
  </si>
  <si>
    <t xml:space="preserve">DESCRIPCION DEL GASTO  </t>
  </si>
  <si>
    <t>EJECUTADO</t>
  </si>
  <si>
    <t>5050- GASTOS OPERATIVOS INTERNAL</t>
  </si>
  <si>
    <t>COSTOS DE OPERATIVOS DE  SOPORTE TECNOLOGICO</t>
  </si>
  <si>
    <t>5029- COSTOS DE SOPORTE PROYECTO</t>
  </si>
  <si>
    <t>COSTOS DE SOPORTE -OVERHEAD</t>
  </si>
  <si>
    <t>5027- SOPORTE TECNICO (tss)</t>
  </si>
  <si>
    <t>ACOMPAÑAMIENTO TECNICO ESPECIALIZADO-EVALUACION</t>
  </si>
  <si>
    <t>% sobe el valor ejecutado</t>
  </si>
  <si>
    <t>CONVENIO 1410 (PRODCUTO 4)</t>
  </si>
  <si>
    <t>EJECUTADO A 31 DE ENERO DEL 2021</t>
  </si>
  <si>
    <t xml:space="preserve">COSTOS DE SOPORTE </t>
  </si>
  <si>
    <t>5014- CONTRACTS</t>
  </si>
  <si>
    <t xml:space="preserve">COSTOS ASOCIADOS AL PAGO DEL FEE OPERADOR </t>
  </si>
  <si>
    <t xml:space="preserve">Total </t>
  </si>
  <si>
    <t xml:space="preserve">CONVENIO 951 </t>
  </si>
  <si>
    <t>Costos Admon - Regional</t>
  </si>
  <si>
    <t>DPC</t>
  </si>
  <si>
    <t>Gestión de Proyecto</t>
  </si>
  <si>
    <t>GMS</t>
  </si>
  <si>
    <t>RESUMEN  PROYECCIONES COSTOS NUEVO CONVENIO PNUD</t>
  </si>
  <si>
    <t xml:space="preserve">Concepto de gasto </t>
  </si>
  <si>
    <t>Costo proyectado</t>
  </si>
  <si>
    <t>Puesta en marcha de puntos para la atención del barrido predial masivo bajo la coordinación de las UGT</t>
  </si>
  <si>
    <t>Desarrollo de actividades de atención al público y soporte técnico al barrido predial en municipios priorizados</t>
  </si>
  <si>
    <t>Transporte</t>
  </si>
  <si>
    <t>Soporte de alquiler de equipos para el desarrollo de barridos prediales masivos</t>
  </si>
  <si>
    <t>Traslados expedientes y equipos topograficos</t>
  </si>
  <si>
    <t>Costos de montaje, seguimiento y monitoreo técnico del proyecto </t>
  </si>
  <si>
    <t>Costo admon Operador 6%</t>
  </si>
  <si>
    <t>Costos Nomina Nacional 12 meses</t>
  </si>
  <si>
    <t>Gastos de viaje</t>
  </si>
  <si>
    <t>Gastos de oficina</t>
  </si>
  <si>
    <t>esta por definir</t>
  </si>
  <si>
    <t>DPC 2%</t>
  </si>
  <si>
    <t>GMS - general management services (5%)</t>
  </si>
  <si>
    <t>Evaluación Final</t>
  </si>
  <si>
    <t>Auditorias, Microevaluaciones</t>
  </si>
  <si>
    <t>Imprevistos</t>
  </si>
  <si>
    <t>Total Operación</t>
  </si>
  <si>
    <t>Recursos a deembolsar</t>
  </si>
  <si>
    <t>%</t>
  </si>
  <si>
    <t>VALOR</t>
  </si>
  <si>
    <t xml:space="preserve">Se realizara el desembolso una vez se sobrepase  el siguiente nivel de ejecución de recursos </t>
  </si>
  <si>
    <t>Primer desembolso</t>
  </si>
  <si>
    <t>Segundo desembolso</t>
  </si>
  <si>
    <t>Tercer desembolso</t>
  </si>
  <si>
    <t>NO</t>
  </si>
  <si>
    <t>Ítem</t>
  </si>
  <si>
    <t>Total</t>
  </si>
  <si>
    <t xml:space="preserve">Costos por linea PNUD </t>
  </si>
  <si>
    <t xml:space="preserve">Total actividad ajustada </t>
  </si>
  <si>
    <t xml:space="preserve">TOTAL </t>
  </si>
  <si>
    <t>Disponible</t>
  </si>
  <si>
    <t>COSTOS DE MONTAJE, SEGUIMIENTO, MONITOREO TÉCNICO DEL PROYECTO</t>
  </si>
  <si>
    <t>TOTAL</t>
  </si>
  <si>
    <t>Presupuesto</t>
  </si>
  <si>
    <t>Participación %</t>
  </si>
  <si>
    <t>Implementación Acuerdo</t>
  </si>
  <si>
    <t xml:space="preserve">total costos PNUD </t>
  </si>
  <si>
    <t>Nomina Nacional</t>
  </si>
  <si>
    <t>1 mes</t>
  </si>
  <si>
    <t>2 mes</t>
  </si>
  <si>
    <t>3 mes</t>
  </si>
  <si>
    <t>4 mes</t>
  </si>
  <si>
    <t>5 mes</t>
  </si>
  <si>
    <t>6 mes</t>
  </si>
  <si>
    <t>7 mes</t>
  </si>
  <si>
    <t>8 mes</t>
  </si>
  <si>
    <t>9 mes</t>
  </si>
  <si>
    <t>10 mes</t>
  </si>
  <si>
    <t>11 mes</t>
  </si>
  <si>
    <t>12 mes</t>
  </si>
  <si>
    <t>Lider Proyecto - Nomina</t>
  </si>
  <si>
    <t>Manager Proyecto</t>
  </si>
  <si>
    <t>Ingeniero Catastral - Nomina</t>
  </si>
  <si>
    <t>Ingeniera Topografica - Nomina</t>
  </si>
  <si>
    <t>Lider Juridico - Nomina</t>
  </si>
  <si>
    <t>Lider Social - Nomina</t>
  </si>
  <si>
    <t>Monitoreo y seguimiento - Nomina</t>
  </si>
  <si>
    <t>Gestión Administrativa - Nomina</t>
  </si>
  <si>
    <t>Gestión Logistica y Administrativa - Nomina</t>
  </si>
  <si>
    <t>Gestión Logistica - Nomina</t>
  </si>
  <si>
    <t>Gestión Financiera - Nomina</t>
  </si>
  <si>
    <t>Viajes</t>
  </si>
  <si>
    <t xml:space="preserve">Costos de Operativos de Oficinas </t>
  </si>
  <si>
    <t>Auditoria</t>
  </si>
  <si>
    <t>Microevaluacion capacidades</t>
  </si>
  <si>
    <t>TOTAL POR ACTIVIDAD</t>
  </si>
  <si>
    <t xml:space="preserve">DISPONIBLE </t>
  </si>
  <si>
    <t>DIFERENCIA ENTRE DISPONIBLE Y PRESUPUESTO</t>
  </si>
  <si>
    <t xml:space="preserve">RESUMEN DE COSTOS MENSUALES </t>
  </si>
  <si>
    <t>MUNICIPIO</t>
  </si>
  <si>
    <t>PARENT</t>
  </si>
  <si>
    <t>GASTO</t>
  </si>
  <si>
    <t>CANTIDAD</t>
  </si>
  <si>
    <t xml:space="preserve">MESES </t>
  </si>
  <si>
    <t>ARRIENDO OFICINAS</t>
  </si>
  <si>
    <t xml:space="preserve">INTERNET BANDA ANCHA </t>
  </si>
  <si>
    <t>SERVICIOS OFICINA</t>
  </si>
  <si>
    <t xml:space="preserve">ALARMA  OFICINA </t>
  </si>
  <si>
    <t>ALQUILER DE COMPUTADORES</t>
  </si>
  <si>
    <t>Total operación municipio mes</t>
  </si>
  <si>
    <t>CONCEPTO</t>
  </si>
  <si>
    <t xml:space="preserve">CANTIDAD </t>
  </si>
  <si>
    <t>MESES</t>
  </si>
  <si>
    <t xml:space="preserve">Jornadas sociales y comunitarias  </t>
  </si>
  <si>
    <t xml:space="preserve">Jornadas RESO </t>
  </si>
  <si>
    <t xml:space="preserve">Jornadas de capacitación institucional y comunitaria </t>
  </si>
  <si>
    <t>Camionetas</t>
  </si>
  <si>
    <t>Compra o Alquiler equipos GNSS por oficina</t>
  </si>
  <si>
    <t xml:space="preserve">Compra de radio </t>
  </si>
  <si>
    <t>Tablet</t>
  </si>
  <si>
    <t>Envío o traslado de equipos de topografía</t>
  </si>
  <si>
    <t xml:space="preserve">Envío o traslado de expedientes prediales </t>
  </si>
  <si>
    <t xml:space="preserve"> MONTAJE OFICINA </t>
  </si>
  <si>
    <t xml:space="preserve">Compra 70 puestos de trabajo </t>
  </si>
  <si>
    <t xml:space="preserve">Traslado y montaje de 10 oficinas </t>
  </si>
  <si>
    <t>13 mes</t>
  </si>
  <si>
    <t>14 mes</t>
  </si>
  <si>
    <t>Costos Nomina Nacional  14 meses</t>
  </si>
  <si>
    <t>TOTAL POR MES GASTOS PNUD</t>
  </si>
  <si>
    <t>COSTO PROYECTADO POR MES ACTIVIDADES ANT</t>
  </si>
  <si>
    <t>OTAL PROTECTADO POR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</si>
</sst>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XDR&quot;* #,##0.00_-;\-&quot;XDR&quot;* #,##0.00_-;_-&quot;XDR&quot;* &quot;-&quot;??_-;_-@_-"/>
    <numFmt numFmtId="165" formatCode="_(&quot;$&quot;\ * #,##0.00_);_(&quot;$&quot;\ * \(#,##0.00\);_(&quot;$&quot;\ * &quot;-&quot;??_);_(@_)"/>
    <numFmt numFmtId="166" formatCode="0.000%"/>
    <numFmt numFmtId="167" formatCode="_-[$$-240A]\ * #,##0.00_-;\-[$$-240A]\ * #,##0.00_-;_-[$$-240A]\ * &quot;-&quot;??_-;_-@_-"/>
    <numFmt numFmtId="168" formatCode="&quot;$&quot;#,##0"/>
    <numFmt numFmtId="169" formatCode="_-[$$-2C0A]\ * #,##0.00_-;\-[$$-2C0A]\ * #,##0.00_-;_-[$$-2C0A]\ * &quot;-&quot;??_-;_-@_-"/>
    <numFmt numFmtId="170" formatCode="_(* #,##0.00_);_(* \(#,##0.00\);_(* &quot;-&quot;??_);_(@_)"/>
    <numFmt numFmtId="171" formatCode="_(* #,##0_);_(* \(#,##0\);_(* &quot;-&quot;??_);_(@_)"/>
    <numFmt numFmtId="172" formatCode="_(* #,##0.0_);_(* \(#,##0.0\);_(* &quot;-&quot;??_);_(@_)"/>
    <numFmt numFmtId="173" formatCode="&quot;$&quot;#,##0_);\(&quot;$&quot;#,##0\)"/>
    <numFmt numFmtId="174" formatCode="0.0%"/>
    <numFmt numFmtId="175" formatCode="0.0"/>
    <numFmt numFmtId="176" formatCode="_-* #,##0.00\ [$€-C0A]_-;\-* #,##0.00\ [$€-C0A]_-;_-* &quot;-&quot;??\ [$€-C0A]_-;_-@_-"/>
    <numFmt numFmtId="178" formatCode="_-* #,##0_-;\-* #,##0_-;_-* &quot;-&quot;??_-;_-@_-"/>
    <numFmt numFmtId="187" formatCode="&quot;$&quot;#,##0.000000000_);\(&quot;$&quot;#,##0.000000000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2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entury Gothic"/>
      <family val="1"/>
    </font>
    <font>
      <sz val="11"/>
      <color theme="1"/>
      <name val="Arial"/>
      <family val="2"/>
    </font>
    <font>
      <sz val="9"/>
      <color rgb="FFFF0000"/>
      <name val="Century Gothic"/>
      <family val="1"/>
    </font>
    <font>
      <sz val="10"/>
      <color theme="0"/>
      <name val="Calibri"/>
      <family val="2"/>
      <scheme val="minor"/>
    </font>
    <font>
      <sz val="12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i/>
      <sz val="8"/>
      <color theme="1"/>
      <name val="Arial"/>
      <family val="2"/>
    </font>
    <font>
      <u/>
      <sz val="10"/>
      <color rgb="FFD13438"/>
      <name val="Arial"/>
      <family val="2"/>
    </font>
    <font>
      <b/>
      <sz val="11"/>
      <color theme="1"/>
      <name val="Calibri"/>
      <family val="2"/>
      <scheme val="minor"/>
    </font>
    <font>
      <sz val="9"/>
      <name val="Century Gothic"/>
      <family val="1"/>
    </font>
    <font>
      <b/>
      <sz val="11"/>
      <color theme="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/>
      <right style="thin">
        <color theme="9"/>
      </right>
      <top style="thin">
        <color theme="9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143">
    <xf numFmtId="0" fontId="0" fillId="0" borderId="0" xfId="0"/>
    <xf numFmtId="9" fontId="0" fillId="0" borderId="1" xfId="2" applyFont="1" applyBorder="1"/>
    <xf numFmtId="0" fontId="0" fillId="0" borderId="1" xfId="0" applyBorder="1" applyAlignment="1">
      <alignment horizontal="center"/>
    </xf>
    <xf numFmtId="42" fontId="0" fillId="0" borderId="1" xfId="0" applyNumberFormat="1" applyBorder="1"/>
    <xf numFmtId="42" fontId="0" fillId="0" borderId="1" xfId="1" applyFont="1" applyBorder="1"/>
    <xf numFmtId="0" fontId="0" fillId="0" borderId="1" xfId="0" applyBorder="1"/>
    <xf numFmtId="4" fontId="2" fillId="2" borderId="2" xfId="3" applyNumberFormat="1" applyFont="1" applyFill="1" applyBorder="1" applyAlignment="1">
      <alignment vertical="center"/>
    </xf>
    <xf numFmtId="9" fontId="0" fillId="0" borderId="0" xfId="2" applyFont="1" applyBorder="1"/>
    <xf numFmtId="166" fontId="0" fillId="0" borderId="0" xfId="2" applyNumberFormat="1" applyFont="1" applyBorder="1" applyAlignment="1">
      <alignment horizontal="center" wrapText="1"/>
    </xf>
    <xf numFmtId="42" fontId="0" fillId="0" borderId="0" xfId="1" applyFont="1"/>
    <xf numFmtId="42" fontId="0" fillId="0" borderId="1" xfId="1" applyFont="1" applyBorder="1" applyAlignment="1">
      <alignment horizontal="center"/>
    </xf>
    <xf numFmtId="0" fontId="0" fillId="3" borderId="0" xfId="0" applyFill="1"/>
    <xf numFmtId="4" fontId="2" fillId="2" borderId="2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3" fillId="4" borderId="4" xfId="0" applyFont="1" applyFill="1" applyBorder="1"/>
    <xf numFmtId="0" fontId="3" fillId="4" borderId="5" xfId="0" applyFont="1" applyFill="1" applyBorder="1"/>
    <xf numFmtId="0" fontId="4" fillId="3" borderId="0" xfId="0" applyFont="1" applyFill="1"/>
    <xf numFmtId="0" fontId="4" fillId="3" borderId="4" xfId="0" applyFont="1" applyFill="1" applyBorder="1"/>
    <xf numFmtId="167" fontId="4" fillId="3" borderId="5" xfId="0" applyNumberFormat="1" applyFont="1" applyFill="1" applyBorder="1"/>
    <xf numFmtId="9" fontId="4" fillId="3" borderId="6" xfId="2" applyFont="1" applyFill="1" applyBorder="1"/>
    <xf numFmtId="0" fontId="3" fillId="4" borderId="5" xfId="0" applyFont="1" applyFill="1" applyBorder="1" applyAlignment="1">
      <alignment wrapText="1"/>
    </xf>
    <xf numFmtId="0" fontId="3" fillId="4" borderId="6" xfId="0" applyFont="1" applyFill="1" applyBorder="1" applyAlignment="1">
      <alignment wrapText="1"/>
    </xf>
    <xf numFmtId="42" fontId="0" fillId="0" borderId="0" xfId="0" applyNumberFormat="1"/>
    <xf numFmtId="9" fontId="0" fillId="0" borderId="0" xfId="2" applyFont="1"/>
    <xf numFmtId="9" fontId="0" fillId="0" borderId="0" xfId="0" applyNumberFormat="1"/>
    <xf numFmtId="6" fontId="8" fillId="0" borderId="7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11" fillId="3" borderId="0" xfId="0" applyFont="1" applyFill="1"/>
    <xf numFmtId="41" fontId="12" fillId="7" borderId="1" xfId="4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41" fontId="13" fillId="3" borderId="0" xfId="4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41" fontId="10" fillId="7" borderId="1" xfId="4" applyFont="1" applyFill="1" applyBorder="1" applyAlignment="1">
      <alignment horizontal="center"/>
    </xf>
    <xf numFmtId="0" fontId="14" fillId="3" borderId="0" xfId="0" applyFont="1" applyFill="1"/>
    <xf numFmtId="168" fontId="15" fillId="8" borderId="13" xfId="0" applyNumberFormat="1" applyFont="1" applyFill="1" applyBorder="1" applyAlignment="1">
      <alignment horizontal="center"/>
    </xf>
    <xf numFmtId="168" fontId="15" fillId="0" borderId="13" xfId="0" applyNumberFormat="1" applyFont="1" applyBorder="1" applyAlignment="1">
      <alignment horizontal="center"/>
    </xf>
    <xf numFmtId="168" fontId="16" fillId="8" borderId="13" xfId="0" applyNumberFormat="1" applyFont="1" applyFill="1" applyBorder="1" applyAlignment="1">
      <alignment horizontal="center"/>
    </xf>
    <xf numFmtId="168" fontId="17" fillId="8" borderId="13" xfId="0" applyNumberFormat="1" applyFont="1" applyFill="1" applyBorder="1" applyAlignment="1">
      <alignment horizontal="center"/>
    </xf>
    <xf numFmtId="168" fontId="17" fillId="0" borderId="13" xfId="0" applyNumberFormat="1" applyFont="1" applyBorder="1" applyAlignment="1">
      <alignment horizontal="center"/>
    </xf>
    <xf numFmtId="41" fontId="0" fillId="3" borderId="0" xfId="4" applyFont="1" applyFill="1"/>
    <xf numFmtId="168" fontId="18" fillId="7" borderId="1" xfId="1" applyNumberFormat="1" applyFont="1" applyFill="1" applyBorder="1"/>
    <xf numFmtId="41" fontId="0" fillId="3" borderId="0" xfId="0" applyNumberFormat="1" applyFill="1"/>
    <xf numFmtId="2" fontId="15" fillId="8" borderId="13" xfId="0" applyNumberFormat="1" applyFont="1" applyFill="1" applyBorder="1" applyAlignment="1">
      <alignment horizontal="center"/>
    </xf>
    <xf numFmtId="2" fontId="15" fillId="0" borderId="13" xfId="0" applyNumberFormat="1" applyFont="1" applyBorder="1" applyAlignment="1">
      <alignment horizontal="center"/>
    </xf>
    <xf numFmtId="0" fontId="20" fillId="3" borderId="0" xfId="0" applyFont="1" applyFill="1" applyAlignment="1">
      <alignment horizontal="center"/>
    </xf>
    <xf numFmtId="41" fontId="21" fillId="3" borderId="0" xfId="4" applyFont="1" applyFill="1" applyBorder="1" applyAlignment="1">
      <alignment horizontal="center"/>
    </xf>
    <xf numFmtId="41" fontId="16" fillId="3" borderId="0" xfId="4" applyFont="1" applyFill="1" applyBorder="1" applyAlignment="1">
      <alignment horizontal="center"/>
    </xf>
    <xf numFmtId="41" fontId="22" fillId="3" borderId="0" xfId="4" applyFont="1" applyFill="1" applyBorder="1" applyAlignment="1">
      <alignment horizontal="center"/>
    </xf>
    <xf numFmtId="0" fontId="1" fillId="3" borderId="0" xfId="0" applyFont="1" applyFill="1"/>
    <xf numFmtId="1" fontId="23" fillId="3" borderId="0" xfId="4" applyNumberFormat="1" applyFont="1" applyFill="1" applyBorder="1" applyAlignment="1">
      <alignment horizontal="left" wrapText="1"/>
    </xf>
    <xf numFmtId="41" fontId="6" fillId="3" borderId="0" xfId="0" applyNumberFormat="1" applyFont="1" applyFill="1"/>
    <xf numFmtId="0" fontId="0" fillId="3" borderId="0" xfId="0" applyFill="1" applyAlignment="1">
      <alignment wrapText="1"/>
    </xf>
    <xf numFmtId="41" fontId="1" fillId="3" borderId="0" xfId="4" applyFont="1" applyFill="1"/>
    <xf numFmtId="0" fontId="21" fillId="7" borderId="16" xfId="0" applyFont="1" applyFill="1" applyBorder="1" applyAlignment="1">
      <alignment horizontal="center"/>
    </xf>
    <xf numFmtId="41" fontId="21" fillId="7" borderId="16" xfId="4" applyFont="1" applyFill="1" applyBorder="1" applyAlignment="1">
      <alignment horizontal="center"/>
    </xf>
    <xf numFmtId="0" fontId="0" fillId="3" borderId="1" xfId="0" applyFill="1" applyBorder="1"/>
    <xf numFmtId="41" fontId="0" fillId="3" borderId="1" xfId="0" applyNumberFormat="1" applyFill="1" applyBorder="1" applyAlignment="1">
      <alignment horizontal="center"/>
    </xf>
    <xf numFmtId="9" fontId="0" fillId="3" borderId="1" xfId="0" applyNumberFormat="1" applyFill="1" applyBorder="1"/>
    <xf numFmtId="169" fontId="0" fillId="3" borderId="1" xfId="6" applyNumberFormat="1" applyFont="1" applyFill="1" applyBorder="1"/>
    <xf numFmtId="0" fontId="24" fillId="0" borderId="1" xfId="0" applyFont="1" applyBorder="1" applyAlignment="1">
      <alignment wrapText="1"/>
    </xf>
    <xf numFmtId="0" fontId="21" fillId="7" borderId="1" xfId="0" applyFont="1" applyFill="1" applyBorder="1" applyAlignment="1">
      <alignment horizontal="center"/>
    </xf>
    <xf numFmtId="41" fontId="21" fillId="7" borderId="1" xfId="4" applyFont="1" applyFill="1" applyBorder="1" applyAlignment="1">
      <alignment horizontal="center"/>
    </xf>
    <xf numFmtId="44" fontId="16" fillId="0" borderId="1" xfId="5" applyFont="1" applyBorder="1" applyAlignment="1">
      <alignment horizontal="center"/>
    </xf>
    <xf numFmtId="44" fontId="21" fillId="7" borderId="1" xfId="5" applyFont="1" applyFill="1" applyBorder="1" applyAlignment="1">
      <alignment horizontal="center"/>
    </xf>
    <xf numFmtId="171" fontId="0" fillId="0" borderId="0" xfId="7" applyNumberFormat="1" applyFont="1"/>
    <xf numFmtId="170" fontId="0" fillId="0" borderId="0" xfId="7" applyFont="1"/>
    <xf numFmtId="172" fontId="25" fillId="0" borderId="0" xfId="0" applyNumberFormat="1" applyFont="1"/>
    <xf numFmtId="172" fontId="0" fillId="0" borderId="0" xfId="0" applyNumberFormat="1"/>
    <xf numFmtId="0" fontId="25" fillId="0" borderId="1" xfId="0" applyFont="1" applyBorder="1"/>
    <xf numFmtId="173" fontId="25" fillId="0" borderId="1" xfId="7" applyNumberFormat="1" applyFont="1" applyBorder="1"/>
    <xf numFmtId="173" fontId="0" fillId="0" borderId="0" xfId="7" applyNumberFormat="1" applyFont="1"/>
    <xf numFmtId="173" fontId="0" fillId="0" borderId="1" xfId="7" applyNumberFormat="1" applyFont="1" applyBorder="1"/>
    <xf numFmtId="174" fontId="0" fillId="0" borderId="1" xfId="2" applyNumberFormat="1" applyFont="1" applyBorder="1" applyAlignment="1">
      <alignment horizontal="center"/>
    </xf>
    <xf numFmtId="173" fontId="0" fillId="0" borderId="1" xfId="7" applyNumberFormat="1" applyFont="1" applyFill="1" applyBorder="1"/>
    <xf numFmtId="44" fontId="8" fillId="0" borderId="12" xfId="0" applyNumberFormat="1" applyFont="1" applyBorder="1" applyAlignment="1">
      <alignment horizontal="center" vertical="center" wrapText="1"/>
    </xf>
    <xf numFmtId="0" fontId="0" fillId="7" borderId="0" xfId="0" applyFill="1"/>
    <xf numFmtId="44" fontId="0" fillId="3" borderId="0" xfId="5" applyFont="1" applyFill="1"/>
    <xf numFmtId="44" fontId="0" fillId="3" borderId="0" xfId="0" applyNumberFormat="1" applyFill="1"/>
    <xf numFmtId="175" fontId="15" fillId="8" borderId="13" xfId="0" applyNumberFormat="1" applyFont="1" applyFill="1" applyBorder="1" applyAlignment="1">
      <alignment horizontal="center"/>
    </xf>
    <xf numFmtId="1" fontId="15" fillId="8" borderId="13" xfId="0" applyNumberFormat="1" applyFont="1" applyFill="1" applyBorder="1" applyAlignment="1">
      <alignment horizontal="center"/>
    </xf>
    <xf numFmtId="1" fontId="15" fillId="0" borderId="13" xfId="0" applyNumberFormat="1" applyFont="1" applyBorder="1" applyAlignment="1">
      <alignment horizontal="center"/>
    </xf>
    <xf numFmtId="168" fontId="0" fillId="3" borderId="0" xfId="0" applyNumberFormat="1" applyFill="1"/>
    <xf numFmtId="41" fontId="12" fillId="7" borderId="1" xfId="4" applyFont="1" applyFill="1" applyBorder="1" applyAlignment="1">
      <alignment horizontal="center" vertical="center"/>
    </xf>
    <xf numFmtId="6" fontId="0" fillId="3" borderId="0" xfId="0" applyNumberFormat="1" applyFill="1"/>
    <xf numFmtId="168" fontId="15" fillId="8" borderId="13" xfId="0" applyNumberFormat="1" applyFont="1" applyFill="1" applyBorder="1" applyAlignment="1">
      <alignment horizontal="left"/>
    </xf>
    <xf numFmtId="168" fontId="15" fillId="0" borderId="13" xfId="0" applyNumberFormat="1" applyFont="1" applyBorder="1" applyAlignment="1">
      <alignment horizontal="left"/>
    </xf>
    <xf numFmtId="43" fontId="0" fillId="0" borderId="0" xfId="0" applyNumberFormat="1"/>
    <xf numFmtId="168" fontId="26" fillId="8" borderId="13" xfId="0" applyNumberFormat="1" applyFont="1" applyFill="1" applyBorder="1" applyAlignment="1">
      <alignment horizontal="center"/>
    </xf>
    <xf numFmtId="176" fontId="0" fillId="3" borderId="0" xfId="0" applyNumberFormat="1" applyFill="1"/>
    <xf numFmtId="41" fontId="0" fillId="0" borderId="0" xfId="0" applyNumberFormat="1"/>
    <xf numFmtId="44" fontId="0" fillId="0" borderId="0" xfId="0" applyNumberFormat="1"/>
    <xf numFmtId="169" fontId="0" fillId="3" borderId="0" xfId="2" applyNumberFormat="1" applyFont="1" applyFill="1" applyAlignment="1">
      <alignment wrapText="1"/>
    </xf>
    <xf numFmtId="2" fontId="26" fillId="8" borderId="13" xfId="0" applyNumberFormat="1" applyFont="1" applyFill="1" applyBorder="1" applyAlignment="1">
      <alignment horizontal="center"/>
    </xf>
    <xf numFmtId="168" fontId="26" fillId="0" borderId="13" xfId="0" applyNumberFormat="1" applyFont="1" applyBorder="1" applyAlignment="1">
      <alignment horizontal="center"/>
    </xf>
    <xf numFmtId="2" fontId="26" fillId="0" borderId="13" xfId="0" applyNumberFormat="1" applyFont="1" applyBorder="1" applyAlignment="1">
      <alignment horizontal="center"/>
    </xf>
    <xf numFmtId="0" fontId="6" fillId="9" borderId="1" xfId="0" applyFont="1" applyFill="1" applyBorder="1" applyAlignment="1">
      <alignment horizontal="left"/>
    </xf>
    <xf numFmtId="173" fontId="0" fillId="3" borderId="1" xfId="7" applyNumberFormat="1" applyFont="1" applyFill="1" applyBorder="1"/>
    <xf numFmtId="0" fontId="7" fillId="6" borderId="17" xfId="0" applyFont="1" applyFill="1" applyBorder="1" applyAlignment="1">
      <alignment horizontal="center" vertical="center" wrapText="1"/>
    </xf>
    <xf numFmtId="8" fontId="0" fillId="0" borderId="17" xfId="0" applyNumberFormat="1" applyBorder="1"/>
    <xf numFmtId="0" fontId="2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8" fontId="28" fillId="0" borderId="1" xfId="0" applyNumberFormat="1" applyFont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8" fontId="28" fillId="5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3" borderId="1" xfId="2" applyFont="1" applyFill="1" applyBorder="1" applyAlignment="1">
      <alignment horizontal="center" vertical="center"/>
    </xf>
    <xf numFmtId="44" fontId="0" fillId="3" borderId="1" xfId="5" applyFont="1" applyFill="1" applyBorder="1" applyAlignment="1">
      <alignment horizontal="center" vertical="center"/>
    </xf>
    <xf numFmtId="44" fontId="0" fillId="3" borderId="1" xfId="0" applyNumberFormat="1" applyFill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169" fontId="0" fillId="3" borderId="17" xfId="6" applyNumberFormat="1" applyFont="1" applyFill="1" applyBorder="1"/>
    <xf numFmtId="0" fontId="0" fillId="3" borderId="1" xfId="0" applyFill="1" applyBorder="1" applyAlignment="1">
      <alignment horizontal="center" wrapText="1"/>
    </xf>
    <xf numFmtId="171" fontId="0" fillId="0" borderId="1" xfId="7" applyNumberFormat="1" applyFont="1" applyBorder="1"/>
    <xf numFmtId="171" fontId="0" fillId="0" borderId="1" xfId="0" applyNumberFormat="1" applyBorder="1"/>
    <xf numFmtId="0" fontId="0" fillId="4" borderId="1" xfId="0" applyFill="1" applyBorder="1"/>
    <xf numFmtId="0" fontId="5" fillId="4" borderId="1" xfId="0" applyFont="1" applyFill="1" applyBorder="1"/>
    <xf numFmtId="0" fontId="6" fillId="4" borderId="1" xfId="0" applyFont="1" applyFill="1" applyBorder="1"/>
    <xf numFmtId="170" fontId="0" fillId="0" borderId="1" xfId="7" applyFont="1" applyBorder="1"/>
    <xf numFmtId="0" fontId="16" fillId="3" borderId="1" xfId="0" applyFont="1" applyFill="1" applyBorder="1" applyAlignment="1">
      <alignment horizontal="left" vertical="top" wrapText="1"/>
    </xf>
    <xf numFmtId="1" fontId="16" fillId="3" borderId="1" xfId="4" applyNumberFormat="1" applyFont="1" applyFill="1" applyBorder="1" applyAlignment="1">
      <alignment horizontal="left" vertical="top" wrapText="1"/>
    </xf>
    <xf numFmtId="1" fontId="16" fillId="3" borderId="1" xfId="4" applyNumberFormat="1" applyFont="1" applyFill="1" applyBorder="1" applyAlignment="1">
      <alignment horizontal="left" wrapText="1"/>
    </xf>
    <xf numFmtId="0" fontId="0" fillId="3" borderId="1" xfId="0" applyFill="1" applyBorder="1" applyAlignment="1">
      <alignment horizontal="left"/>
    </xf>
    <xf numFmtId="4" fontId="2" fillId="2" borderId="3" xfId="3" applyNumberFormat="1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12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/>
    </xf>
    <xf numFmtId="0" fontId="19" fillId="0" borderId="1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/>
    </xf>
    <xf numFmtId="178" fontId="0" fillId="0" borderId="0" xfId="0" applyNumberFormat="1"/>
    <xf numFmtId="4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44" fontId="6" fillId="0" borderId="0" xfId="0" applyNumberFormat="1" applyFont="1"/>
    <xf numFmtId="173" fontId="6" fillId="0" borderId="0" xfId="7" applyNumberFormat="1" applyFont="1"/>
    <xf numFmtId="187" fontId="6" fillId="0" borderId="0" xfId="7" applyNumberFormat="1" applyFont="1"/>
  </cellXfs>
  <cellStyles count="8">
    <cellStyle name="Millares [0]" xfId="4" builtinId="6"/>
    <cellStyle name="Millares 2" xfId="7" xr:uid="{6DEE4CF0-E16C-4825-A35E-D4A5495D29F9}"/>
    <cellStyle name="Moneda" xfId="5" builtinId="4"/>
    <cellStyle name="Moneda [0]" xfId="1" builtinId="7"/>
    <cellStyle name="Moneda 2" xfId="6" xr:uid="{C58EC099-F782-4FF5-9FB3-6CFEA3046EFF}"/>
    <cellStyle name="Moneda 2 2" xfId="3" xr:uid="{C485E1A2-5B61-4F67-B0D3-0DECA83F669A}"/>
    <cellStyle name="Normal" xfId="0" builtinId="0"/>
    <cellStyle name="Porcentaje" xfId="2" builtinId="5"/>
  </cellStyles>
  <dxfs count="1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419"/>
              <a:t>% COSTOS OPERATIVOS POR</a:t>
            </a:r>
            <a:r>
              <a:rPr lang="es-419" baseline="0"/>
              <a:t> CONVENIO </a:t>
            </a:r>
          </a:p>
          <a:p>
            <a:pPr>
              <a:defRPr/>
            </a:pPr>
            <a:endParaRPr lang="es-419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RESUMEN!$B$3:$B$5</c:f>
              <c:strCache>
                <c:ptCount val="3"/>
                <c:pt idx="0">
                  <c:v>CONVENIO 1278 FAO </c:v>
                </c:pt>
                <c:pt idx="1">
                  <c:v>CONVENIO 1410  FAO(PRODUCTO 4)</c:v>
                </c:pt>
                <c:pt idx="2">
                  <c:v>CONVENIO 951 PNUD </c:v>
                </c:pt>
              </c:strCache>
            </c:strRef>
          </c:cat>
          <c:val>
            <c:numRef>
              <c:f>RESUMEN!$F$3:$F$5</c:f>
              <c:numCache>
                <c:formatCode>0%</c:formatCode>
                <c:ptCount val="3"/>
                <c:pt idx="0">
                  <c:v>0.13537712543640545</c:v>
                </c:pt>
                <c:pt idx="1">
                  <c:v>0.10550502395923056</c:v>
                </c:pt>
                <c:pt idx="2">
                  <c:v>0.10152073490149473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BA-4752-9FD5-F1F145B03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0220431"/>
        <c:axId val="860219183"/>
      </c:barChart>
      <c:catAx>
        <c:axId val="86022043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60219183"/>
        <c:crosses val="autoZero"/>
        <c:auto val="1"/>
        <c:lblAlgn val="ctr"/>
        <c:lblOffset val="100"/>
        <c:noMultiLvlLbl val="0"/>
      </c:catAx>
      <c:valAx>
        <c:axId val="8602191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6022043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7</xdr:row>
      <xdr:rowOff>28575</xdr:rowOff>
    </xdr:from>
    <xdr:to>
      <xdr:col>3</xdr:col>
      <xdr:colOff>257175</xdr:colOff>
      <xdr:row>23</xdr:row>
      <xdr:rowOff>9525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E6A052E5-0C24-E33F-1753-95BCFAA7E6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-srv01\User\Documents%20and%20Settings\CONSULTOR1\Escritorio\SHARED\FAO%20NACIONES%20UNIDAS\UTF%20042%20INCODER\042%20Solicitudes%20de%20Pago\042-010%20Solictud%20de%20pag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-srv01\User\Documents%20and%20Settings\CONSULTOR1\Escritorio\SHARED\FAO%20NACIONES%20UNIDAS\UTF%20042%20INCODER\042%20Solicitudes%20de%20Pago\042-011%20Solictud%20de%20pag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FAO%20NACIONES%20UNIDAS/UTF%20042%20INCODER/042%20Solicitudes%20de%20Pago/042-002%20Solictud%20de%20pag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ESTO%20SALUD%20SANTANDER%20-%20DIRECCIO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-hst01\Corp\User\Shared\Jorge%20Mario\2019\UTF083\Plantilla%2014feb2019\Copia%20de%2011-02-2019%20UTF%20083%20Plantilla%20de%20Presupuesto%20Reportes%20Adicion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-CAVA/Downloads/PE_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ouser/AppData/Local/Microsoft/Windows/INetCache/Content.Outlook/80YJXLGQ/%25%20rubro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talina%20Useche/AppData/Local/Microsoft/Windows/INetCache/Content.Outlook/A31XQ4NA/Propuesta%20formulaci&#243;n%202%20nuevos%20POSP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TF 042-010"/>
      <sheetName val="Data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TF 042-010"/>
      <sheetName val="Data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up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GIBLES"/>
      <sheetName val="TRANSACCIONES"/>
      <sheetName val="PROYECCIONES"/>
      <sheetName val="DEPARTAMENTO"/>
      <sheetName val="STATUS"/>
      <sheetName val="CONTROL POA"/>
      <sheetName val="DISTRIBUCIONES"/>
      <sheetName val="INFORME COP - USD"/>
      <sheetName val="FORMULACIÓN ADICIÓN"/>
      <sheetName val="PROPUESTA INFORME ADICION (2)"/>
      <sheetName val="EXPENSE ACCOUNT"/>
      <sheetName val="DISTRIBUCIÓN INF."/>
      <sheetName val="DISTRIBU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_rps"/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trabajo"/>
      <sheetName val="Plan de trabajo (trans)"/>
      <sheetName val="Actualización POA"/>
      <sheetName val="BD"/>
      <sheetName val="Reporte"/>
      <sheetName val="Festivos"/>
      <sheetName val="2.1 Avanzada soc."/>
      <sheetName val="Area"/>
      <sheetName val="2.2 Visita predios"/>
      <sheetName val="2.3 Posproceso"/>
      <sheetName val="2.4 FDTJ-1"/>
      <sheetName val="2.5 Jornada FISO"/>
      <sheetName val="2.6 A. técn-juríd, enrutamiento"/>
      <sheetName val="2.7 Socialización cierre"/>
      <sheetName val="2.8 Comunicaciones"/>
      <sheetName val="Pesos"/>
      <sheetName val="Línea del tiempo"/>
      <sheetName val="Procesos BP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ción 2 POSPR nuevos"/>
      <sheetName val="Costos totales"/>
      <sheetName val="Hoja1"/>
      <sheetName val="Configuración"/>
      <sheetName val="Propuesta formulación 2 nuevos 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651FE-FC27-4253-BC8D-95AE1193555C}">
  <dimension ref="B2:F6"/>
  <sheetViews>
    <sheetView topLeftCell="A6" zoomScale="80" zoomScaleNormal="80" workbookViewId="0">
      <selection activeCell="B7" sqref="B7"/>
    </sheetView>
  </sheetViews>
  <sheetFormatPr baseColWidth="10" defaultColWidth="11.453125" defaultRowHeight="14.5" x14ac:dyDescent="0.35"/>
  <cols>
    <col min="1" max="1" width="11.453125" style="11"/>
    <col min="2" max="2" width="60.7265625" style="11" customWidth="1"/>
    <col min="3" max="3" width="48.7265625" style="11" customWidth="1"/>
    <col min="4" max="4" width="35.7265625" style="11" customWidth="1"/>
    <col min="5" max="5" width="50.26953125" style="11" customWidth="1"/>
    <col min="6" max="6" width="35.453125" style="11" customWidth="1"/>
    <col min="7" max="16384" width="11.453125" style="11"/>
  </cols>
  <sheetData>
    <row r="2" spans="2:6" s="16" customFormat="1" ht="78" x14ac:dyDescent="0.6">
      <c r="B2" s="14" t="s">
        <v>0</v>
      </c>
      <c r="C2" s="15" t="s">
        <v>1</v>
      </c>
      <c r="D2" s="15" t="s">
        <v>2</v>
      </c>
      <c r="E2" s="20" t="s">
        <v>3</v>
      </c>
      <c r="F2" s="21" t="s">
        <v>4</v>
      </c>
    </row>
    <row r="3" spans="2:6" s="16" customFormat="1" ht="26" x14ac:dyDescent="0.6">
      <c r="B3" s="17" t="s">
        <v>5</v>
      </c>
      <c r="C3" s="18">
        <f>+INFORMACIÓN!D2</f>
        <v>20250000000</v>
      </c>
      <c r="D3" s="18">
        <f>+INFORMACIÓN!D3</f>
        <v>19263422693.710388</v>
      </c>
      <c r="E3" s="18">
        <f>+INFORMACIÓN!E8</f>
        <v>2607826790.3409305</v>
      </c>
      <c r="F3" s="19">
        <f>+RESUMEN!$E3/RESUMEN!$D3</f>
        <v>0.13537712543640545</v>
      </c>
    </row>
    <row r="4" spans="2:6" s="16" customFormat="1" ht="26" x14ac:dyDescent="0.6">
      <c r="B4" s="17" t="s">
        <v>6</v>
      </c>
      <c r="C4" s="18">
        <f>+INFORMACIÓN!D13</f>
        <v>4250000000.0007324</v>
      </c>
      <c r="D4" s="18">
        <f>+INFORMACIÓN!D14</f>
        <v>5527289228.8670082</v>
      </c>
      <c r="E4" s="18">
        <f>+INFORMACIÓN!E19</f>
        <v>583156782.52121067</v>
      </c>
      <c r="F4" s="19">
        <f>+RESUMEN!$E4/RESUMEN!$D4</f>
        <v>0.10550502395923056</v>
      </c>
    </row>
    <row r="5" spans="2:6" s="16" customFormat="1" ht="26" x14ac:dyDescent="0.6">
      <c r="B5" s="17" t="s">
        <v>7</v>
      </c>
      <c r="C5" s="18">
        <f>+INFORMACIÓN!D25</f>
        <v>46341661087</v>
      </c>
      <c r="D5" s="18">
        <f>+INFORMACIÓN!D26</f>
        <v>47795017798.634865</v>
      </c>
      <c r="E5" s="18">
        <f>+INFORMACIÓN!E32</f>
        <v>4852185331.5474319</v>
      </c>
      <c r="F5" s="19">
        <f>+RESUMEN!$E5/RESUMEN!$D5</f>
        <v>0.10152073490149473</v>
      </c>
    </row>
    <row r="6" spans="2:6" x14ac:dyDescent="0.35">
      <c r="B6" s="11" t="s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F1E75-7D9C-4C95-8A1B-518F650F9606}">
  <dimension ref="C1:H33"/>
  <sheetViews>
    <sheetView showGridLines="0" topLeftCell="C24" zoomScale="119" workbookViewId="0">
      <selection activeCell="D41" sqref="D41"/>
    </sheetView>
  </sheetViews>
  <sheetFormatPr baseColWidth="10" defaultColWidth="11.453125" defaultRowHeight="14.5" x14ac:dyDescent="0.35"/>
  <cols>
    <col min="3" max="3" width="41" customWidth="1"/>
    <col min="4" max="4" width="55.7265625" customWidth="1"/>
    <col min="5" max="5" width="34.54296875" customWidth="1"/>
    <col min="7" max="7" width="15.54296875" bestFit="1" customWidth="1"/>
    <col min="8" max="8" width="14" bestFit="1" customWidth="1"/>
  </cols>
  <sheetData>
    <row r="1" spans="3:8" hidden="1" x14ac:dyDescent="0.35">
      <c r="C1" s="126" t="s">
        <v>9</v>
      </c>
      <c r="D1" s="126"/>
    </row>
    <row r="2" spans="3:8" hidden="1" x14ac:dyDescent="0.35">
      <c r="C2" s="5" t="s">
        <v>10</v>
      </c>
      <c r="D2" s="4">
        <v>20250000000</v>
      </c>
    </row>
    <row r="3" spans="3:8" hidden="1" x14ac:dyDescent="0.35">
      <c r="C3" s="5" t="s">
        <v>11</v>
      </c>
      <c r="D3" s="4">
        <v>19263422693.710388</v>
      </c>
    </row>
    <row r="4" spans="3:8" ht="15" hidden="1" customHeight="1" x14ac:dyDescent="0.35">
      <c r="C4" s="6" t="s">
        <v>12</v>
      </c>
      <c r="D4" s="6" t="s">
        <v>13</v>
      </c>
      <c r="E4" s="12" t="s">
        <v>14</v>
      </c>
    </row>
    <row r="5" spans="3:8" ht="15" hidden="1" customHeight="1" x14ac:dyDescent="0.35">
      <c r="C5" s="5" t="s">
        <v>15</v>
      </c>
      <c r="D5" s="5" t="s">
        <v>16</v>
      </c>
      <c r="E5" s="4">
        <v>525383017.51999998</v>
      </c>
    </row>
    <row r="6" spans="3:8" hidden="1" x14ac:dyDescent="0.35">
      <c r="C6" s="5" t="s">
        <v>17</v>
      </c>
      <c r="D6" s="5" t="s">
        <v>18</v>
      </c>
      <c r="E6" s="4">
        <v>1259935332.8209305</v>
      </c>
    </row>
    <row r="7" spans="3:8" hidden="1" x14ac:dyDescent="0.35">
      <c r="C7" s="5" t="s">
        <v>19</v>
      </c>
      <c r="D7" s="5" t="s">
        <v>20</v>
      </c>
      <c r="E7" s="10">
        <v>822508440</v>
      </c>
    </row>
    <row r="8" spans="3:8" hidden="1" x14ac:dyDescent="0.35">
      <c r="E8" s="3">
        <f>+SUM(E5:E7)</f>
        <v>2607826790.3409305</v>
      </c>
      <c r="G8" s="9"/>
      <c r="H8" s="9"/>
    </row>
    <row r="9" spans="3:8" hidden="1" x14ac:dyDescent="0.35">
      <c r="E9" s="6" t="s">
        <v>21</v>
      </c>
    </row>
    <row r="10" spans="3:8" hidden="1" x14ac:dyDescent="0.35">
      <c r="E10" s="1">
        <f>+E8/D3</f>
        <v>0.13537712543640545</v>
      </c>
    </row>
    <row r="11" spans="3:8" hidden="1" x14ac:dyDescent="0.35">
      <c r="E11" s="8"/>
    </row>
    <row r="12" spans="3:8" hidden="1" x14ac:dyDescent="0.35">
      <c r="C12" s="126" t="s">
        <v>22</v>
      </c>
      <c r="D12" s="126"/>
      <c r="E12" s="7"/>
    </row>
    <row r="13" spans="3:8" hidden="1" x14ac:dyDescent="0.35">
      <c r="C13" s="5" t="s">
        <v>10</v>
      </c>
      <c r="D13" s="4">
        <v>4250000000.0007324</v>
      </c>
    </row>
    <row r="14" spans="3:8" hidden="1" x14ac:dyDescent="0.35">
      <c r="C14" s="5" t="s">
        <v>23</v>
      </c>
      <c r="D14" s="4">
        <v>5527289228.8670082</v>
      </c>
    </row>
    <row r="15" spans="3:8" ht="15" hidden="1" customHeight="1" x14ac:dyDescent="0.35">
      <c r="C15" s="12" t="s">
        <v>12</v>
      </c>
      <c r="D15" s="12" t="s">
        <v>13</v>
      </c>
      <c r="E15" s="12" t="s">
        <v>14</v>
      </c>
    </row>
    <row r="16" spans="3:8" ht="15" hidden="1" customHeight="1" x14ac:dyDescent="0.35">
      <c r="C16" s="5" t="s">
        <v>17</v>
      </c>
      <c r="D16" s="5" t="s">
        <v>24</v>
      </c>
      <c r="E16" s="4">
        <v>361598360.76700062</v>
      </c>
    </row>
    <row r="17" spans="3:7" ht="15" hidden="1" customHeight="1" x14ac:dyDescent="0.35">
      <c r="C17" s="5" t="s">
        <v>15</v>
      </c>
      <c r="D17" s="5" t="s">
        <v>16</v>
      </c>
      <c r="E17" s="4">
        <v>26244507.5</v>
      </c>
    </row>
    <row r="18" spans="3:7" hidden="1" x14ac:dyDescent="0.35">
      <c r="C18" s="5" t="s">
        <v>25</v>
      </c>
      <c r="D18" s="5" t="s">
        <v>26</v>
      </c>
      <c r="E18" s="4">
        <f>3316025708.9*5.89%</f>
        <v>195313914.25421</v>
      </c>
    </row>
    <row r="19" spans="3:7" hidden="1" x14ac:dyDescent="0.35">
      <c r="D19" s="6" t="s">
        <v>27</v>
      </c>
      <c r="E19" s="3">
        <f>+SUM(E16:E18)</f>
        <v>583156782.52121067</v>
      </c>
    </row>
    <row r="20" spans="3:7" hidden="1" x14ac:dyDescent="0.35">
      <c r="E20" s="6" t="s">
        <v>21</v>
      </c>
    </row>
    <row r="21" spans="3:7" ht="19.5" hidden="1" customHeight="1" x14ac:dyDescent="0.35">
      <c r="E21" s="1">
        <f>+E19/D14</f>
        <v>0.10550502395923056</v>
      </c>
    </row>
    <row r="22" spans="3:7" hidden="1" x14ac:dyDescent="0.35"/>
    <row r="23" spans="3:7" hidden="1" x14ac:dyDescent="0.35"/>
    <row r="24" spans="3:7" x14ac:dyDescent="0.35">
      <c r="C24" s="126" t="s">
        <v>28</v>
      </c>
      <c r="D24" s="126"/>
      <c r="E24" s="7"/>
    </row>
    <row r="25" spans="3:7" x14ac:dyDescent="0.35">
      <c r="C25" s="5" t="s">
        <v>23</v>
      </c>
      <c r="D25" s="4">
        <v>10189515600</v>
      </c>
    </row>
    <row r="26" spans="3:7" x14ac:dyDescent="0.35">
      <c r="C26" s="6" t="s">
        <v>12</v>
      </c>
      <c r="D26" s="6" t="s">
        <v>13</v>
      </c>
      <c r="E26" s="2" t="s">
        <v>14</v>
      </c>
    </row>
    <row r="27" spans="3:7" x14ac:dyDescent="0.35">
      <c r="C27" s="13" t="s">
        <v>29</v>
      </c>
      <c r="D27" s="5"/>
      <c r="E27" s="4">
        <f>+$E$31*F27</f>
        <v>270169172.26437312</v>
      </c>
      <c r="F27" s="23">
        <v>0.26117253277593067</v>
      </c>
      <c r="G27" s="24"/>
    </row>
    <row r="28" spans="3:7" x14ac:dyDescent="0.35">
      <c r="C28" s="13" t="s">
        <v>30</v>
      </c>
      <c r="D28" s="5"/>
      <c r="E28" s="4">
        <f t="shared" ref="E28:E30" si="0">+$E$31*F28</f>
        <v>89241288.166798964</v>
      </c>
      <c r="F28" s="23">
        <v>8.6269551271757325E-2</v>
      </c>
    </row>
    <row r="29" spans="3:7" x14ac:dyDescent="0.35">
      <c r="C29" s="13" t="s">
        <v>31</v>
      </c>
      <c r="D29" s="5"/>
      <c r="E29" s="4">
        <f t="shared" si="0"/>
        <v>175107239.3248708</v>
      </c>
      <c r="F29" s="23">
        <v>0.1692761643327888</v>
      </c>
    </row>
    <row r="30" spans="3:7" x14ac:dyDescent="0.35">
      <c r="C30" s="13" t="s">
        <v>32</v>
      </c>
      <c r="D30" s="5"/>
      <c r="E30" s="4">
        <f t="shared" si="0"/>
        <v>499929412.24620199</v>
      </c>
      <c r="F30" s="23">
        <v>0.48328175161952314</v>
      </c>
    </row>
    <row r="31" spans="3:7" x14ac:dyDescent="0.35">
      <c r="D31" s="22">
        <f>+D25-E31</f>
        <v>9155068487.9977551</v>
      </c>
      <c r="E31" s="3">
        <f>+D25*E33</f>
        <v>1034447112.0022449</v>
      </c>
    </row>
    <row r="32" spans="3:7" x14ac:dyDescent="0.35">
      <c r="E32" s="6" t="s">
        <v>21</v>
      </c>
    </row>
    <row r="33" spans="5:5" x14ac:dyDescent="0.35">
      <c r="E33" s="1">
        <v>0.10152073490149473</v>
      </c>
    </row>
  </sheetData>
  <mergeCells count="3">
    <mergeCell ref="C1:D1"/>
    <mergeCell ref="C12:D12"/>
    <mergeCell ref="C24:D2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9EBFC-BDC7-47C5-8C50-20E61DA03301}">
  <dimension ref="A1:H39"/>
  <sheetViews>
    <sheetView showGridLines="0" topLeftCell="A12" zoomScaleNormal="100" workbookViewId="0">
      <selection activeCell="D7" sqref="D7"/>
    </sheetView>
  </sheetViews>
  <sheetFormatPr baseColWidth="10" defaultColWidth="11.453125" defaultRowHeight="14.5" x14ac:dyDescent="0.35"/>
  <cols>
    <col min="1" max="1" width="10.7265625" style="11"/>
    <col min="2" max="2" width="79.7265625" customWidth="1"/>
    <col min="3" max="4" width="24.26953125" customWidth="1"/>
    <col min="5" max="5" width="35.7265625" style="11" customWidth="1"/>
    <col min="6" max="6" width="13.26953125" style="11" customWidth="1"/>
    <col min="7" max="8" width="10.7265625" style="11"/>
  </cols>
  <sheetData>
    <row r="1" spans="2:6" x14ac:dyDescent="0.35">
      <c r="B1" s="11"/>
      <c r="C1" s="11"/>
      <c r="D1" s="11"/>
    </row>
    <row r="2" spans="2:6" x14ac:dyDescent="0.35">
      <c r="B2" s="11"/>
      <c r="C2" s="11"/>
      <c r="D2" s="11"/>
    </row>
    <row r="3" spans="2:6" x14ac:dyDescent="0.35">
      <c r="B3" s="11"/>
      <c r="C3" s="11"/>
      <c r="D3" s="11"/>
    </row>
    <row r="4" spans="2:6" s="11" customFormat="1" ht="18.5" x14ac:dyDescent="0.45">
      <c r="B4" s="127" t="s">
        <v>33</v>
      </c>
      <c r="C4" s="127"/>
      <c r="D4" s="48"/>
    </row>
    <row r="5" spans="2:6" s="11" customFormat="1" x14ac:dyDescent="0.35"/>
    <row r="6" spans="2:6" s="11" customFormat="1" x14ac:dyDescent="0.35">
      <c r="B6" s="64" t="s">
        <v>34</v>
      </c>
      <c r="C6" s="65" t="s">
        <v>35</v>
      </c>
      <c r="D6" s="49"/>
      <c r="F6" s="43"/>
    </row>
    <row r="7" spans="2:6" s="11" customFormat="1" ht="28" x14ac:dyDescent="0.35">
      <c r="B7" s="122" t="s">
        <v>36</v>
      </c>
      <c r="C7" s="66">
        <f>+' COSTOS MENSUALES ITEM (1)'!F19</f>
        <v>1953600000</v>
      </c>
      <c r="D7" s="80">
        <f>+SUM(C7:C12)+C21</f>
        <v>7523628280.2830219</v>
      </c>
    </row>
    <row r="8" spans="2:6" s="11" customFormat="1" ht="28" x14ac:dyDescent="0.35">
      <c r="B8" s="123" t="s">
        <v>37</v>
      </c>
      <c r="C8" s="66">
        <f>+' COSTOS MENSUALES ITEM (2)'!F19</f>
        <v>1271410197.1199999</v>
      </c>
      <c r="D8" s="50"/>
    </row>
    <row r="9" spans="2:6" s="11" customFormat="1" x14ac:dyDescent="0.35">
      <c r="B9" s="123" t="s">
        <v>38</v>
      </c>
      <c r="C9" s="66">
        <f>+' COSTOS MENSUALES ITEM (3)'!F15</f>
        <v>840320000</v>
      </c>
      <c r="D9" s="50"/>
    </row>
    <row r="10" spans="2:6" s="11" customFormat="1" x14ac:dyDescent="0.35">
      <c r="B10" s="123" t="s">
        <v>39</v>
      </c>
      <c r="C10" s="66">
        <f>+' COSTOS MENSUALES ITEM (4)'!F15</f>
        <v>1906185000</v>
      </c>
      <c r="D10" s="50"/>
    </row>
    <row r="11" spans="2:6" s="11" customFormat="1" x14ac:dyDescent="0.35">
      <c r="B11" s="123" t="s">
        <v>40</v>
      </c>
      <c r="C11" s="66">
        <f>+' COSTOS MENSUALES ITEM (5)'!F17</f>
        <v>290000000</v>
      </c>
      <c r="D11" s="50"/>
    </row>
    <row r="12" spans="2:6" s="11" customFormat="1" x14ac:dyDescent="0.35">
      <c r="B12" s="123" t="s">
        <v>41</v>
      </c>
      <c r="C12" s="66">
        <f>+' COSTOS MENSUALES ITEM (6)'!F17</f>
        <v>1224000000</v>
      </c>
      <c r="D12" s="50"/>
    </row>
    <row r="13" spans="2:6" s="11" customFormat="1" x14ac:dyDescent="0.35">
      <c r="B13" s="124" t="s">
        <v>42</v>
      </c>
      <c r="C13" s="66">
        <f>+'COSTOS NOMINA  OPERATIV PNUD '!B4</f>
        <v>451417696.8169809</v>
      </c>
      <c r="D13" s="50"/>
    </row>
    <row r="14" spans="2:6" s="11" customFormat="1" x14ac:dyDescent="0.35">
      <c r="B14" s="125" t="s">
        <v>43</v>
      </c>
      <c r="C14" s="66">
        <f>+'COSTOS NOMINA  OPERATIV PNUD '!B5</f>
        <v>1093703530.8999999</v>
      </c>
      <c r="D14" s="50"/>
    </row>
    <row r="15" spans="2:6" s="11" customFormat="1" x14ac:dyDescent="0.35">
      <c r="B15" s="125" t="s">
        <v>44</v>
      </c>
      <c r="C15" s="66">
        <f>+'COSTOS NOMINA  OPERATIV PNUD '!B6</f>
        <v>88500000</v>
      </c>
      <c r="D15" s="50"/>
    </row>
    <row r="16" spans="2:6" s="11" customFormat="1" x14ac:dyDescent="0.35">
      <c r="B16" s="125" t="s">
        <v>45</v>
      </c>
      <c r="C16" s="66">
        <f>+'COSTOS NOMINA  OPERATIV PNUD '!B7</f>
        <v>144000000</v>
      </c>
      <c r="D16" s="51" t="s">
        <v>46</v>
      </c>
      <c r="E16" s="52"/>
    </row>
    <row r="17" spans="2:5" s="11" customFormat="1" x14ac:dyDescent="0.35">
      <c r="B17" s="125" t="s">
        <v>47</v>
      </c>
      <c r="C17" s="66">
        <f>+'COSTOS NOMINA  OPERATIV PNUD '!B8</f>
        <v>203790312</v>
      </c>
      <c r="D17" s="51"/>
      <c r="E17" s="52"/>
    </row>
    <row r="18" spans="2:5" s="11" customFormat="1" x14ac:dyDescent="0.35">
      <c r="B18" s="125" t="s">
        <v>48</v>
      </c>
      <c r="C18" s="66">
        <f>+'COSTOS NOMINA  OPERATIV PNUD '!B9</f>
        <v>509475780</v>
      </c>
      <c r="D18" s="51"/>
      <c r="E18" s="52"/>
    </row>
    <row r="19" spans="2:5" s="11" customFormat="1" x14ac:dyDescent="0.35">
      <c r="B19" s="125" t="s">
        <v>49</v>
      </c>
      <c r="C19" s="66">
        <f>+'COSTOS NOMINA  OPERATIV PNUD '!B10</f>
        <v>150000000</v>
      </c>
      <c r="D19" s="51"/>
      <c r="E19" s="52"/>
    </row>
    <row r="20" spans="2:5" s="11" customFormat="1" x14ac:dyDescent="0.35">
      <c r="B20" s="125" t="s">
        <v>50</v>
      </c>
      <c r="C20" s="66">
        <f>+'COSTOS NOMINA  OPERATIV PNUD '!B11</f>
        <v>25000000</v>
      </c>
      <c r="D20" s="51"/>
      <c r="E20" s="52"/>
    </row>
    <row r="21" spans="2:5" s="11" customFormat="1" x14ac:dyDescent="0.35">
      <c r="B21" s="99" t="s">
        <v>51</v>
      </c>
      <c r="C21" s="66">
        <f>+' COSTOS MENSUALES ITEM (1)'!C5+' COSTOS MENSUALES ITEM (2)'!C5+' COSTOS MENSUALES ITEM (3)'!C5+' COSTOS MENSUALES ITEM (4)'!C5+' COSTOS MENSUALES ITEM (5)'!C5+' COSTOS MENSUALES ITEM (6)'!C5</f>
        <v>38113083.163021684</v>
      </c>
      <c r="D21" s="51"/>
      <c r="E21" s="52"/>
    </row>
    <row r="22" spans="2:5" s="11" customFormat="1" x14ac:dyDescent="0.35">
      <c r="B22" s="64" t="s">
        <v>52</v>
      </c>
      <c r="C22" s="67">
        <f>+SUM(C7:C21)</f>
        <v>10189515600.000002</v>
      </c>
      <c r="D22" s="49" t="e">
        <f>+C6-C22</f>
        <v>#VALUE!</v>
      </c>
      <c r="E22" s="52"/>
    </row>
    <row r="23" spans="2:5" s="11" customFormat="1" x14ac:dyDescent="0.35">
      <c r="B23" s="53"/>
      <c r="C23" s="95">
        <f>+C25-C22</f>
        <v>0</v>
      </c>
      <c r="D23" s="54"/>
      <c r="E23" s="52"/>
    </row>
    <row r="24" spans="2:5" s="11" customFormat="1" ht="15" thickBot="1" x14ac:dyDescent="0.4">
      <c r="B24" s="55"/>
      <c r="C24" s="55"/>
      <c r="D24" s="56"/>
      <c r="E24" s="52"/>
    </row>
    <row r="25" spans="2:5" s="11" customFormat="1" x14ac:dyDescent="0.35">
      <c r="B25" s="57" t="s">
        <v>53</v>
      </c>
      <c r="C25" s="58">
        <v>10189515600</v>
      </c>
    </row>
    <row r="26" spans="2:5" s="11" customFormat="1" ht="43.5" x14ac:dyDescent="0.35">
      <c r="B26" s="59"/>
      <c r="C26" s="60" t="s">
        <v>54</v>
      </c>
      <c r="D26" s="60" t="s">
        <v>55</v>
      </c>
      <c r="E26" s="115" t="s">
        <v>56</v>
      </c>
    </row>
    <row r="27" spans="2:5" s="11" customFormat="1" x14ac:dyDescent="0.35">
      <c r="B27" s="59" t="s">
        <v>57</v>
      </c>
      <c r="C27" s="61">
        <v>0.35</v>
      </c>
      <c r="D27" s="62">
        <f>+$C$25*C27</f>
        <v>3566330460</v>
      </c>
      <c r="E27" s="63"/>
    </row>
    <row r="28" spans="2:5" s="11" customFormat="1" x14ac:dyDescent="0.35">
      <c r="B28" s="59" t="s">
        <v>58</v>
      </c>
      <c r="C28" s="61">
        <v>0.35</v>
      </c>
      <c r="D28" s="62">
        <f t="shared" ref="D28:D29" si="0">+$C$25*C28</f>
        <v>3566330460</v>
      </c>
      <c r="E28" s="62">
        <f>+D28*50%</f>
        <v>1783165230</v>
      </c>
    </row>
    <row r="29" spans="2:5" s="11" customFormat="1" x14ac:dyDescent="0.35">
      <c r="B29" s="59" t="s">
        <v>59</v>
      </c>
      <c r="C29" s="61">
        <v>0.3</v>
      </c>
      <c r="D29" s="62">
        <f t="shared" si="0"/>
        <v>3056854680</v>
      </c>
      <c r="E29" s="62">
        <f>+(D27+D28)*70%</f>
        <v>4992862644</v>
      </c>
    </row>
    <row r="30" spans="2:5" s="11" customFormat="1" x14ac:dyDescent="0.35">
      <c r="D30" s="114">
        <f>SUM(D27:D29)</f>
        <v>10189515600</v>
      </c>
    </row>
    <row r="31" spans="2:5" s="11" customFormat="1" x14ac:dyDescent="0.35"/>
    <row r="32" spans="2:5" s="11" customFormat="1" x14ac:dyDescent="0.35"/>
    <row r="33" s="11" customFormat="1" x14ac:dyDescent="0.35"/>
    <row r="34" s="11" customFormat="1" x14ac:dyDescent="0.35"/>
    <row r="35" s="11" customFormat="1" x14ac:dyDescent="0.35"/>
    <row r="36" s="11" customFormat="1" x14ac:dyDescent="0.35"/>
    <row r="37" s="11" customFormat="1" x14ac:dyDescent="0.35"/>
    <row r="38" s="11" customFormat="1" x14ac:dyDescent="0.35"/>
    <row r="39" s="11" customFormat="1" x14ac:dyDescent="0.35"/>
  </sheetData>
  <mergeCells count="1">
    <mergeCell ref="B4:C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094F1-F921-427C-8F3E-2FDE84D66BB5}">
  <dimension ref="C1:H34"/>
  <sheetViews>
    <sheetView showGridLines="0" topLeftCell="A24" zoomScale="119" workbookViewId="0">
      <selection activeCell="A47" sqref="A47"/>
    </sheetView>
  </sheetViews>
  <sheetFormatPr baseColWidth="10" defaultColWidth="11.453125" defaultRowHeight="14.5" x14ac:dyDescent="0.35"/>
  <cols>
    <col min="3" max="3" width="41" customWidth="1"/>
    <col min="4" max="4" width="55.7265625" customWidth="1"/>
    <col min="5" max="5" width="34.54296875" customWidth="1"/>
    <col min="7" max="7" width="15.54296875" bestFit="1" customWidth="1"/>
    <col min="8" max="8" width="14" bestFit="1" customWidth="1"/>
  </cols>
  <sheetData>
    <row r="1" spans="3:8" hidden="1" x14ac:dyDescent="0.35">
      <c r="C1" s="126" t="s">
        <v>9</v>
      </c>
      <c r="D1" s="126"/>
    </row>
    <row r="2" spans="3:8" hidden="1" x14ac:dyDescent="0.35">
      <c r="C2" s="5" t="s">
        <v>10</v>
      </c>
      <c r="D2" s="4">
        <v>20250000000</v>
      </c>
    </row>
    <row r="3" spans="3:8" hidden="1" x14ac:dyDescent="0.35">
      <c r="C3" s="5" t="s">
        <v>11</v>
      </c>
      <c r="D3" s="4">
        <v>19263422693.710388</v>
      </c>
    </row>
    <row r="4" spans="3:8" ht="15" hidden="1" customHeight="1" x14ac:dyDescent="0.35">
      <c r="C4" s="6" t="s">
        <v>12</v>
      </c>
      <c r="D4" s="6" t="s">
        <v>13</v>
      </c>
      <c r="E4" s="12" t="s">
        <v>14</v>
      </c>
    </row>
    <row r="5" spans="3:8" ht="15" hidden="1" customHeight="1" x14ac:dyDescent="0.35">
      <c r="C5" s="5" t="s">
        <v>15</v>
      </c>
      <c r="D5" s="5" t="s">
        <v>16</v>
      </c>
      <c r="E5" s="4">
        <v>525383017.51999998</v>
      </c>
    </row>
    <row r="6" spans="3:8" hidden="1" x14ac:dyDescent="0.35">
      <c r="C6" s="5" t="s">
        <v>17</v>
      </c>
      <c r="D6" s="5" t="s">
        <v>18</v>
      </c>
      <c r="E6" s="4">
        <v>1259935332.8209305</v>
      </c>
    </row>
    <row r="7" spans="3:8" hidden="1" x14ac:dyDescent="0.35">
      <c r="C7" s="5" t="s">
        <v>19</v>
      </c>
      <c r="D7" s="5" t="s">
        <v>20</v>
      </c>
      <c r="E7" s="10">
        <v>822508440</v>
      </c>
    </row>
    <row r="8" spans="3:8" hidden="1" x14ac:dyDescent="0.35">
      <c r="E8" s="3">
        <f>+SUM(E5:E7)</f>
        <v>2607826790.3409305</v>
      </c>
      <c r="G8" s="9"/>
      <c r="H8" s="9"/>
    </row>
    <row r="9" spans="3:8" hidden="1" x14ac:dyDescent="0.35">
      <c r="E9" s="6" t="s">
        <v>21</v>
      </c>
    </row>
    <row r="10" spans="3:8" hidden="1" x14ac:dyDescent="0.35">
      <c r="E10" s="1">
        <f>+E8/D3</f>
        <v>0.13537712543640545</v>
      </c>
    </row>
    <row r="11" spans="3:8" hidden="1" x14ac:dyDescent="0.35">
      <c r="E11" s="8"/>
    </row>
    <row r="12" spans="3:8" hidden="1" x14ac:dyDescent="0.35">
      <c r="C12" s="126" t="s">
        <v>22</v>
      </c>
      <c r="D12" s="126"/>
      <c r="E12" s="7"/>
    </row>
    <row r="13" spans="3:8" hidden="1" x14ac:dyDescent="0.35">
      <c r="C13" s="5" t="s">
        <v>10</v>
      </c>
      <c r="D13" s="4">
        <v>4250000000.0007324</v>
      </c>
    </row>
    <row r="14" spans="3:8" hidden="1" x14ac:dyDescent="0.35">
      <c r="C14" s="5" t="s">
        <v>23</v>
      </c>
      <c r="D14" s="4">
        <v>5527289228.8670082</v>
      </c>
    </row>
    <row r="15" spans="3:8" ht="15" hidden="1" customHeight="1" x14ac:dyDescent="0.35">
      <c r="C15" s="12" t="s">
        <v>12</v>
      </c>
      <c r="D15" s="12" t="s">
        <v>13</v>
      </c>
      <c r="E15" s="12" t="s">
        <v>14</v>
      </c>
    </row>
    <row r="16" spans="3:8" ht="15" hidden="1" customHeight="1" x14ac:dyDescent="0.35">
      <c r="C16" s="5" t="s">
        <v>17</v>
      </c>
      <c r="D16" s="5" t="s">
        <v>24</v>
      </c>
      <c r="E16" s="4">
        <v>361598360.76700062</v>
      </c>
    </row>
    <row r="17" spans="3:7" ht="15" hidden="1" customHeight="1" x14ac:dyDescent="0.35">
      <c r="C17" s="5" t="s">
        <v>15</v>
      </c>
      <c r="D17" s="5" t="s">
        <v>16</v>
      </c>
      <c r="E17" s="4">
        <v>26244507.5</v>
      </c>
    </row>
    <row r="18" spans="3:7" hidden="1" x14ac:dyDescent="0.35">
      <c r="C18" s="5" t="s">
        <v>25</v>
      </c>
      <c r="D18" s="5" t="s">
        <v>26</v>
      </c>
      <c r="E18" s="4">
        <f>3316025708.9*5.89%</f>
        <v>195313914.25421</v>
      </c>
    </row>
    <row r="19" spans="3:7" hidden="1" x14ac:dyDescent="0.35">
      <c r="D19" s="6" t="s">
        <v>27</v>
      </c>
      <c r="E19" s="3">
        <f>+SUM(E16:E18)</f>
        <v>583156782.52121067</v>
      </c>
    </row>
    <row r="20" spans="3:7" hidden="1" x14ac:dyDescent="0.35">
      <c r="E20" s="6" t="s">
        <v>21</v>
      </c>
    </row>
    <row r="21" spans="3:7" ht="19.5" hidden="1" customHeight="1" x14ac:dyDescent="0.35">
      <c r="E21" s="1">
        <f>+E19/D14</f>
        <v>0.10550502395923056</v>
      </c>
    </row>
    <row r="22" spans="3:7" hidden="1" x14ac:dyDescent="0.35"/>
    <row r="23" spans="3:7" hidden="1" x14ac:dyDescent="0.35"/>
    <row r="24" spans="3:7" x14ac:dyDescent="0.35">
      <c r="C24" s="126" t="s">
        <v>28</v>
      </c>
      <c r="D24" s="126"/>
      <c r="E24" s="7"/>
    </row>
    <row r="25" spans="3:7" x14ac:dyDescent="0.35">
      <c r="C25" s="5" t="s">
        <v>10</v>
      </c>
      <c r="D25" s="4">
        <v>46341661087</v>
      </c>
    </row>
    <row r="26" spans="3:7" x14ac:dyDescent="0.35">
      <c r="C26" s="5" t="s">
        <v>23</v>
      </c>
      <c r="D26" s="4">
        <v>47795017798.634865</v>
      </c>
    </row>
    <row r="27" spans="3:7" x14ac:dyDescent="0.35">
      <c r="C27" s="6" t="s">
        <v>12</v>
      </c>
      <c r="D27" s="6" t="s">
        <v>13</v>
      </c>
      <c r="E27" s="2" t="s">
        <v>14</v>
      </c>
    </row>
    <row r="28" spans="3:7" x14ac:dyDescent="0.35">
      <c r="C28" s="13" t="s">
        <v>29</v>
      </c>
      <c r="D28" s="5"/>
      <c r="E28" s="4">
        <v>1267257532.5384617</v>
      </c>
      <c r="F28" s="23">
        <v>0.26117253277593067</v>
      </c>
      <c r="G28" s="24"/>
    </row>
    <row r="29" spans="3:7" x14ac:dyDescent="0.35">
      <c r="C29" s="13" t="s">
        <v>30</v>
      </c>
      <c r="D29" s="5"/>
      <c r="E29" s="4">
        <v>418595851.24000001</v>
      </c>
      <c r="F29" s="23">
        <v>8.6269551271757325E-2</v>
      </c>
    </row>
    <row r="30" spans="3:7" x14ac:dyDescent="0.35">
      <c r="C30" s="13" t="s">
        <v>31</v>
      </c>
      <c r="D30" s="5"/>
      <c r="E30" s="4">
        <v>821359321.55617046</v>
      </c>
      <c r="F30" s="23">
        <v>0.1692761643327888</v>
      </c>
    </row>
    <row r="31" spans="3:7" x14ac:dyDescent="0.35">
      <c r="C31" s="13" t="s">
        <v>32</v>
      </c>
      <c r="D31" s="5"/>
      <c r="E31" s="4">
        <v>2344972626.2127995</v>
      </c>
      <c r="F31" s="23">
        <v>0.48328175161952314</v>
      </c>
    </row>
    <row r="32" spans="3:7" x14ac:dyDescent="0.35">
      <c r="E32" s="3">
        <f>+SUM(E28:E31)</f>
        <v>4852185331.5474319</v>
      </c>
    </row>
    <row r="33" spans="5:5" x14ac:dyDescent="0.35">
      <c r="E33" s="6" t="s">
        <v>21</v>
      </c>
    </row>
    <row r="34" spans="5:5" x14ac:dyDescent="0.35">
      <c r="E34" s="1">
        <f>+E32/D26</f>
        <v>0.10152073490149473</v>
      </c>
    </row>
  </sheetData>
  <mergeCells count="3">
    <mergeCell ref="C24:D24"/>
    <mergeCell ref="C1:D1"/>
    <mergeCell ref="C12:D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24940-ED1B-4520-ACA2-3484D83547EE}">
  <dimension ref="A2:J10"/>
  <sheetViews>
    <sheetView topLeftCell="A4" zoomScale="94" workbookViewId="0">
      <selection activeCell="F16" sqref="F16"/>
    </sheetView>
  </sheetViews>
  <sheetFormatPr baseColWidth="10" defaultColWidth="11.453125" defaultRowHeight="14.5" x14ac:dyDescent="0.35"/>
  <cols>
    <col min="1" max="1" width="11.7265625" bestFit="1" customWidth="1"/>
    <col min="3" max="3" width="23.54296875" customWidth="1"/>
    <col min="4" max="4" width="17.81640625" bestFit="1" customWidth="1"/>
    <col min="5" max="5" width="23.26953125" bestFit="1" customWidth="1"/>
    <col min="6" max="6" width="20" customWidth="1"/>
    <col min="7" max="7" width="24.54296875" customWidth="1"/>
    <col min="8" max="8" width="25.26953125" customWidth="1"/>
    <col min="10" max="10" width="19.26953125" bestFit="1" customWidth="1"/>
  </cols>
  <sheetData>
    <row r="2" spans="1:10" ht="40" customHeight="1" x14ac:dyDescent="0.35">
      <c r="A2" s="108" t="s">
        <v>60</v>
      </c>
      <c r="B2" s="103" t="s">
        <v>61</v>
      </c>
      <c r="C2" s="103" t="s">
        <v>62</v>
      </c>
      <c r="D2" s="103" t="s">
        <v>54</v>
      </c>
      <c r="E2" s="103" t="s">
        <v>63</v>
      </c>
      <c r="F2" s="103" t="s">
        <v>64</v>
      </c>
      <c r="G2" s="103" t="s">
        <v>65</v>
      </c>
      <c r="H2" s="103" t="s">
        <v>66</v>
      </c>
    </row>
    <row r="3" spans="1:10" ht="145" x14ac:dyDescent="0.35">
      <c r="A3" s="109">
        <v>1</v>
      </c>
      <c r="B3" s="104" t="s">
        <v>36</v>
      </c>
      <c r="C3" s="105">
        <v>2656515600.0000024</v>
      </c>
      <c r="D3" s="110">
        <f t="shared" ref="D3:D8" si="0">+C3/$C$9</f>
        <v>0.26071068579550549</v>
      </c>
      <c r="E3" s="111">
        <f>+D3*'COSTOS NOMINA  OPERATIV PNUD '!$B$13</f>
        <v>695025311.37695611</v>
      </c>
      <c r="F3" s="112">
        <f>+C3-E3</f>
        <v>1961490288.6230464</v>
      </c>
      <c r="G3" s="112">
        <f>+E3+F3</f>
        <v>2656515600.0000024</v>
      </c>
      <c r="H3" s="113">
        <f>+' COSTOS MENSUALES ITEM (1)'!C5</f>
        <v>7890288.6230463982</v>
      </c>
      <c r="J3" s="94"/>
    </row>
    <row r="4" spans="1:10" ht="159.5" x14ac:dyDescent="0.35">
      <c r="A4" s="109">
        <v>2</v>
      </c>
      <c r="B4" s="104" t="s">
        <v>37</v>
      </c>
      <c r="C4" s="105">
        <v>1725000000</v>
      </c>
      <c r="D4" s="110">
        <f t="shared" si="0"/>
        <v>0.16929165896757639</v>
      </c>
      <c r="E4" s="111">
        <f>+D4*'COSTOS NOMINA  OPERATIV PNUD '!$B$13</f>
        <v>451312486.9755134</v>
      </c>
      <c r="F4" s="112">
        <f t="shared" ref="F4:F8" si="1">+C4-E4</f>
        <v>1273687513.0244865</v>
      </c>
      <c r="G4" s="112">
        <f t="shared" ref="G4:G8" si="2">+E4+F4</f>
        <v>1725000000</v>
      </c>
      <c r="H4" s="113">
        <f>+' COSTOS MENSUALES ITEM (2)'!C5</f>
        <v>2277315.9044866562</v>
      </c>
    </row>
    <row r="5" spans="1:10" x14ac:dyDescent="0.35">
      <c r="A5" s="109">
        <v>3</v>
      </c>
      <c r="B5" s="104" t="s">
        <v>38</v>
      </c>
      <c r="C5" s="105">
        <v>1150000000</v>
      </c>
      <c r="D5" s="110">
        <f t="shared" si="0"/>
        <v>0.11286110597838427</v>
      </c>
      <c r="E5" s="111">
        <f>+D5*'COSTOS NOMINA  OPERATIV PNUD '!$B$13</f>
        <v>300874991.31700897</v>
      </c>
      <c r="F5" s="112">
        <f>+C5-E5</f>
        <v>849125008.68299103</v>
      </c>
      <c r="G5" s="112">
        <f>+E5+F5</f>
        <v>1150000000</v>
      </c>
      <c r="H5" s="113">
        <f>+' COSTOS MENSUALES ITEM (3)'!C5</f>
        <v>8805008.6829910278</v>
      </c>
    </row>
    <row r="6" spans="1:10" ht="116" x14ac:dyDescent="0.35">
      <c r="A6" s="109">
        <v>4</v>
      </c>
      <c r="B6" s="104" t="s">
        <v>39</v>
      </c>
      <c r="C6" s="105">
        <v>2585000000</v>
      </c>
      <c r="D6" s="110">
        <f t="shared" si="0"/>
        <v>0.2536921382209768</v>
      </c>
      <c r="E6" s="111">
        <f>+D6*'COSTOS NOMINA  OPERATIV PNUD '!$B$13</f>
        <v>676314654.39518976</v>
      </c>
      <c r="F6" s="112">
        <f t="shared" si="1"/>
        <v>1908685345.6048102</v>
      </c>
      <c r="G6" s="112">
        <f t="shared" si="2"/>
        <v>2585000000</v>
      </c>
      <c r="H6" s="113">
        <f>+' COSTOS MENSUALES ITEM (4)'!C5</f>
        <v>2500345.6048102379</v>
      </c>
    </row>
    <row r="7" spans="1:10" ht="58" x14ac:dyDescent="0.35">
      <c r="A7" s="109">
        <v>5</v>
      </c>
      <c r="B7" s="104" t="s">
        <v>40</v>
      </c>
      <c r="C7" s="105">
        <v>400000000</v>
      </c>
      <c r="D7" s="110">
        <f t="shared" si="0"/>
        <v>3.9256036862046706E-2</v>
      </c>
      <c r="E7" s="111">
        <f>+D7*'COSTOS NOMINA  OPERATIV PNUD '!$B$13</f>
        <v>104652170.89287269</v>
      </c>
      <c r="F7" s="112">
        <f t="shared" si="1"/>
        <v>295347829.10712731</v>
      </c>
      <c r="G7" s="112">
        <f t="shared" si="2"/>
        <v>400000000</v>
      </c>
      <c r="H7" s="113">
        <f>+' COSTOS MENSUALES ITEM (5)'!C5</f>
        <v>5347829.1071273088</v>
      </c>
      <c r="J7" s="94"/>
    </row>
    <row r="8" spans="1:10" ht="116" x14ac:dyDescent="0.35">
      <c r="A8" s="109">
        <v>6</v>
      </c>
      <c r="B8" s="106" t="s">
        <v>67</v>
      </c>
      <c r="C8" s="107">
        <v>1673000000</v>
      </c>
      <c r="D8" s="110">
        <f t="shared" si="0"/>
        <v>0.16418837417551033</v>
      </c>
      <c r="E8" s="111">
        <f>+D8*'COSTOS NOMINA  OPERATIV PNUD '!$B$13</f>
        <v>437707704.75944</v>
      </c>
      <c r="F8" s="112">
        <f t="shared" si="1"/>
        <v>1235292295.2405601</v>
      </c>
      <c r="G8" s="112">
        <f t="shared" si="2"/>
        <v>1673000000</v>
      </c>
      <c r="H8" s="113">
        <f>+' COSTOS MENSUALES ITEM (6)'!C5</f>
        <v>11292295.240560055</v>
      </c>
      <c r="J8" s="94"/>
    </row>
    <row r="9" spans="1:10" x14ac:dyDescent="0.35">
      <c r="B9" s="101" t="s">
        <v>68</v>
      </c>
      <c r="C9" s="102">
        <f>+SUM(C3:C8)</f>
        <v>10189515600.000002</v>
      </c>
      <c r="E9" s="137">
        <f>+SUM(E3:F8)</f>
        <v>10189515600.000002</v>
      </c>
      <c r="F9" s="138"/>
    </row>
    <row r="10" spans="1:10" x14ac:dyDescent="0.35">
      <c r="C10" s="93">
        <f>+'RESUMEN PROYECCION '!C25-ACITIVIDAD!C9</f>
        <v>0</v>
      </c>
      <c r="D10" s="90"/>
      <c r="E10" s="139"/>
      <c r="F10" s="140">
        <f>+SUM(F3:F8)</f>
        <v>7523628280.2830219</v>
      </c>
    </row>
  </sheetData>
  <mergeCells count="1">
    <mergeCell ref="E9:F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12FEC-80C7-4451-BC53-07F7B3199BA2}">
  <dimension ref="A2:I26"/>
  <sheetViews>
    <sheetView topLeftCell="A3" zoomScale="110" zoomScaleNormal="110" workbookViewId="0">
      <selection activeCell="B6" sqref="B6"/>
    </sheetView>
  </sheetViews>
  <sheetFormatPr baseColWidth="10" defaultColWidth="11.453125" defaultRowHeight="14.5" x14ac:dyDescent="0.35"/>
  <cols>
    <col min="1" max="1" width="35.7265625" customWidth="1"/>
    <col min="2" max="2" width="17.7265625" bestFit="1" customWidth="1"/>
    <col min="3" max="3" width="14.453125" bestFit="1" customWidth="1"/>
    <col min="4" max="4" width="12.54296875" bestFit="1" customWidth="1"/>
    <col min="5" max="5" width="14.54296875" bestFit="1" customWidth="1"/>
    <col min="6" max="6" width="13" bestFit="1" customWidth="1"/>
  </cols>
  <sheetData>
    <row r="2" spans="1:9" x14ac:dyDescent="0.35">
      <c r="A2" s="72" t="s">
        <v>69</v>
      </c>
      <c r="B2" s="73">
        <v>10189515600</v>
      </c>
      <c r="C2" s="73" t="s">
        <v>70</v>
      </c>
      <c r="D2" s="74"/>
      <c r="E2" s="74"/>
      <c r="F2" s="74"/>
      <c r="G2" s="74"/>
      <c r="H2" s="74"/>
      <c r="I2" s="74"/>
    </row>
    <row r="3" spans="1:9" x14ac:dyDescent="0.35">
      <c r="A3" s="5" t="s">
        <v>71</v>
      </c>
      <c r="B3" s="75">
        <v>7523628280.2830153</v>
      </c>
      <c r="C3" s="76">
        <f>+B3/$B$2</f>
        <v>0.73836957276781789</v>
      </c>
      <c r="D3" s="141">
        <f>+B3/14</f>
        <v>537402020.02021539</v>
      </c>
      <c r="E3" s="141"/>
      <c r="F3" s="74"/>
      <c r="G3" s="74"/>
      <c r="H3" s="74"/>
      <c r="I3" s="74"/>
    </row>
    <row r="4" spans="1:9" x14ac:dyDescent="0.35">
      <c r="A4" s="5" t="s">
        <v>42</v>
      </c>
      <c r="B4" s="75">
        <f>+(B3*0.06)</f>
        <v>451417696.8169809</v>
      </c>
      <c r="C4" s="76">
        <f t="shared" ref="C4:C11" si="0">+B4/$B$2</f>
        <v>4.4302174366069071E-2</v>
      </c>
      <c r="D4" s="141">
        <f>+B4/14</f>
        <v>32244121.20121292</v>
      </c>
      <c r="E4" s="141"/>
      <c r="F4" s="74"/>
      <c r="G4" s="74"/>
      <c r="H4" s="74"/>
      <c r="I4" s="74"/>
    </row>
    <row r="5" spans="1:9" x14ac:dyDescent="0.35">
      <c r="A5" s="59" t="s">
        <v>133</v>
      </c>
      <c r="B5" s="100">
        <f>+'DESAGRECACIÓN DE GASTOS PNUD'!P14</f>
        <v>1093703530.8999999</v>
      </c>
      <c r="C5" s="76">
        <f t="shared" si="0"/>
        <v>0.10733616531290259</v>
      </c>
      <c r="D5" s="141"/>
      <c r="E5" s="141"/>
      <c r="F5" s="74"/>
      <c r="G5" s="74"/>
      <c r="H5" s="74"/>
      <c r="I5" s="74"/>
    </row>
    <row r="6" spans="1:9" x14ac:dyDescent="0.35">
      <c r="A6" s="59" t="s">
        <v>44</v>
      </c>
      <c r="B6" s="100">
        <f>+'DESAGRECACIÓN DE GASTOS PNUD'!P17</f>
        <v>88500000</v>
      </c>
      <c r="C6" s="76">
        <f t="shared" si="0"/>
        <v>8.6853981557278338E-3</v>
      </c>
      <c r="D6" s="141"/>
      <c r="E6" s="141"/>
      <c r="F6" s="74"/>
      <c r="G6" s="74"/>
      <c r="H6" s="74"/>
      <c r="I6" s="74"/>
    </row>
    <row r="7" spans="1:9" x14ac:dyDescent="0.35">
      <c r="A7" s="59" t="s">
        <v>45</v>
      </c>
      <c r="B7" s="100">
        <f>+'DESAGRECACIÓN DE GASTOS PNUD'!P20</f>
        <v>144000000</v>
      </c>
      <c r="C7" s="76">
        <f t="shared" si="0"/>
        <v>1.4132173270336815E-2</v>
      </c>
      <c r="D7" s="141"/>
      <c r="E7" s="141"/>
      <c r="F7" s="74"/>
      <c r="G7" s="74"/>
      <c r="H7" s="74"/>
      <c r="I7" s="74"/>
    </row>
    <row r="8" spans="1:9" x14ac:dyDescent="0.35">
      <c r="A8" s="59" t="s">
        <v>47</v>
      </c>
      <c r="B8" s="77">
        <f>+B2*0.02</f>
        <v>203790312</v>
      </c>
      <c r="C8" s="76">
        <f t="shared" si="0"/>
        <v>0.02</v>
      </c>
      <c r="D8" s="141">
        <f t="shared" ref="D5:D11" si="1">+B8/14</f>
        <v>14556450.857142856</v>
      </c>
      <c r="E8" s="141"/>
      <c r="F8" s="74"/>
      <c r="G8" s="74"/>
      <c r="H8" s="74"/>
      <c r="I8" s="74"/>
    </row>
    <row r="9" spans="1:9" x14ac:dyDescent="0.35">
      <c r="A9" s="59" t="s">
        <v>48</v>
      </c>
      <c r="B9" s="77">
        <f>+B2*0.05</f>
        <v>509475780</v>
      </c>
      <c r="C9" s="76">
        <f t="shared" si="0"/>
        <v>0.05</v>
      </c>
      <c r="D9" s="141">
        <f t="shared" si="1"/>
        <v>36391127.142857142</v>
      </c>
      <c r="E9" s="141"/>
      <c r="F9" s="74"/>
      <c r="G9" s="74"/>
      <c r="H9" s="74"/>
      <c r="I9" s="74"/>
    </row>
    <row r="10" spans="1:9" x14ac:dyDescent="0.35">
      <c r="A10" s="59" t="s">
        <v>49</v>
      </c>
      <c r="B10" s="75">
        <v>150000000</v>
      </c>
      <c r="C10" s="76">
        <f t="shared" si="0"/>
        <v>1.4721013823267516E-2</v>
      </c>
      <c r="D10" s="141">
        <f t="shared" si="1"/>
        <v>10714285.714285715</v>
      </c>
      <c r="E10" s="141"/>
      <c r="F10" s="74"/>
      <c r="G10" s="74"/>
      <c r="H10" s="74"/>
      <c r="I10" s="74"/>
    </row>
    <row r="11" spans="1:9" x14ac:dyDescent="0.35">
      <c r="A11" s="59" t="s">
        <v>50</v>
      </c>
      <c r="B11" s="75">
        <f>+'DESAGRECACIÓN DE GASTOS PNUD'!P25</f>
        <v>25000000</v>
      </c>
      <c r="C11" s="76">
        <f t="shared" si="0"/>
        <v>2.4535023038779196E-3</v>
      </c>
      <c r="D11" s="141"/>
      <c r="E11" s="141"/>
      <c r="F11" s="74"/>
      <c r="G11" s="74"/>
      <c r="H11" s="74"/>
      <c r="I11" s="74"/>
    </row>
    <row r="12" spans="1:9" x14ac:dyDescent="0.35">
      <c r="B12" s="141" t="b">
        <f>+SUM(B3:B11)=B2</f>
        <v>1</v>
      </c>
      <c r="C12" s="142">
        <f>+B2-SUM(B3:B11)</f>
        <v>0</v>
      </c>
      <c r="D12" s="141">
        <f>+SUM(D3:D11)</f>
        <v>631308004.93571401</v>
      </c>
      <c r="E12" s="141">
        <f>+D12*14</f>
        <v>8838312069.0999966</v>
      </c>
      <c r="F12" s="74"/>
      <c r="G12" s="74"/>
      <c r="H12" s="74"/>
      <c r="I12" s="74"/>
    </row>
    <row r="13" spans="1:9" x14ac:dyDescent="0.35">
      <c r="A13" s="79" t="s">
        <v>72</v>
      </c>
      <c r="B13" s="74">
        <f>+SUM(B4:B11)</f>
        <v>2665887319.7169809</v>
      </c>
      <c r="C13" s="23">
        <f>+B13/B2</f>
        <v>0.26163042723218177</v>
      </c>
      <c r="D13" s="141"/>
      <c r="E13" s="141"/>
      <c r="F13" s="74"/>
      <c r="G13" s="74"/>
      <c r="H13" s="74"/>
      <c r="I13" s="74"/>
    </row>
    <row r="14" spans="1:9" x14ac:dyDescent="0.35">
      <c r="B14" s="74"/>
      <c r="C14" s="74"/>
      <c r="D14" s="141"/>
      <c r="E14" s="141"/>
      <c r="F14" s="74"/>
      <c r="G14" s="74"/>
      <c r="H14" s="74"/>
      <c r="I14" s="74"/>
    </row>
    <row r="15" spans="1:9" x14ac:dyDescent="0.35">
      <c r="B15" s="74"/>
      <c r="C15" s="74"/>
      <c r="D15" s="141"/>
      <c r="E15" s="141"/>
      <c r="F15" s="74"/>
      <c r="G15" s="74"/>
      <c r="H15" s="74"/>
      <c r="I15" s="74"/>
    </row>
    <row r="16" spans="1:9" x14ac:dyDescent="0.35">
      <c r="B16" s="74"/>
      <c r="C16" s="74"/>
      <c r="D16" s="141"/>
      <c r="E16" s="141"/>
      <c r="F16" s="74"/>
      <c r="G16" s="74"/>
      <c r="H16" s="74"/>
      <c r="I16" s="74"/>
    </row>
    <row r="17" spans="2:9" x14ac:dyDescent="0.35">
      <c r="B17" s="74"/>
      <c r="C17" s="74"/>
      <c r="D17" s="141"/>
      <c r="E17" s="141"/>
      <c r="F17" s="74"/>
      <c r="G17" s="74"/>
      <c r="H17" s="74"/>
      <c r="I17" s="74"/>
    </row>
    <row r="18" spans="2:9" x14ac:dyDescent="0.35">
      <c r="B18" s="74"/>
      <c r="C18" s="74"/>
      <c r="D18" s="141"/>
      <c r="E18" s="141"/>
      <c r="F18" s="74"/>
      <c r="G18" s="74"/>
      <c r="H18" s="74"/>
      <c r="I18" s="74"/>
    </row>
    <row r="19" spans="2:9" x14ac:dyDescent="0.35">
      <c r="B19" s="74"/>
      <c r="C19" s="74"/>
      <c r="D19" s="141"/>
      <c r="E19" s="141"/>
      <c r="F19" s="74"/>
      <c r="G19" s="74"/>
      <c r="H19" s="74"/>
      <c r="I19" s="74"/>
    </row>
    <row r="20" spans="2:9" x14ac:dyDescent="0.35">
      <c r="B20" s="74"/>
      <c r="C20" s="74"/>
      <c r="D20" s="141"/>
      <c r="E20" s="141"/>
      <c r="F20" s="74"/>
      <c r="G20" s="74"/>
      <c r="H20" s="74"/>
      <c r="I20" s="74"/>
    </row>
    <row r="21" spans="2:9" x14ac:dyDescent="0.35">
      <c r="B21" s="74"/>
      <c r="C21" s="74"/>
      <c r="D21" s="141"/>
      <c r="E21" s="141"/>
      <c r="F21" s="74"/>
      <c r="G21" s="74"/>
      <c r="H21" s="74"/>
      <c r="I21" s="74"/>
    </row>
    <row r="22" spans="2:9" x14ac:dyDescent="0.35">
      <c r="B22" s="74"/>
      <c r="C22" s="74"/>
      <c r="D22" s="141"/>
      <c r="E22" s="141"/>
      <c r="F22" s="74"/>
      <c r="G22" s="74"/>
      <c r="H22" s="74"/>
      <c r="I22" s="74"/>
    </row>
    <row r="23" spans="2:9" x14ac:dyDescent="0.35">
      <c r="B23" s="74"/>
      <c r="C23" s="74"/>
      <c r="D23" s="141"/>
      <c r="E23" s="141"/>
      <c r="F23" s="74"/>
      <c r="G23" s="74"/>
      <c r="H23" s="74"/>
      <c r="I23" s="74"/>
    </row>
    <row r="24" spans="2:9" x14ac:dyDescent="0.35">
      <c r="B24" s="74"/>
      <c r="C24" s="74"/>
      <c r="D24" s="141"/>
      <c r="E24" s="141"/>
      <c r="F24" s="74"/>
      <c r="G24" s="74"/>
      <c r="H24" s="74"/>
      <c r="I24" s="74"/>
    </row>
    <row r="25" spans="2:9" x14ac:dyDescent="0.35">
      <c r="B25" s="74"/>
      <c r="C25" s="74"/>
      <c r="D25" s="141"/>
      <c r="E25" s="141"/>
      <c r="F25" s="74"/>
      <c r="G25" s="74"/>
      <c r="H25" s="74"/>
      <c r="I25" s="74"/>
    </row>
    <row r="26" spans="2:9" x14ac:dyDescent="0.35">
      <c r="D26" s="139"/>
      <c r="E26" s="13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A4598-7EEB-4E1B-88BF-4F3ADAD68D1A}">
  <dimension ref="A2:P31"/>
  <sheetViews>
    <sheetView tabSelected="1" topLeftCell="F23" workbookViewId="0">
      <selection activeCell="J31" sqref="J31"/>
    </sheetView>
  </sheetViews>
  <sheetFormatPr baseColWidth="10" defaultColWidth="11.453125" defaultRowHeight="14.5" x14ac:dyDescent="0.35"/>
  <cols>
    <col min="1" max="1" width="42.36328125" bestFit="1" customWidth="1"/>
    <col min="2" max="15" width="14.6328125" bestFit="1" customWidth="1"/>
    <col min="16" max="16" width="17.26953125" bestFit="1" customWidth="1"/>
  </cols>
  <sheetData>
    <row r="2" spans="1:16" x14ac:dyDescent="0.35">
      <c r="A2" s="119" t="s">
        <v>73</v>
      </c>
      <c r="B2" s="120" t="s">
        <v>74</v>
      </c>
      <c r="C2" s="120" t="s">
        <v>75</v>
      </c>
      <c r="D2" s="120" t="s">
        <v>76</v>
      </c>
      <c r="E2" s="120" t="s">
        <v>77</v>
      </c>
      <c r="F2" s="120" t="s">
        <v>78</v>
      </c>
      <c r="G2" s="120" t="s">
        <v>79</v>
      </c>
      <c r="H2" s="120" t="s">
        <v>80</v>
      </c>
      <c r="I2" s="120" t="s">
        <v>81</v>
      </c>
      <c r="J2" s="120" t="s">
        <v>82</v>
      </c>
      <c r="K2" s="120" t="s">
        <v>83</v>
      </c>
      <c r="L2" s="120" t="s">
        <v>84</v>
      </c>
      <c r="M2" s="120" t="s">
        <v>85</v>
      </c>
      <c r="N2" s="120" t="s">
        <v>131</v>
      </c>
      <c r="O2" s="120" t="s">
        <v>132</v>
      </c>
      <c r="P2" s="120" t="s">
        <v>62</v>
      </c>
    </row>
    <row r="3" spans="1:16" x14ac:dyDescent="0.35">
      <c r="A3" s="5" t="s">
        <v>86</v>
      </c>
      <c r="B3" s="116">
        <v>13955052.600000001</v>
      </c>
      <c r="C3" s="116">
        <v>13955052.600000001</v>
      </c>
      <c r="D3" s="116">
        <v>13955052.600000001</v>
      </c>
      <c r="E3" s="116">
        <v>13955052.600000001</v>
      </c>
      <c r="F3" s="116">
        <v>13955052.600000001</v>
      </c>
      <c r="G3" s="116">
        <v>13955052.600000001</v>
      </c>
      <c r="H3" s="116">
        <v>13955052.600000001</v>
      </c>
      <c r="I3" s="116">
        <v>13955052.600000001</v>
      </c>
      <c r="J3" s="116">
        <v>13955052.600000001</v>
      </c>
      <c r="K3" s="116">
        <v>13955052.600000001</v>
      </c>
      <c r="L3" s="116">
        <v>13955052.600000001</v>
      </c>
      <c r="M3" s="116">
        <v>13955052.600000001</v>
      </c>
      <c r="N3" s="116">
        <v>13955052.600000001</v>
      </c>
      <c r="O3" s="116">
        <v>13955052.600000001</v>
      </c>
      <c r="P3" s="117">
        <f>SUM(B3:O3)</f>
        <v>195370736.39999995</v>
      </c>
    </row>
    <row r="4" spans="1:16" x14ac:dyDescent="0.35">
      <c r="A4" s="5" t="s">
        <v>87</v>
      </c>
      <c r="B4" s="116">
        <v>0</v>
      </c>
      <c r="C4" s="116">
        <v>0</v>
      </c>
      <c r="D4" s="116">
        <v>0</v>
      </c>
      <c r="E4" s="116">
        <v>0</v>
      </c>
      <c r="F4" s="116">
        <v>0</v>
      </c>
      <c r="G4" s="116">
        <v>0</v>
      </c>
      <c r="H4" s="116">
        <v>15952365.119999999</v>
      </c>
      <c r="I4" s="116">
        <v>15952365.119999999</v>
      </c>
      <c r="J4" s="116">
        <v>15952365.119999999</v>
      </c>
      <c r="K4" s="116">
        <v>15952365.119999999</v>
      </c>
      <c r="L4" s="116">
        <v>15952365.119999999</v>
      </c>
      <c r="M4" s="116">
        <v>15952365.119999999</v>
      </c>
      <c r="N4" s="116">
        <v>15952365.119999999</v>
      </c>
      <c r="O4" s="116">
        <v>15952365.119999999</v>
      </c>
      <c r="P4" s="117">
        <f t="shared" ref="P4:P13" si="0">SUM(B4:O4)</f>
        <v>127618920.96000001</v>
      </c>
    </row>
    <row r="5" spans="1:16" x14ac:dyDescent="0.35">
      <c r="A5" s="5" t="s">
        <v>88</v>
      </c>
      <c r="B5" s="116">
        <v>9352248.1199999992</v>
      </c>
      <c r="C5" s="116">
        <v>9352248.1199999992</v>
      </c>
      <c r="D5" s="116">
        <v>9352248.1199999992</v>
      </c>
      <c r="E5" s="116">
        <v>9352248.1199999992</v>
      </c>
      <c r="F5" s="116">
        <v>9352248.1199999992</v>
      </c>
      <c r="G5" s="116">
        <v>9352248.1199999992</v>
      </c>
      <c r="H5" s="116">
        <v>0</v>
      </c>
      <c r="I5" s="116">
        <v>0</v>
      </c>
      <c r="J5" s="116">
        <v>0</v>
      </c>
      <c r="K5" s="116">
        <v>0</v>
      </c>
      <c r="L5" s="116">
        <v>0</v>
      </c>
      <c r="M5" s="116">
        <v>0</v>
      </c>
      <c r="N5" s="116">
        <v>0</v>
      </c>
      <c r="O5" s="116">
        <v>0</v>
      </c>
      <c r="P5" s="117">
        <f t="shared" si="0"/>
        <v>56113488.719999991</v>
      </c>
    </row>
    <row r="6" spans="1:16" x14ac:dyDescent="0.35">
      <c r="A6" s="5" t="s">
        <v>89</v>
      </c>
      <c r="B6" s="116">
        <v>9352248.1199999992</v>
      </c>
      <c r="C6" s="116">
        <v>9352248.1199999992</v>
      </c>
      <c r="D6" s="116">
        <v>9352248.1199999992</v>
      </c>
      <c r="E6" s="116">
        <v>9352248.1199999992</v>
      </c>
      <c r="F6" s="116">
        <v>9352248.1199999992</v>
      </c>
      <c r="G6" s="116">
        <v>9352248.1199999992</v>
      </c>
      <c r="H6" s="116">
        <v>0</v>
      </c>
      <c r="I6" s="116">
        <v>0</v>
      </c>
      <c r="J6" s="116">
        <v>0</v>
      </c>
      <c r="K6" s="116">
        <v>0</v>
      </c>
      <c r="L6" s="116">
        <v>0</v>
      </c>
      <c r="M6" s="116">
        <v>0</v>
      </c>
      <c r="N6" s="116">
        <v>0</v>
      </c>
      <c r="O6" s="116">
        <v>0</v>
      </c>
      <c r="P6" s="117">
        <f t="shared" si="0"/>
        <v>56113488.719999991</v>
      </c>
    </row>
    <row r="7" spans="1:16" x14ac:dyDescent="0.35">
      <c r="A7" s="5" t="s">
        <v>90</v>
      </c>
      <c r="B7" s="116">
        <v>11755427.789999999</v>
      </c>
      <c r="C7" s="116">
        <v>11755427.789999999</v>
      </c>
      <c r="D7" s="116">
        <v>11755427.789999999</v>
      </c>
      <c r="E7" s="116">
        <v>11755427.789999999</v>
      </c>
      <c r="F7" s="116">
        <v>11755427.789999999</v>
      </c>
      <c r="G7" s="116">
        <v>11755427.789999999</v>
      </c>
      <c r="H7" s="116">
        <v>0</v>
      </c>
      <c r="I7" s="116">
        <v>0</v>
      </c>
      <c r="J7" s="116">
        <v>0</v>
      </c>
      <c r="K7" s="116">
        <v>0</v>
      </c>
      <c r="L7" s="116">
        <v>0</v>
      </c>
      <c r="M7" s="116">
        <v>0</v>
      </c>
      <c r="N7" s="116">
        <v>0</v>
      </c>
      <c r="O7" s="116">
        <v>0</v>
      </c>
      <c r="P7" s="117">
        <f t="shared" si="0"/>
        <v>70532566.739999995</v>
      </c>
    </row>
    <row r="8" spans="1:16" x14ac:dyDescent="0.35">
      <c r="A8" s="5" t="s">
        <v>91</v>
      </c>
      <c r="B8" s="116">
        <v>11755427.789999999</v>
      </c>
      <c r="C8" s="116">
        <v>11755427.789999999</v>
      </c>
      <c r="D8" s="116">
        <v>11755427.789999999</v>
      </c>
      <c r="E8" s="116">
        <v>11755427.789999999</v>
      </c>
      <c r="F8" s="116">
        <v>11755427.789999999</v>
      </c>
      <c r="G8" s="116">
        <v>11755427.789999999</v>
      </c>
      <c r="H8" s="116">
        <v>0</v>
      </c>
      <c r="I8" s="116">
        <v>0</v>
      </c>
      <c r="J8" s="116">
        <v>0</v>
      </c>
      <c r="K8" s="116">
        <v>0</v>
      </c>
      <c r="L8" s="116">
        <v>0</v>
      </c>
      <c r="M8" s="116">
        <v>0</v>
      </c>
      <c r="N8" s="116">
        <v>0</v>
      </c>
      <c r="O8" s="116">
        <v>0</v>
      </c>
      <c r="P8" s="117">
        <f t="shared" si="0"/>
        <v>70532566.739999995</v>
      </c>
    </row>
    <row r="9" spans="1:16" x14ac:dyDescent="0.35">
      <c r="A9" s="5" t="s">
        <v>92</v>
      </c>
      <c r="B9" s="116">
        <v>9352248.1199999992</v>
      </c>
      <c r="C9" s="116">
        <v>9352248.1199999992</v>
      </c>
      <c r="D9" s="116">
        <v>9352248.1199999992</v>
      </c>
      <c r="E9" s="116">
        <v>9352248.1199999992</v>
      </c>
      <c r="F9" s="116">
        <v>9352248.1199999992</v>
      </c>
      <c r="G9" s="116">
        <v>9352248.1199999992</v>
      </c>
      <c r="H9" s="116">
        <v>9352248.1199999992</v>
      </c>
      <c r="I9" s="116">
        <v>9352248.1199999992</v>
      </c>
      <c r="J9" s="116">
        <v>9352248.1199999992</v>
      </c>
      <c r="K9" s="116">
        <v>9352248.1199999992</v>
      </c>
      <c r="L9" s="116">
        <v>9352248.1199999992</v>
      </c>
      <c r="M9" s="116">
        <v>9352248.1199999992</v>
      </c>
      <c r="N9" s="116">
        <v>9352248.1199999992</v>
      </c>
      <c r="O9" s="116">
        <v>9352248.1199999992</v>
      </c>
      <c r="P9" s="117">
        <f t="shared" si="0"/>
        <v>130931473.68000002</v>
      </c>
    </row>
    <row r="10" spans="1:16" x14ac:dyDescent="0.35">
      <c r="A10" s="5" t="s">
        <v>93</v>
      </c>
      <c r="B10" s="116">
        <v>7709899.6600000001</v>
      </c>
      <c r="C10" s="116">
        <v>7709899.6600000001</v>
      </c>
      <c r="D10" s="116">
        <v>7709899.6600000001</v>
      </c>
      <c r="E10" s="116">
        <v>7709899.6600000001</v>
      </c>
      <c r="F10" s="116">
        <v>7709899.6600000001</v>
      </c>
      <c r="G10" s="116">
        <v>7709899.6600000001</v>
      </c>
      <c r="H10" s="116">
        <v>7709899.6600000001</v>
      </c>
      <c r="I10" s="116">
        <v>7709899.6600000001</v>
      </c>
      <c r="J10" s="116">
        <v>7709899.6600000001</v>
      </c>
      <c r="K10" s="116">
        <v>7709899.6600000001</v>
      </c>
      <c r="L10" s="116">
        <v>7709899.6600000001</v>
      </c>
      <c r="M10" s="116">
        <v>7709899.6600000001</v>
      </c>
      <c r="N10" s="116">
        <v>7709899.6600000001</v>
      </c>
      <c r="O10" s="116">
        <v>7709899.6600000001</v>
      </c>
      <c r="P10" s="117">
        <f t="shared" si="0"/>
        <v>107938595.23999996</v>
      </c>
    </row>
    <row r="11" spans="1:16" x14ac:dyDescent="0.35">
      <c r="A11" s="5" t="s">
        <v>94</v>
      </c>
      <c r="B11" s="116">
        <v>6544301.4299999997</v>
      </c>
      <c r="C11" s="116">
        <v>6544301.4299999997</v>
      </c>
      <c r="D11" s="116">
        <v>6544301.4299999997</v>
      </c>
      <c r="E11" s="116">
        <v>6544301.4299999997</v>
      </c>
      <c r="F11" s="116">
        <v>6544301.4299999997</v>
      </c>
      <c r="G11" s="116">
        <v>6544301.4299999997</v>
      </c>
      <c r="H11" s="116">
        <v>6544301.4299999997</v>
      </c>
      <c r="I11" s="116">
        <v>6544301.4299999997</v>
      </c>
      <c r="J11" s="116">
        <v>6544301.4299999997</v>
      </c>
      <c r="K11" s="116">
        <v>6544301.4299999997</v>
      </c>
      <c r="L11" s="116">
        <v>6544301.4299999997</v>
      </c>
      <c r="M11" s="116">
        <v>6544301.4299999997</v>
      </c>
      <c r="N11" s="116">
        <v>6544301.4299999997</v>
      </c>
      <c r="O11" s="116">
        <v>6544301.4299999997</v>
      </c>
      <c r="P11" s="117">
        <f t="shared" si="0"/>
        <v>91620220.020000011</v>
      </c>
    </row>
    <row r="12" spans="1:16" x14ac:dyDescent="0.35">
      <c r="A12" s="5" t="s">
        <v>95</v>
      </c>
      <c r="B12" s="116">
        <v>4000000</v>
      </c>
      <c r="C12" s="116">
        <v>4000000</v>
      </c>
      <c r="D12" s="116">
        <v>4000000</v>
      </c>
      <c r="E12" s="116">
        <v>4000000</v>
      </c>
      <c r="F12" s="116">
        <v>4000000</v>
      </c>
      <c r="G12" s="116">
        <v>4000000</v>
      </c>
      <c r="H12" s="116">
        <v>4000000</v>
      </c>
      <c r="I12" s="116">
        <v>4000000</v>
      </c>
      <c r="J12" s="116">
        <v>4000000</v>
      </c>
      <c r="K12" s="116">
        <v>4000000</v>
      </c>
      <c r="L12" s="116">
        <v>4000000</v>
      </c>
      <c r="M12" s="116">
        <v>4000000</v>
      </c>
      <c r="N12" s="116">
        <v>4000000</v>
      </c>
      <c r="O12" s="116">
        <v>4000000</v>
      </c>
      <c r="P12" s="117">
        <f t="shared" si="0"/>
        <v>56000000</v>
      </c>
    </row>
    <row r="13" spans="1:16" x14ac:dyDescent="0.35">
      <c r="A13" s="5" t="s">
        <v>96</v>
      </c>
      <c r="B13" s="116">
        <v>9352248.1199999992</v>
      </c>
      <c r="C13" s="116">
        <v>9352248.1199999992</v>
      </c>
      <c r="D13" s="116">
        <v>9352248.1199999992</v>
      </c>
      <c r="E13" s="116">
        <v>9352248.1199999992</v>
      </c>
      <c r="F13" s="116">
        <v>9352248.1199999992</v>
      </c>
      <c r="G13" s="116">
        <v>9352248.1199999992</v>
      </c>
      <c r="H13" s="116">
        <v>9352248.1199999992</v>
      </c>
      <c r="I13" s="116">
        <v>9352248.1199999992</v>
      </c>
      <c r="J13" s="116">
        <v>9352248.1199999992</v>
      </c>
      <c r="K13" s="116">
        <v>9352248.1199999992</v>
      </c>
      <c r="L13" s="116">
        <v>9352248.1199999992</v>
      </c>
      <c r="M13" s="116">
        <v>9352248.1199999992</v>
      </c>
      <c r="N13" s="116">
        <v>9352248.1199999992</v>
      </c>
      <c r="O13" s="116">
        <v>9352248.1199999992</v>
      </c>
      <c r="P13" s="117">
        <f t="shared" si="0"/>
        <v>130931473.68000002</v>
      </c>
    </row>
    <row r="14" spans="1:16" x14ac:dyDescent="0.35">
      <c r="D14" s="68"/>
      <c r="F14" s="68"/>
      <c r="G14" s="69"/>
      <c r="P14" s="70">
        <f>SUM(P3:P13)</f>
        <v>1093703530.8999999</v>
      </c>
    </row>
    <row r="15" spans="1:16" x14ac:dyDescent="0.35">
      <c r="P15" s="70"/>
    </row>
    <row r="16" spans="1:16" x14ac:dyDescent="0.35">
      <c r="A16" s="120" t="s">
        <v>97</v>
      </c>
      <c r="B16" s="120" t="s">
        <v>74</v>
      </c>
      <c r="C16" s="120" t="s">
        <v>75</v>
      </c>
      <c r="D16" s="120" t="s">
        <v>76</v>
      </c>
      <c r="E16" s="120" t="s">
        <v>77</v>
      </c>
      <c r="F16" s="120" t="s">
        <v>78</v>
      </c>
      <c r="G16" s="120" t="s">
        <v>79</v>
      </c>
      <c r="H16" s="120" t="s">
        <v>80</v>
      </c>
      <c r="I16" s="120" t="s">
        <v>81</v>
      </c>
      <c r="J16" s="120" t="s">
        <v>82</v>
      </c>
      <c r="K16" s="120" t="s">
        <v>83</v>
      </c>
      <c r="L16" s="120" t="s">
        <v>84</v>
      </c>
      <c r="M16" s="120" t="s">
        <v>85</v>
      </c>
      <c r="N16" s="120" t="s">
        <v>85</v>
      </c>
      <c r="O16" s="120" t="s">
        <v>85</v>
      </c>
      <c r="P16" s="120" t="s">
        <v>62</v>
      </c>
    </row>
    <row r="17" spans="1:16" x14ac:dyDescent="0.35">
      <c r="A17" s="5"/>
      <c r="B17" s="116">
        <f>1500000*4</f>
        <v>6000000</v>
      </c>
      <c r="C17" s="116">
        <f t="shared" ref="C17:G17" si="1">1500000*4</f>
        <v>6000000</v>
      </c>
      <c r="D17" s="116">
        <f t="shared" si="1"/>
        <v>6000000</v>
      </c>
      <c r="E17" s="116">
        <f t="shared" si="1"/>
        <v>6000000</v>
      </c>
      <c r="F17" s="116">
        <f t="shared" si="1"/>
        <v>6000000</v>
      </c>
      <c r="G17" s="116">
        <f t="shared" si="1"/>
        <v>6000000</v>
      </c>
      <c r="H17" s="116">
        <f>1500000*5</f>
        <v>7500000</v>
      </c>
      <c r="I17" s="116">
        <f>1500000*4</f>
        <v>6000000</v>
      </c>
      <c r="J17" s="116">
        <f t="shared" ref="J17:L17" si="2">1500000*5</f>
        <v>7500000</v>
      </c>
      <c r="K17" s="116">
        <f>1500000*4</f>
        <v>6000000</v>
      </c>
      <c r="L17" s="116">
        <f t="shared" si="2"/>
        <v>7500000</v>
      </c>
      <c r="M17" s="116">
        <f>1500000*4</f>
        <v>6000000</v>
      </c>
      <c r="N17" s="116">
        <f t="shared" ref="N17:O17" si="3">1500000*4</f>
        <v>6000000</v>
      </c>
      <c r="O17" s="116">
        <f t="shared" si="3"/>
        <v>6000000</v>
      </c>
      <c r="P17" s="116">
        <f>SUM(B17:O17)</f>
        <v>88500000</v>
      </c>
    </row>
    <row r="19" spans="1:16" x14ac:dyDescent="0.35">
      <c r="A19" s="118" t="s">
        <v>98</v>
      </c>
      <c r="B19" s="118" t="s">
        <v>74</v>
      </c>
      <c r="C19" s="118" t="s">
        <v>75</v>
      </c>
      <c r="D19" s="118" t="s">
        <v>76</v>
      </c>
      <c r="E19" s="118" t="s">
        <v>77</v>
      </c>
      <c r="F19" s="118" t="s">
        <v>78</v>
      </c>
      <c r="G19" s="118" t="s">
        <v>79</v>
      </c>
      <c r="H19" s="118" t="s">
        <v>80</v>
      </c>
      <c r="I19" s="118" t="s">
        <v>81</v>
      </c>
      <c r="J19" s="118" t="s">
        <v>82</v>
      </c>
      <c r="K19" s="118" t="s">
        <v>83</v>
      </c>
      <c r="L19" s="118" t="s">
        <v>84</v>
      </c>
      <c r="M19" s="118" t="s">
        <v>85</v>
      </c>
      <c r="N19" s="118" t="s">
        <v>85</v>
      </c>
      <c r="O19" s="118" t="s">
        <v>85</v>
      </c>
      <c r="P19" s="118" t="s">
        <v>62</v>
      </c>
    </row>
    <row r="20" spans="1:16" x14ac:dyDescent="0.35">
      <c r="A20" s="5"/>
      <c r="B20" s="121">
        <f>1200000*10</f>
        <v>12000000</v>
      </c>
      <c r="C20" s="121">
        <f t="shared" ref="C20:G20" si="4">1200000*10</f>
        <v>12000000</v>
      </c>
      <c r="D20" s="121">
        <f t="shared" si="4"/>
        <v>12000000</v>
      </c>
      <c r="E20" s="121">
        <f t="shared" si="4"/>
        <v>12000000</v>
      </c>
      <c r="F20" s="121">
        <f t="shared" si="4"/>
        <v>12000000</v>
      </c>
      <c r="G20" s="121">
        <f t="shared" si="4"/>
        <v>12000000</v>
      </c>
      <c r="H20" s="121">
        <f>1200000*9</f>
        <v>10800000</v>
      </c>
      <c r="I20" s="121">
        <f>1200000*9</f>
        <v>10800000</v>
      </c>
      <c r="J20" s="121">
        <f>1200000*7</f>
        <v>8400000</v>
      </c>
      <c r="K20" s="121">
        <f t="shared" ref="K20:O20" si="5">1200000*7</f>
        <v>8400000</v>
      </c>
      <c r="L20" s="121">
        <f t="shared" si="5"/>
        <v>8400000</v>
      </c>
      <c r="M20" s="121">
        <f t="shared" si="5"/>
        <v>8400000</v>
      </c>
      <c r="N20" s="121">
        <f t="shared" si="5"/>
        <v>8400000</v>
      </c>
      <c r="O20" s="121">
        <f t="shared" si="5"/>
        <v>8400000</v>
      </c>
      <c r="P20" s="116">
        <f>SUM(B20:O20)</f>
        <v>144000000</v>
      </c>
    </row>
    <row r="22" spans="1:16" x14ac:dyDescent="0.35">
      <c r="A22" s="118" t="s">
        <v>99</v>
      </c>
      <c r="B22" s="118" t="s">
        <v>74</v>
      </c>
      <c r="C22" s="118" t="s">
        <v>75</v>
      </c>
      <c r="D22" s="118" t="s">
        <v>76</v>
      </c>
      <c r="E22" s="118" t="s">
        <v>77</v>
      </c>
      <c r="F22" s="118" t="s">
        <v>78</v>
      </c>
      <c r="G22" s="118" t="s">
        <v>79</v>
      </c>
      <c r="H22" s="118" t="s">
        <v>80</v>
      </c>
      <c r="I22" s="118" t="s">
        <v>81</v>
      </c>
      <c r="J22" s="118" t="s">
        <v>82</v>
      </c>
      <c r="K22" s="118" t="s">
        <v>83</v>
      </c>
      <c r="L22" s="118" t="s">
        <v>84</v>
      </c>
      <c r="M22" s="118" t="s">
        <v>85</v>
      </c>
      <c r="N22" s="118" t="s">
        <v>131</v>
      </c>
      <c r="O22" s="118" t="s">
        <v>132</v>
      </c>
      <c r="P22" s="118" t="s">
        <v>62</v>
      </c>
    </row>
    <row r="23" spans="1:16" x14ac:dyDescent="0.35">
      <c r="A23" s="5"/>
      <c r="B23" s="121">
        <v>10000000</v>
      </c>
      <c r="C23" s="121">
        <v>10000000</v>
      </c>
      <c r="D23" s="121">
        <v>0</v>
      </c>
      <c r="E23" s="121">
        <v>0</v>
      </c>
      <c r="F23" s="121">
        <v>0</v>
      </c>
      <c r="G23" s="121">
        <v>0</v>
      </c>
      <c r="H23" s="121">
        <v>0</v>
      </c>
      <c r="I23" s="121">
        <v>0</v>
      </c>
      <c r="J23" s="121">
        <v>0</v>
      </c>
      <c r="K23" s="121">
        <v>0</v>
      </c>
      <c r="L23" s="121">
        <v>0</v>
      </c>
      <c r="M23" s="121">
        <v>0</v>
      </c>
      <c r="N23" s="121">
        <v>0</v>
      </c>
      <c r="O23" s="121">
        <v>0</v>
      </c>
      <c r="P23" s="116">
        <f>SUM(B23:M23)</f>
        <v>20000000</v>
      </c>
    </row>
    <row r="24" spans="1:16" x14ac:dyDescent="0.35">
      <c r="A24" s="5" t="s">
        <v>100</v>
      </c>
      <c r="B24" s="121">
        <v>5000000</v>
      </c>
      <c r="C24" s="121">
        <v>0</v>
      </c>
      <c r="D24" s="121">
        <v>0</v>
      </c>
      <c r="E24" s="121">
        <v>0</v>
      </c>
      <c r="F24" s="121">
        <v>0</v>
      </c>
      <c r="G24" s="121">
        <v>0</v>
      </c>
      <c r="H24" s="121">
        <v>0</v>
      </c>
      <c r="I24" s="121">
        <v>0</v>
      </c>
      <c r="J24" s="121">
        <v>0</v>
      </c>
      <c r="K24" s="121">
        <v>0</v>
      </c>
      <c r="L24" s="121">
        <v>0</v>
      </c>
      <c r="M24" s="121">
        <v>0</v>
      </c>
      <c r="N24" s="121">
        <v>0</v>
      </c>
      <c r="O24" s="121">
        <v>0</v>
      </c>
      <c r="P24" s="116">
        <f>SUM(B24:M24)</f>
        <v>5000000</v>
      </c>
    </row>
    <row r="25" spans="1:16" x14ac:dyDescent="0.35">
      <c r="M25" s="5" t="s">
        <v>62</v>
      </c>
      <c r="N25" s="5"/>
      <c r="O25" s="5"/>
      <c r="P25" s="117">
        <f>SUM(P23:P24)</f>
        <v>25000000</v>
      </c>
    </row>
    <row r="27" spans="1:16" x14ac:dyDescent="0.35">
      <c r="P27" s="71">
        <f>SUM(P14,P17,P20,P25)</f>
        <v>1351203530.8999999</v>
      </c>
    </row>
    <row r="28" spans="1:16" x14ac:dyDescent="0.35">
      <c r="A28" s="118"/>
      <c r="B28" s="118" t="s">
        <v>74</v>
      </c>
      <c r="C28" s="118" t="s">
        <v>75</v>
      </c>
      <c r="D28" s="118" t="s">
        <v>76</v>
      </c>
      <c r="E28" s="118" t="s">
        <v>77</v>
      </c>
      <c r="F28" s="118" t="s">
        <v>78</v>
      </c>
      <c r="G28" s="118" t="s">
        <v>79</v>
      </c>
      <c r="H28" s="118" t="s">
        <v>80</v>
      </c>
      <c r="I28" s="118" t="s">
        <v>81</v>
      </c>
      <c r="J28" s="118" t="s">
        <v>82</v>
      </c>
      <c r="K28" s="118" t="s">
        <v>83</v>
      </c>
      <c r="L28" s="118" t="s">
        <v>84</v>
      </c>
      <c r="M28" s="118" t="s">
        <v>85</v>
      </c>
      <c r="N28" s="118" t="s">
        <v>131</v>
      </c>
      <c r="O28" s="118" t="s">
        <v>132</v>
      </c>
      <c r="P28" s="118" t="s">
        <v>62</v>
      </c>
    </row>
    <row r="29" spans="1:16" x14ac:dyDescent="0.35">
      <c r="A29" t="s">
        <v>134</v>
      </c>
      <c r="B29" s="90">
        <f>B24+B23+B20+B17+SUM(B3:B13)</f>
        <v>126129101.75</v>
      </c>
      <c r="C29" s="90">
        <f t="shared" ref="C29:P29" si="6">C24+C23+C20+C17+SUM(C3:C13)</f>
        <v>121129101.75</v>
      </c>
      <c r="D29" s="90">
        <f t="shared" si="6"/>
        <v>111129101.75</v>
      </c>
      <c r="E29" s="90">
        <f t="shared" si="6"/>
        <v>111129101.75</v>
      </c>
      <c r="F29" s="90">
        <f t="shared" si="6"/>
        <v>111129101.75</v>
      </c>
      <c r="G29" s="90">
        <f t="shared" si="6"/>
        <v>111129101.75</v>
      </c>
      <c r="H29" s="90">
        <f t="shared" si="6"/>
        <v>85166115.049999997</v>
      </c>
      <c r="I29" s="90">
        <f t="shared" si="6"/>
        <v>83666115.049999997</v>
      </c>
      <c r="J29" s="90">
        <f t="shared" si="6"/>
        <v>82766115.049999997</v>
      </c>
      <c r="K29" s="90">
        <f t="shared" si="6"/>
        <v>81266115.049999997</v>
      </c>
      <c r="L29" s="90">
        <f t="shared" si="6"/>
        <v>82766115.049999997</v>
      </c>
      <c r="M29" s="90">
        <f t="shared" si="6"/>
        <v>81266115.049999997</v>
      </c>
      <c r="N29" s="90">
        <f t="shared" si="6"/>
        <v>81266115.049999997</v>
      </c>
      <c r="O29" s="90">
        <f t="shared" si="6"/>
        <v>81266115.049999997</v>
      </c>
      <c r="P29" s="136">
        <f t="shared" si="6"/>
        <v>1351203530.8999999</v>
      </c>
    </row>
    <row r="30" spans="1:16" x14ac:dyDescent="0.35">
      <c r="A30" t="s">
        <v>135</v>
      </c>
      <c r="B30" s="90">
        <f>+'COSTOS NOMINA  OPERATIV PNUD '!$D$12</f>
        <v>631308004.93571401</v>
      </c>
      <c r="C30" s="90">
        <f>+'COSTOS NOMINA  OPERATIV PNUD '!$D$12</f>
        <v>631308004.93571401</v>
      </c>
      <c r="D30" s="90">
        <f>+'COSTOS NOMINA  OPERATIV PNUD '!$D$12</f>
        <v>631308004.93571401</v>
      </c>
      <c r="E30" s="90">
        <f>+'COSTOS NOMINA  OPERATIV PNUD '!$D$12</f>
        <v>631308004.93571401</v>
      </c>
      <c r="F30" s="90">
        <f>+'COSTOS NOMINA  OPERATIV PNUD '!$D$12</f>
        <v>631308004.93571401</v>
      </c>
      <c r="G30" s="90">
        <f>+'COSTOS NOMINA  OPERATIV PNUD '!$D$12</f>
        <v>631308004.93571401</v>
      </c>
      <c r="H30" s="90">
        <f>+'COSTOS NOMINA  OPERATIV PNUD '!$D$12</f>
        <v>631308004.93571401</v>
      </c>
      <c r="I30" s="90">
        <f>+'COSTOS NOMINA  OPERATIV PNUD '!$D$12</f>
        <v>631308004.93571401</v>
      </c>
      <c r="J30" s="90">
        <f>+'COSTOS NOMINA  OPERATIV PNUD '!$D$12</f>
        <v>631308004.93571401</v>
      </c>
      <c r="K30" s="90">
        <f>+'COSTOS NOMINA  OPERATIV PNUD '!$D$12</f>
        <v>631308004.93571401</v>
      </c>
      <c r="L30" s="90">
        <f>+'COSTOS NOMINA  OPERATIV PNUD '!$D$12</f>
        <v>631308004.93571401</v>
      </c>
      <c r="M30" s="90">
        <f>+'COSTOS NOMINA  OPERATIV PNUD '!$D$12</f>
        <v>631308004.93571401</v>
      </c>
      <c r="N30" s="90">
        <f>+'COSTOS NOMINA  OPERATIV PNUD '!$D$12</f>
        <v>631308004.93571401</v>
      </c>
      <c r="O30" s="90">
        <f>+'COSTOS NOMINA  OPERATIV PNUD '!$D$12</f>
        <v>631308004.93571401</v>
      </c>
      <c r="P30" s="90">
        <f>+SUM(B30:O30)</f>
        <v>8838312069.0999947</v>
      </c>
    </row>
    <row r="31" spans="1:16" x14ac:dyDescent="0.35">
      <c r="A31" t="s">
        <v>136</v>
      </c>
      <c r="B31" s="90">
        <f>+B29+B30</f>
        <v>757437106.68571401</v>
      </c>
      <c r="C31" s="90">
        <f t="shared" ref="C31:O31" si="7">+C29+C30</f>
        <v>752437106.68571401</v>
      </c>
      <c r="D31" s="90">
        <f t="shared" si="7"/>
        <v>742437106.68571401</v>
      </c>
      <c r="E31" s="90">
        <f t="shared" si="7"/>
        <v>742437106.68571401</v>
      </c>
      <c r="F31" s="90">
        <f t="shared" si="7"/>
        <v>742437106.68571401</v>
      </c>
      <c r="G31" s="90">
        <f t="shared" si="7"/>
        <v>742437106.68571401</v>
      </c>
      <c r="H31" s="90">
        <f t="shared" si="7"/>
        <v>716474119.98571396</v>
      </c>
      <c r="I31" s="90">
        <f t="shared" si="7"/>
        <v>714974119.98571396</v>
      </c>
      <c r="J31" s="90">
        <f t="shared" si="7"/>
        <v>714074119.98571396</v>
      </c>
      <c r="K31" s="90">
        <f t="shared" si="7"/>
        <v>712574119.98571396</v>
      </c>
      <c r="L31" s="90">
        <f t="shared" si="7"/>
        <v>714074119.98571396</v>
      </c>
      <c r="M31" s="90">
        <f t="shared" si="7"/>
        <v>712574119.98571396</v>
      </c>
      <c r="N31" s="90">
        <f t="shared" si="7"/>
        <v>712574119.98571396</v>
      </c>
      <c r="O31" s="90">
        <f t="shared" si="7"/>
        <v>712574119.98571396</v>
      </c>
      <c r="P31" s="90">
        <f>+SUM(B31:O31)</f>
        <v>10189515599.999996</v>
      </c>
    </row>
  </sheetData>
  <phoneticPr fontId="3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80D1E-A69E-4E46-AA07-05E4974B7934}">
  <sheetPr>
    <tabColor theme="3"/>
  </sheetPr>
  <dimension ref="A2:G24"/>
  <sheetViews>
    <sheetView topLeftCell="B2" zoomScale="133" zoomScaleNormal="150" workbookViewId="0">
      <selection activeCell="E11" sqref="E11:E15"/>
    </sheetView>
  </sheetViews>
  <sheetFormatPr baseColWidth="10" defaultColWidth="11.453125" defaultRowHeight="14.5" x14ac:dyDescent="0.35"/>
  <cols>
    <col min="1" max="1" width="24.7265625" style="11" bestFit="1" customWidth="1"/>
    <col min="2" max="2" width="65.54296875" style="11" customWidth="1"/>
    <col min="3" max="3" width="16.26953125" style="11" customWidth="1"/>
    <col min="4" max="4" width="15.7265625" style="11" customWidth="1"/>
    <col min="5" max="5" width="14.26953125" style="11" customWidth="1"/>
    <col min="6" max="6" width="21.54296875" style="11" bestFit="1" customWidth="1"/>
    <col min="7" max="7" width="11.453125" style="11"/>
    <col min="8" max="8" width="17.26953125" style="11" customWidth="1"/>
    <col min="9" max="16384" width="11.453125" style="11"/>
  </cols>
  <sheetData>
    <row r="2" spans="1:7" x14ac:dyDescent="0.35">
      <c r="A2" s="128" t="s">
        <v>101</v>
      </c>
      <c r="B2" s="128"/>
    </row>
    <row r="3" spans="1:7" x14ac:dyDescent="0.35">
      <c r="A3" s="30"/>
      <c r="B3" s="30"/>
    </row>
    <row r="4" spans="1:7" ht="36.65" customHeight="1" thickBot="1" x14ac:dyDescent="0.4">
      <c r="A4" s="26" t="s">
        <v>61</v>
      </c>
      <c r="B4" s="28" t="s">
        <v>102</v>
      </c>
      <c r="C4" s="27" t="s">
        <v>103</v>
      </c>
    </row>
    <row r="5" spans="1:7" ht="36.5" thickBot="1" x14ac:dyDescent="0.4">
      <c r="A5" s="29" t="s">
        <v>36</v>
      </c>
      <c r="B5" s="78">
        <f>+ACITIVIDAD!F3</f>
        <v>1961490288.6230464</v>
      </c>
      <c r="C5" s="25">
        <f>+B5-F19</f>
        <v>7890288.6230463982</v>
      </c>
    </row>
    <row r="6" spans="1:7" x14ac:dyDescent="0.35">
      <c r="F6" s="85">
        <f>C11*120</f>
        <v>480000000</v>
      </c>
    </row>
    <row r="8" spans="1:7" ht="28.5" x14ac:dyDescent="0.65">
      <c r="A8" s="129" t="s">
        <v>104</v>
      </c>
      <c r="B8" s="129"/>
      <c r="C8" s="129"/>
      <c r="D8" s="129"/>
    </row>
    <row r="9" spans="1:7" s="31" customFormat="1" ht="28.5" customHeight="1" x14ac:dyDescent="0.3">
      <c r="A9" s="130" t="s">
        <v>105</v>
      </c>
      <c r="B9" s="130"/>
      <c r="C9" s="32"/>
      <c r="D9" s="32"/>
      <c r="E9" s="33"/>
      <c r="F9" s="34"/>
      <c r="G9" s="31">
        <f>+F9/10</f>
        <v>0</v>
      </c>
    </row>
    <row r="10" spans="1:7" s="37" customFormat="1" ht="12" customHeight="1" x14ac:dyDescent="0.3">
      <c r="A10" s="35" t="s">
        <v>106</v>
      </c>
      <c r="B10" s="35" t="s">
        <v>107</v>
      </c>
      <c r="C10" s="36" t="s">
        <v>55</v>
      </c>
      <c r="D10" s="36" t="s">
        <v>108</v>
      </c>
      <c r="E10" s="36" t="s">
        <v>109</v>
      </c>
      <c r="F10" s="36" t="s">
        <v>68</v>
      </c>
    </row>
    <row r="11" spans="1:7" x14ac:dyDescent="0.35">
      <c r="A11" s="38"/>
      <c r="B11" s="38" t="s">
        <v>110</v>
      </c>
      <c r="C11" s="38">
        <v>4000000</v>
      </c>
      <c r="D11" s="46">
        <v>10</v>
      </c>
      <c r="E11" s="46">
        <v>11.1</v>
      </c>
      <c r="F11" s="38">
        <f>+C11*D11*E11</f>
        <v>444000000</v>
      </c>
    </row>
    <row r="12" spans="1:7" x14ac:dyDescent="0.35">
      <c r="A12" s="39"/>
      <c r="B12" s="39" t="s">
        <v>111</v>
      </c>
      <c r="C12" s="39">
        <v>600000</v>
      </c>
      <c r="D12" s="47">
        <v>10</v>
      </c>
      <c r="E12" s="46">
        <v>11.1</v>
      </c>
      <c r="F12" s="38">
        <f t="shared" ref="F12:F18" si="0">+C12*D12*E12</f>
        <v>66600000</v>
      </c>
    </row>
    <row r="13" spans="1:7" x14ac:dyDescent="0.35">
      <c r="A13" s="38"/>
      <c r="B13" s="38" t="s">
        <v>112</v>
      </c>
      <c r="C13" s="91">
        <v>1500000</v>
      </c>
      <c r="D13" s="96">
        <v>10</v>
      </c>
      <c r="E13" s="46">
        <v>11.1</v>
      </c>
      <c r="F13" s="38">
        <f t="shared" si="0"/>
        <v>166500000</v>
      </c>
    </row>
    <row r="14" spans="1:7" x14ac:dyDescent="0.35">
      <c r="A14" s="38"/>
      <c r="B14" s="39" t="s">
        <v>113</v>
      </c>
      <c r="C14" s="91">
        <v>1000000</v>
      </c>
      <c r="D14" s="96">
        <v>10</v>
      </c>
      <c r="E14" s="46">
        <v>11.1</v>
      </c>
      <c r="F14" s="38">
        <f t="shared" si="0"/>
        <v>111000000</v>
      </c>
    </row>
    <row r="15" spans="1:7" x14ac:dyDescent="0.35">
      <c r="A15" s="39"/>
      <c r="B15" s="39" t="s">
        <v>114</v>
      </c>
      <c r="C15" s="97">
        <f>150000*70</f>
        <v>10500000</v>
      </c>
      <c r="D15" s="98">
        <v>10</v>
      </c>
      <c r="E15" s="46">
        <v>11.1</v>
      </c>
      <c r="F15" s="38">
        <f t="shared" si="0"/>
        <v>1165500000</v>
      </c>
    </row>
    <row r="16" spans="1:7" x14ac:dyDescent="0.35">
      <c r="A16" s="38"/>
      <c r="B16" s="39"/>
      <c r="C16" s="41"/>
      <c r="D16" s="41"/>
      <c r="E16" s="46"/>
      <c r="F16" s="38">
        <f t="shared" si="0"/>
        <v>0</v>
      </c>
    </row>
    <row r="17" spans="1:6" x14ac:dyDescent="0.35">
      <c r="A17" s="39"/>
      <c r="C17" s="41"/>
      <c r="D17" s="41"/>
      <c r="E17" s="46"/>
      <c r="F17" s="38">
        <f t="shared" si="0"/>
        <v>0</v>
      </c>
    </row>
    <row r="18" spans="1:6" x14ac:dyDescent="0.35">
      <c r="A18" s="38"/>
      <c r="B18" s="38"/>
      <c r="C18" s="41"/>
      <c r="D18" s="41"/>
      <c r="E18" s="46"/>
      <c r="F18" s="38">
        <f t="shared" si="0"/>
        <v>0</v>
      </c>
    </row>
    <row r="19" spans="1:6" s="43" customFormat="1" x14ac:dyDescent="0.35">
      <c r="A19" s="131" t="s">
        <v>115</v>
      </c>
      <c r="B19" s="132"/>
      <c r="C19" s="44">
        <f>SUM(C11:C18)</f>
        <v>17600000</v>
      </c>
      <c r="D19" s="44"/>
      <c r="E19" s="44"/>
      <c r="F19" s="44">
        <f>SUM(F11:F18)</f>
        <v>1953600000</v>
      </c>
    </row>
    <row r="20" spans="1:6" x14ac:dyDescent="0.35">
      <c r="C20" s="43"/>
      <c r="D20" s="43"/>
      <c r="E20" s="43"/>
    </row>
    <row r="21" spans="1:6" x14ac:dyDescent="0.35">
      <c r="C21" s="43"/>
      <c r="D21" s="43"/>
      <c r="E21" s="45"/>
    </row>
    <row r="22" spans="1:6" x14ac:dyDescent="0.35">
      <c r="E22" s="45"/>
    </row>
    <row r="23" spans="1:6" x14ac:dyDescent="0.35">
      <c r="E23" s="45"/>
    </row>
    <row r="24" spans="1:6" x14ac:dyDescent="0.35">
      <c r="E24" s="45"/>
    </row>
  </sheetData>
  <mergeCells count="4">
    <mergeCell ref="A2:B2"/>
    <mergeCell ref="A8:D8"/>
    <mergeCell ref="A9:B9"/>
    <mergeCell ref="A19:B19"/>
  </mergeCells>
  <conditionalFormatting sqref="C5">
    <cfRule type="cellIs" dxfId="11" priority="1" operator="equal">
      <formula>0</formula>
    </cfRule>
    <cfRule type="cellIs" dxfId="10" priority="2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BEDC7-3A37-49E2-B771-75F12B838908}">
  <sheetPr>
    <tabColor theme="3"/>
  </sheetPr>
  <dimension ref="A2:H24"/>
  <sheetViews>
    <sheetView zoomScaleNormal="100" workbookViewId="0">
      <selection activeCell="D7" sqref="D7"/>
    </sheetView>
  </sheetViews>
  <sheetFormatPr baseColWidth="10" defaultColWidth="11.453125" defaultRowHeight="14.5" x14ac:dyDescent="0.35"/>
  <cols>
    <col min="1" max="1" width="24.7265625" style="11" bestFit="1" customWidth="1"/>
    <col min="2" max="2" width="65.54296875" style="11" customWidth="1"/>
    <col min="3" max="3" width="16.26953125" style="11" customWidth="1"/>
    <col min="4" max="4" width="15.7265625" style="11" customWidth="1"/>
    <col min="5" max="5" width="14.26953125" style="11" customWidth="1"/>
    <col min="6" max="6" width="21.54296875" style="11" bestFit="1" customWidth="1"/>
    <col min="7" max="7" width="11.453125" style="11"/>
    <col min="8" max="8" width="11.7265625" style="11" bestFit="1" customWidth="1"/>
    <col min="9" max="16384" width="11.453125" style="11"/>
  </cols>
  <sheetData>
    <row r="2" spans="1:8" ht="15.5" x14ac:dyDescent="0.35">
      <c r="A2" s="128" t="s">
        <v>101</v>
      </c>
      <c r="B2" s="128"/>
      <c r="C2" s="133"/>
      <c r="D2" s="134"/>
    </row>
    <row r="3" spans="1:8" x14ac:dyDescent="0.35">
      <c r="A3" s="30"/>
      <c r="B3" s="30"/>
    </row>
    <row r="4" spans="1:8" ht="36.65" customHeight="1" thickBot="1" x14ac:dyDescent="0.4">
      <c r="A4" s="26" t="s">
        <v>61</v>
      </c>
      <c r="B4" s="28" t="s">
        <v>102</v>
      </c>
      <c r="C4" s="27" t="s">
        <v>103</v>
      </c>
    </row>
    <row r="5" spans="1:8" ht="48.5" thickBot="1" x14ac:dyDescent="0.4">
      <c r="A5" s="29" t="s">
        <v>37</v>
      </c>
      <c r="B5" s="78">
        <f>+ACITIVIDAD!F4</f>
        <v>1273687513.0244865</v>
      </c>
      <c r="C5" s="25">
        <f>+B5-F19</f>
        <v>2277315.9044866562</v>
      </c>
      <c r="D5" s="87">
        <f>+C5+' COSTOS MENSUALES ITEM (3)'!C5+' COSTOS MENSUALES ITEM (4)'!C5+' COSTOS MENSUALES ITEM (5)'!C5+' COSTOS MENSUALES ITEM (6)'!C5</f>
        <v>30222794.539975286</v>
      </c>
      <c r="F5" s="80"/>
    </row>
    <row r="6" spans="1:8" x14ac:dyDescent="0.35">
      <c r="F6" s="81"/>
    </row>
    <row r="8" spans="1:8" ht="28.5" x14ac:dyDescent="0.65">
      <c r="A8" s="129" t="s">
        <v>104</v>
      </c>
      <c r="B8" s="129"/>
      <c r="C8" s="129"/>
      <c r="D8" s="129"/>
    </row>
    <row r="9" spans="1:8" s="31" customFormat="1" ht="28.5" customHeight="1" x14ac:dyDescent="0.3">
      <c r="A9" s="130" t="s">
        <v>105</v>
      </c>
      <c r="B9" s="130"/>
      <c r="C9" s="32"/>
      <c r="D9" s="32"/>
      <c r="E9" s="33"/>
      <c r="F9" s="34"/>
    </row>
    <row r="10" spans="1:8" s="37" customFormat="1" ht="12" customHeight="1" x14ac:dyDescent="0.3">
      <c r="A10" s="35" t="s">
        <v>106</v>
      </c>
      <c r="B10" s="35" t="s">
        <v>116</v>
      </c>
      <c r="C10" s="36" t="s">
        <v>55</v>
      </c>
      <c r="D10" s="36" t="s">
        <v>117</v>
      </c>
      <c r="E10" s="36" t="s">
        <v>118</v>
      </c>
      <c r="F10" s="36" t="s">
        <v>68</v>
      </c>
    </row>
    <row r="11" spans="1:8" x14ac:dyDescent="0.35">
      <c r="A11" s="38"/>
      <c r="B11" s="38" t="s">
        <v>119</v>
      </c>
      <c r="C11" s="38">
        <v>1441508.16</v>
      </c>
      <c r="D11" s="82">
        <v>12</v>
      </c>
      <c r="E11" s="83">
        <v>14</v>
      </c>
      <c r="F11" s="38">
        <f>(+C11*D11)*E11</f>
        <v>242173370.87999997</v>
      </c>
      <c r="H11" s="85"/>
    </row>
    <row r="12" spans="1:8" x14ac:dyDescent="0.35">
      <c r="A12" s="39"/>
      <c r="B12" s="39" t="s">
        <v>120</v>
      </c>
      <c r="C12" s="38">
        <v>1441508.16</v>
      </c>
      <c r="D12" s="84">
        <v>40</v>
      </c>
      <c r="E12" s="83">
        <v>14</v>
      </c>
      <c r="F12" s="38">
        <f>(+C12*D12)*E12</f>
        <v>807244569.60000002</v>
      </c>
    </row>
    <row r="13" spans="1:8" x14ac:dyDescent="0.35">
      <c r="A13" s="38"/>
      <c r="B13" s="38" t="s">
        <v>121</v>
      </c>
      <c r="C13" s="38">
        <v>1441508.16</v>
      </c>
      <c r="D13" s="82">
        <v>11</v>
      </c>
      <c r="E13" s="83">
        <v>14</v>
      </c>
      <c r="F13" s="38">
        <f>(+C13*D13)*E13</f>
        <v>221992256.63999999</v>
      </c>
    </row>
    <row r="14" spans="1:8" x14ac:dyDescent="0.35">
      <c r="A14" s="38"/>
      <c r="B14" s="39"/>
      <c r="C14" s="41"/>
      <c r="D14" s="46"/>
      <c r="E14" s="46"/>
      <c r="F14" s="38">
        <f t="shared" ref="F12:F18" si="0">(+C14*D14)*12</f>
        <v>0</v>
      </c>
    </row>
    <row r="15" spans="1:8" x14ac:dyDescent="0.35">
      <c r="A15" s="39"/>
      <c r="B15" s="38"/>
      <c r="C15" s="42"/>
      <c r="D15" s="47"/>
      <c r="E15" s="47"/>
      <c r="F15" s="38">
        <f t="shared" si="0"/>
        <v>0</v>
      </c>
    </row>
    <row r="16" spans="1:8" x14ac:dyDescent="0.35">
      <c r="A16" s="38"/>
      <c r="B16" s="39"/>
      <c r="C16" s="41"/>
      <c r="D16" s="46"/>
      <c r="E16" s="46"/>
      <c r="F16" s="38">
        <f t="shared" si="0"/>
        <v>0</v>
      </c>
    </row>
    <row r="17" spans="1:6" x14ac:dyDescent="0.35">
      <c r="A17" s="39"/>
      <c r="B17" s="38"/>
      <c r="C17" s="41"/>
      <c r="D17" s="46"/>
      <c r="E17" s="46"/>
      <c r="F17" s="38">
        <f t="shared" si="0"/>
        <v>0</v>
      </c>
    </row>
    <row r="18" spans="1:6" x14ac:dyDescent="0.35">
      <c r="A18" s="39"/>
      <c r="B18" s="39"/>
      <c r="C18" s="41"/>
      <c r="D18" s="46"/>
      <c r="E18" s="46"/>
      <c r="F18" s="38">
        <f t="shared" si="0"/>
        <v>0</v>
      </c>
    </row>
    <row r="19" spans="1:6" s="43" customFormat="1" x14ac:dyDescent="0.35">
      <c r="A19" s="131" t="s">
        <v>115</v>
      </c>
      <c r="B19" s="132"/>
      <c r="C19" s="44">
        <f>F19/12</f>
        <v>105950849.75999999</v>
      </c>
      <c r="D19" s="44"/>
      <c r="E19" s="44"/>
      <c r="F19" s="44">
        <f t="shared" ref="F19" si="1">SUM(F11:F18)</f>
        <v>1271410197.1199999</v>
      </c>
    </row>
    <row r="20" spans="1:6" x14ac:dyDescent="0.35">
      <c r="C20" s="43"/>
      <c r="D20" s="43"/>
      <c r="E20" s="43"/>
    </row>
    <row r="21" spans="1:6" x14ac:dyDescent="0.35">
      <c r="C21" s="43"/>
      <c r="D21" s="43"/>
      <c r="E21" s="45"/>
    </row>
    <row r="22" spans="1:6" x14ac:dyDescent="0.35">
      <c r="E22" s="45"/>
    </row>
    <row r="23" spans="1:6" x14ac:dyDescent="0.35">
      <c r="E23" s="45"/>
    </row>
    <row r="24" spans="1:6" x14ac:dyDescent="0.35">
      <c r="E24" s="45"/>
    </row>
  </sheetData>
  <mergeCells count="5">
    <mergeCell ref="A2:B2"/>
    <mergeCell ref="A8:D8"/>
    <mergeCell ref="A9:B9"/>
    <mergeCell ref="A19:B19"/>
    <mergeCell ref="C2:D2"/>
  </mergeCells>
  <conditionalFormatting sqref="C5">
    <cfRule type="cellIs" dxfId="9" priority="1" operator="equal">
      <formula>0</formula>
    </cfRule>
    <cfRule type="cellIs" dxfId="8" priority="2" operator="greaterThan">
      <formula>0</formula>
    </cfRule>
  </conditionalFormatting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B291-AF14-4BB4-A7CC-D09F03FA90D2}">
  <sheetPr>
    <tabColor theme="3"/>
  </sheetPr>
  <dimension ref="A2:F20"/>
  <sheetViews>
    <sheetView topLeftCell="C5" zoomScale="160" zoomScaleNormal="160" workbookViewId="0">
      <selection activeCell="E11" sqref="E11"/>
    </sheetView>
  </sheetViews>
  <sheetFormatPr baseColWidth="10" defaultColWidth="11.453125" defaultRowHeight="14.5" x14ac:dyDescent="0.35"/>
  <cols>
    <col min="1" max="1" width="24.7265625" style="11" bestFit="1" customWidth="1"/>
    <col min="2" max="2" width="65.54296875" style="11" customWidth="1"/>
    <col min="3" max="3" width="16.26953125" style="11" customWidth="1"/>
    <col min="4" max="4" width="15.7265625" style="11" customWidth="1"/>
    <col min="5" max="5" width="17.26953125" style="11" bestFit="1" customWidth="1"/>
    <col min="6" max="6" width="21.54296875" style="11" bestFit="1" customWidth="1"/>
    <col min="7" max="16384" width="11.453125" style="11"/>
  </cols>
  <sheetData>
    <row r="2" spans="1:6" ht="15.5" x14ac:dyDescent="0.35">
      <c r="A2" s="128" t="s">
        <v>101</v>
      </c>
      <c r="B2" s="128"/>
      <c r="C2" s="133"/>
      <c r="D2" s="134"/>
    </row>
    <row r="3" spans="1:6" x14ac:dyDescent="0.35">
      <c r="A3" s="30"/>
      <c r="B3" s="30"/>
    </row>
    <row r="4" spans="1:6" ht="36.65" customHeight="1" thickBot="1" x14ac:dyDescent="0.4">
      <c r="A4" s="26" t="s">
        <v>61</v>
      </c>
      <c r="B4" s="28" t="s">
        <v>102</v>
      </c>
      <c r="C4" s="27" t="s">
        <v>103</v>
      </c>
      <c r="E4" s="80"/>
    </row>
    <row r="5" spans="1:6" ht="15" thickBot="1" x14ac:dyDescent="0.4">
      <c r="A5" s="29" t="s">
        <v>38</v>
      </c>
      <c r="B5" s="78">
        <f>+ACITIVIDAD!F5</f>
        <v>849125008.68299103</v>
      </c>
      <c r="C5" s="25">
        <f>+B5-F15</f>
        <v>8805008.6829910278</v>
      </c>
      <c r="E5" s="87"/>
    </row>
    <row r="8" spans="1:6" ht="28.5" x14ac:dyDescent="0.65">
      <c r="A8" s="129" t="s">
        <v>104</v>
      </c>
      <c r="B8" s="129"/>
      <c r="C8" s="129"/>
      <c r="D8" s="129"/>
      <c r="F8" s="81"/>
    </row>
    <row r="9" spans="1:6" s="31" customFormat="1" ht="28.5" customHeight="1" x14ac:dyDescent="0.3">
      <c r="A9" s="135" t="s">
        <v>105</v>
      </c>
      <c r="B9" s="135"/>
      <c r="C9" s="86"/>
      <c r="D9" s="86"/>
      <c r="E9" s="33"/>
      <c r="F9" s="34"/>
    </row>
    <row r="10" spans="1:6" s="37" customFormat="1" ht="12" customHeight="1" x14ac:dyDescent="0.3">
      <c r="A10" s="35" t="s">
        <v>106</v>
      </c>
      <c r="B10" s="35" t="s">
        <v>116</v>
      </c>
      <c r="C10" s="36" t="s">
        <v>55</v>
      </c>
      <c r="D10" s="36" t="s">
        <v>108</v>
      </c>
      <c r="E10" s="36" t="s">
        <v>118</v>
      </c>
      <c r="F10" s="36" t="s">
        <v>68</v>
      </c>
    </row>
    <row r="11" spans="1:6" x14ac:dyDescent="0.35">
      <c r="A11" s="38"/>
      <c r="B11" s="38" t="s">
        <v>122</v>
      </c>
      <c r="C11" s="38">
        <v>8000000</v>
      </c>
      <c r="D11" s="82">
        <v>10.4</v>
      </c>
      <c r="E11" s="83">
        <v>10.1</v>
      </c>
      <c r="F11" s="38">
        <f>+C11*D11*E11</f>
        <v>840320000</v>
      </c>
    </row>
    <row r="12" spans="1:6" x14ac:dyDescent="0.35">
      <c r="A12" s="39"/>
      <c r="B12" s="39"/>
      <c r="C12" s="39"/>
      <c r="D12" s="47"/>
      <c r="E12" s="47"/>
      <c r="F12" s="38">
        <f t="shared" ref="F12:F14" si="0">+C12*D12*E12</f>
        <v>0</v>
      </c>
    </row>
    <row r="13" spans="1:6" x14ac:dyDescent="0.35">
      <c r="A13" s="38"/>
      <c r="B13" s="40"/>
      <c r="C13" s="41"/>
      <c r="D13" s="46"/>
      <c r="E13" s="46"/>
      <c r="F13" s="38">
        <f t="shared" si="0"/>
        <v>0</v>
      </c>
    </row>
    <row r="14" spans="1:6" x14ac:dyDescent="0.35">
      <c r="A14" s="38"/>
      <c r="B14" s="38"/>
      <c r="C14" s="41"/>
      <c r="D14" s="46"/>
      <c r="E14" s="46"/>
      <c r="F14" s="38">
        <f t="shared" si="0"/>
        <v>0</v>
      </c>
    </row>
    <row r="15" spans="1:6" s="43" customFormat="1" x14ac:dyDescent="0.35">
      <c r="A15" s="131" t="s">
        <v>115</v>
      </c>
      <c r="B15" s="132"/>
      <c r="C15" s="44">
        <f>SUM(C11:C14)</f>
        <v>8000000</v>
      </c>
      <c r="D15" s="44"/>
      <c r="E15" s="44"/>
      <c r="F15" s="44">
        <f>SUM(F11:F14)</f>
        <v>840320000</v>
      </c>
    </row>
    <row r="16" spans="1:6" x14ac:dyDescent="0.35">
      <c r="C16" s="43"/>
      <c r="D16" s="43"/>
      <c r="E16" s="43"/>
    </row>
    <row r="17" spans="3:5" x14ac:dyDescent="0.35">
      <c r="C17" s="43"/>
      <c r="D17" s="43"/>
      <c r="E17" s="45"/>
    </row>
    <row r="18" spans="3:5" x14ac:dyDescent="0.35">
      <c r="E18" s="45"/>
    </row>
    <row r="19" spans="3:5" x14ac:dyDescent="0.35">
      <c r="E19" s="45"/>
    </row>
    <row r="20" spans="3:5" x14ac:dyDescent="0.35">
      <c r="E20" s="45"/>
    </row>
  </sheetData>
  <mergeCells count="5">
    <mergeCell ref="A2:B2"/>
    <mergeCell ref="A8:D8"/>
    <mergeCell ref="A9:B9"/>
    <mergeCell ref="A15:B15"/>
    <mergeCell ref="C2:D2"/>
  </mergeCells>
  <conditionalFormatting sqref="C5">
    <cfRule type="cellIs" dxfId="7" priority="1" operator="equal">
      <formula>0</formula>
    </cfRule>
    <cfRule type="cellIs" dxfId="6" priority="2" operator="greaterThan">
      <formula>0</formula>
    </cfRule>
  </conditionalFormatting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36041-660A-4F81-B6F5-02C6E3981109}">
  <sheetPr>
    <tabColor theme="3"/>
  </sheetPr>
  <dimension ref="A2:G20"/>
  <sheetViews>
    <sheetView topLeftCell="C2" zoomScale="160" zoomScaleNormal="160" workbookViewId="0">
      <selection activeCell="D16" sqref="D16"/>
    </sheetView>
  </sheetViews>
  <sheetFormatPr baseColWidth="10" defaultColWidth="11.453125" defaultRowHeight="14.5" x14ac:dyDescent="0.35"/>
  <cols>
    <col min="1" max="1" width="24.7265625" style="11" bestFit="1" customWidth="1"/>
    <col min="2" max="2" width="65.54296875" style="11" customWidth="1"/>
    <col min="3" max="3" width="16.26953125" style="11" customWidth="1"/>
    <col min="4" max="4" width="15.7265625" style="11" customWidth="1"/>
    <col min="5" max="5" width="14.26953125" style="11" customWidth="1"/>
    <col min="6" max="6" width="21.54296875" style="11" bestFit="1" customWidth="1"/>
    <col min="7" max="7" width="13.26953125" style="11" bestFit="1" customWidth="1"/>
    <col min="8" max="16384" width="11.453125" style="11"/>
  </cols>
  <sheetData>
    <row r="2" spans="1:7" ht="15.5" x14ac:dyDescent="0.35">
      <c r="A2" s="128" t="s">
        <v>101</v>
      </c>
      <c r="B2" s="128"/>
      <c r="C2" s="133"/>
      <c r="D2" s="134"/>
    </row>
    <row r="3" spans="1:7" x14ac:dyDescent="0.35">
      <c r="A3" s="30"/>
      <c r="B3" s="30"/>
    </row>
    <row r="4" spans="1:7" ht="36.65" customHeight="1" thickBot="1" x14ac:dyDescent="0.4">
      <c r="A4" s="26" t="s">
        <v>61</v>
      </c>
      <c r="B4" s="28" t="s">
        <v>102</v>
      </c>
      <c r="C4" s="27" t="s">
        <v>103</v>
      </c>
    </row>
    <row r="5" spans="1:7" ht="36.5" thickBot="1" x14ac:dyDescent="0.4">
      <c r="A5" s="29" t="s">
        <v>39</v>
      </c>
      <c r="B5" s="78">
        <f>+ACITIVIDAD!F6</f>
        <v>1908685345.6048102</v>
      </c>
      <c r="C5" s="25">
        <f>+B5-F15</f>
        <v>2500345.6048102379</v>
      </c>
    </row>
    <row r="8" spans="1:7" ht="28.5" x14ac:dyDescent="0.65">
      <c r="A8" s="129" t="s">
        <v>104</v>
      </c>
      <c r="B8" s="129"/>
      <c r="C8" s="129"/>
      <c r="D8" s="129"/>
    </row>
    <row r="9" spans="1:7" s="31" customFormat="1" ht="28.5" customHeight="1" x14ac:dyDescent="0.3">
      <c r="A9" s="130" t="s">
        <v>105</v>
      </c>
      <c r="B9" s="130"/>
      <c r="C9" s="32"/>
      <c r="D9" s="32"/>
      <c r="E9" s="33"/>
      <c r="F9" s="34"/>
    </row>
    <row r="10" spans="1:7" s="37" customFormat="1" ht="12" customHeight="1" x14ac:dyDescent="0.3">
      <c r="A10" s="35" t="s">
        <v>106</v>
      </c>
      <c r="B10" s="35" t="s">
        <v>116</v>
      </c>
      <c r="C10" s="36" t="s">
        <v>55</v>
      </c>
      <c r="D10" s="36" t="s">
        <v>108</v>
      </c>
      <c r="E10" s="36" t="s">
        <v>118</v>
      </c>
      <c r="F10" s="36" t="s">
        <v>68</v>
      </c>
    </row>
    <row r="11" spans="1:7" x14ac:dyDescent="0.35">
      <c r="A11" s="38"/>
      <c r="B11" s="38" t="s">
        <v>123</v>
      </c>
      <c r="C11" s="38">
        <v>33000000</v>
      </c>
      <c r="D11" s="46">
        <v>56</v>
      </c>
      <c r="E11" s="46">
        <v>0</v>
      </c>
      <c r="F11" s="38">
        <f>+C11*D11</f>
        <v>1848000000</v>
      </c>
    </row>
    <row r="12" spans="1:7" x14ac:dyDescent="0.35">
      <c r="A12" s="39"/>
      <c r="B12" s="91" t="s">
        <v>124</v>
      </c>
      <c r="C12" s="39">
        <v>235000</v>
      </c>
      <c r="D12" s="47">
        <v>171</v>
      </c>
      <c r="E12" s="47"/>
      <c r="F12" s="38">
        <f>+C12*D12</f>
        <v>40185000</v>
      </c>
      <c r="G12" s="92"/>
    </row>
    <row r="13" spans="1:7" x14ac:dyDescent="0.35">
      <c r="A13" s="38"/>
      <c r="B13" s="91" t="s">
        <v>125</v>
      </c>
      <c r="C13" s="38">
        <v>1200000</v>
      </c>
      <c r="D13" s="46">
        <v>15</v>
      </c>
      <c r="E13" s="46"/>
      <c r="F13" s="38">
        <f>+C13*D13</f>
        <v>18000000</v>
      </c>
    </row>
    <row r="14" spans="1:7" x14ac:dyDescent="0.35">
      <c r="A14" s="39"/>
      <c r="B14" s="41"/>
      <c r="C14" s="41"/>
      <c r="D14" s="46"/>
      <c r="E14" s="46"/>
      <c r="F14" s="38">
        <f>+C14*D14</f>
        <v>0</v>
      </c>
    </row>
    <row r="15" spans="1:7" s="43" customFormat="1" x14ac:dyDescent="0.35">
      <c r="A15" s="131" t="s">
        <v>115</v>
      </c>
      <c r="B15" s="132"/>
      <c r="C15" s="44">
        <f>SUM(C11:C14)</f>
        <v>34435000</v>
      </c>
      <c r="D15" s="44"/>
      <c r="E15" s="44"/>
      <c r="F15" s="44">
        <f>SUM(F11:F14)</f>
        <v>1906185000</v>
      </c>
    </row>
    <row r="16" spans="1:7" x14ac:dyDescent="0.35">
      <c r="C16" s="43"/>
      <c r="D16" s="43"/>
      <c r="E16" s="43"/>
    </row>
    <row r="17" spans="3:5" x14ac:dyDescent="0.35">
      <c r="C17" s="43"/>
      <c r="D17" s="43"/>
      <c r="E17" s="45"/>
    </row>
    <row r="18" spans="3:5" x14ac:dyDescent="0.35">
      <c r="E18" s="45"/>
    </row>
    <row r="19" spans="3:5" x14ac:dyDescent="0.35">
      <c r="E19" s="45"/>
    </row>
    <row r="20" spans="3:5" x14ac:dyDescent="0.35">
      <c r="E20" s="45"/>
    </row>
  </sheetData>
  <mergeCells count="5">
    <mergeCell ref="A2:B2"/>
    <mergeCell ref="A8:D8"/>
    <mergeCell ref="A9:B9"/>
    <mergeCell ref="A15:B15"/>
    <mergeCell ref="C2:D2"/>
  </mergeCells>
  <conditionalFormatting sqref="C5">
    <cfRule type="cellIs" dxfId="5" priority="1" operator="equal">
      <formula>0</formula>
    </cfRule>
    <cfRule type="cellIs" dxfId="4" priority="2" operator="greaterThan">
      <formula>0</formula>
    </cfRule>
  </conditionalFormatting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E101-6D31-4CD8-98FB-A76E66DA7C2E}">
  <sheetPr>
    <tabColor theme="3"/>
  </sheetPr>
  <dimension ref="A2:G22"/>
  <sheetViews>
    <sheetView topLeftCell="C3" zoomScale="118" zoomScaleNormal="118" workbookViewId="0">
      <selection activeCell="D13" sqref="D13"/>
    </sheetView>
  </sheetViews>
  <sheetFormatPr baseColWidth="10" defaultColWidth="11.453125" defaultRowHeight="14.5" x14ac:dyDescent="0.35"/>
  <cols>
    <col min="1" max="1" width="24.7265625" style="11" bestFit="1" customWidth="1"/>
    <col min="2" max="2" width="65.54296875" style="11" customWidth="1"/>
    <col min="3" max="3" width="16.26953125" style="11" customWidth="1"/>
    <col min="4" max="4" width="15.7265625" style="11" customWidth="1"/>
    <col min="5" max="5" width="14.26953125" style="11" customWidth="1"/>
    <col min="6" max="6" width="21.54296875" style="11" bestFit="1" customWidth="1"/>
    <col min="7" max="16384" width="11.453125" style="11"/>
  </cols>
  <sheetData>
    <row r="2" spans="1:7" ht="15.5" x14ac:dyDescent="0.35">
      <c r="A2" s="128" t="s">
        <v>101</v>
      </c>
      <c r="B2" s="128"/>
      <c r="C2" s="133"/>
      <c r="D2" s="134"/>
    </row>
    <row r="3" spans="1:7" x14ac:dyDescent="0.35">
      <c r="A3" s="30"/>
      <c r="B3" s="30"/>
    </row>
    <row r="4" spans="1:7" ht="36.65" customHeight="1" thickBot="1" x14ac:dyDescent="0.4">
      <c r="A4" s="26" t="s">
        <v>61</v>
      </c>
      <c r="B4" s="28" t="s">
        <v>102</v>
      </c>
      <c r="C4" s="27" t="s">
        <v>103</v>
      </c>
    </row>
    <row r="5" spans="1:7" ht="24.5" thickBot="1" x14ac:dyDescent="0.4">
      <c r="A5" s="29" t="s">
        <v>40</v>
      </c>
      <c r="B5" s="78">
        <f>+ACITIVIDAD!F7</f>
        <v>295347829.10712731</v>
      </c>
      <c r="C5" s="25">
        <f>+B5-F17</f>
        <v>5347829.1071273088</v>
      </c>
    </row>
    <row r="8" spans="1:7" ht="28.5" x14ac:dyDescent="0.65">
      <c r="A8" s="129" t="s">
        <v>104</v>
      </c>
      <c r="B8" s="129"/>
      <c r="C8" s="129"/>
      <c r="D8" s="129"/>
    </row>
    <row r="9" spans="1:7" s="31" customFormat="1" ht="28.5" customHeight="1" x14ac:dyDescent="0.3">
      <c r="A9" s="130" t="s">
        <v>105</v>
      </c>
      <c r="B9" s="130"/>
      <c r="C9" s="32"/>
      <c r="D9" s="32"/>
      <c r="E9" s="33"/>
      <c r="F9" s="34"/>
      <c r="G9" s="31">
        <f>+F9/10</f>
        <v>0</v>
      </c>
    </row>
    <row r="10" spans="1:7" s="37" customFormat="1" ht="12" customHeight="1" x14ac:dyDescent="0.3">
      <c r="A10" s="35" t="s">
        <v>106</v>
      </c>
      <c r="B10" s="35" t="s">
        <v>116</v>
      </c>
      <c r="C10" s="36" t="s">
        <v>55</v>
      </c>
      <c r="D10" s="36" t="s">
        <v>108</v>
      </c>
      <c r="E10" s="36" t="s">
        <v>118</v>
      </c>
      <c r="F10" s="36" t="s">
        <v>68</v>
      </c>
    </row>
    <row r="11" spans="1:7" x14ac:dyDescent="0.35">
      <c r="A11" s="38"/>
      <c r="B11" s="38" t="s">
        <v>126</v>
      </c>
      <c r="C11" s="38">
        <v>5000000</v>
      </c>
      <c r="D11" s="46">
        <v>29</v>
      </c>
      <c r="E11" s="46"/>
      <c r="F11" s="38">
        <f t="shared" ref="F11:F16" si="0">+C11*D11</f>
        <v>145000000</v>
      </c>
    </row>
    <row r="12" spans="1:7" x14ac:dyDescent="0.35">
      <c r="A12" s="39"/>
      <c r="B12" s="39" t="s">
        <v>127</v>
      </c>
      <c r="C12" s="38">
        <v>5000000</v>
      </c>
      <c r="D12" s="46">
        <v>29</v>
      </c>
      <c r="E12" s="47"/>
      <c r="F12" s="38">
        <f t="shared" si="0"/>
        <v>145000000</v>
      </c>
    </row>
    <row r="13" spans="1:7" x14ac:dyDescent="0.35">
      <c r="A13" s="38"/>
      <c r="B13" s="40"/>
      <c r="C13" s="41"/>
      <c r="D13" s="46"/>
      <c r="E13" s="46"/>
      <c r="F13" s="38">
        <f t="shared" si="0"/>
        <v>0</v>
      </c>
    </row>
    <row r="14" spans="1:7" x14ac:dyDescent="0.35">
      <c r="A14" s="38"/>
      <c r="B14" s="38"/>
      <c r="C14" s="41"/>
      <c r="D14" s="46"/>
      <c r="E14" s="46"/>
      <c r="F14" s="38">
        <f t="shared" si="0"/>
        <v>0</v>
      </c>
    </row>
    <row r="15" spans="1:7" x14ac:dyDescent="0.35">
      <c r="A15" s="39"/>
      <c r="B15" s="39"/>
      <c r="C15" s="41"/>
      <c r="D15" s="46"/>
      <c r="E15" s="46"/>
      <c r="F15" s="38">
        <f t="shared" si="0"/>
        <v>0</v>
      </c>
    </row>
    <row r="16" spans="1:7" x14ac:dyDescent="0.35">
      <c r="A16" s="39"/>
      <c r="B16" s="39"/>
      <c r="C16" s="41"/>
      <c r="D16" s="46"/>
      <c r="E16" s="46"/>
      <c r="F16" s="38">
        <f t="shared" si="0"/>
        <v>0</v>
      </c>
    </row>
    <row r="17" spans="1:6" s="43" customFormat="1" x14ac:dyDescent="0.35">
      <c r="A17" s="131" t="s">
        <v>115</v>
      </c>
      <c r="B17" s="132"/>
      <c r="C17" s="44">
        <f>SUM(C11:C16)</f>
        <v>10000000</v>
      </c>
      <c r="D17" s="44"/>
      <c r="E17" s="44"/>
      <c r="F17" s="44">
        <f t="shared" ref="F17" si="1">SUM(F11:F16)</f>
        <v>290000000</v>
      </c>
    </row>
    <row r="18" spans="1:6" x14ac:dyDescent="0.35">
      <c r="C18" s="43"/>
      <c r="D18" s="43"/>
      <c r="E18" s="43"/>
    </row>
    <row r="19" spans="1:6" x14ac:dyDescent="0.35">
      <c r="C19" s="43"/>
      <c r="D19" s="43"/>
      <c r="E19" s="45"/>
    </row>
    <row r="20" spans="1:6" x14ac:dyDescent="0.35">
      <c r="E20" s="45"/>
    </row>
    <row r="21" spans="1:6" x14ac:dyDescent="0.35">
      <c r="E21" s="45"/>
    </row>
    <row r="22" spans="1:6" x14ac:dyDescent="0.35">
      <c r="E22" s="45"/>
    </row>
  </sheetData>
  <mergeCells count="5">
    <mergeCell ref="A2:B2"/>
    <mergeCell ref="A8:D8"/>
    <mergeCell ref="A9:B9"/>
    <mergeCell ref="A17:B17"/>
    <mergeCell ref="C2:D2"/>
  </mergeCells>
  <conditionalFormatting sqref="C5">
    <cfRule type="cellIs" dxfId="3" priority="1" operator="equal">
      <formula>0</formula>
    </cfRule>
    <cfRule type="cellIs" dxfId="2" priority="2" operator="greaterThan">
      <formula>0</formula>
    </cfRule>
  </conditionalFormatting>
  <pageMargins left="0.7" right="0.7" top="0.75" bottom="0.75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D0990-14FF-4229-AA6A-7618BFC999F5}">
  <sheetPr>
    <tabColor theme="3"/>
  </sheetPr>
  <dimension ref="A2:G25"/>
  <sheetViews>
    <sheetView topLeftCell="B4" zoomScale="118" zoomScaleNormal="118" workbookViewId="0">
      <selection activeCell="D12" sqref="D12"/>
    </sheetView>
  </sheetViews>
  <sheetFormatPr baseColWidth="10" defaultColWidth="11.453125" defaultRowHeight="14.5" x14ac:dyDescent="0.35"/>
  <cols>
    <col min="1" max="1" width="24.7265625" style="11" bestFit="1" customWidth="1"/>
    <col min="2" max="2" width="65.54296875" style="11" customWidth="1"/>
    <col min="3" max="3" width="16.26953125" style="11" customWidth="1"/>
    <col min="4" max="4" width="15.7265625" style="11" customWidth="1"/>
    <col min="5" max="5" width="19" style="11" bestFit="1" customWidth="1"/>
    <col min="6" max="6" width="21.54296875" style="11" bestFit="1" customWidth="1"/>
    <col min="7" max="7" width="19" style="11" bestFit="1" customWidth="1"/>
    <col min="8" max="16384" width="11.453125" style="11"/>
  </cols>
  <sheetData>
    <row r="2" spans="1:7" ht="15.5" x14ac:dyDescent="0.35">
      <c r="A2" s="128" t="s">
        <v>101</v>
      </c>
      <c r="B2" s="128"/>
      <c r="C2" s="133" t="s">
        <v>67</v>
      </c>
      <c r="D2" s="134"/>
    </row>
    <row r="3" spans="1:7" x14ac:dyDescent="0.35">
      <c r="A3" s="30"/>
      <c r="B3" s="30"/>
    </row>
    <row r="4" spans="1:7" ht="36.65" customHeight="1" thickBot="1" x14ac:dyDescent="0.4">
      <c r="A4" s="26" t="s">
        <v>61</v>
      </c>
      <c r="B4" s="28" t="s">
        <v>102</v>
      </c>
      <c r="C4" s="27" t="s">
        <v>103</v>
      </c>
    </row>
    <row r="5" spans="1:7" ht="15" thickBot="1" x14ac:dyDescent="0.4">
      <c r="A5" s="29" t="s">
        <v>128</v>
      </c>
      <c r="B5" s="78">
        <f>+ACITIVIDAD!F8</f>
        <v>1235292295.2405601</v>
      </c>
      <c r="C5" s="25">
        <f>+B5-F17</f>
        <v>11292295.240560055</v>
      </c>
    </row>
    <row r="8" spans="1:7" ht="28.5" x14ac:dyDescent="0.65">
      <c r="A8" s="129" t="s">
        <v>104</v>
      </c>
      <c r="B8" s="129"/>
      <c r="C8" s="129"/>
      <c r="D8" s="129"/>
    </row>
    <row r="9" spans="1:7" s="31" customFormat="1" ht="28.5" customHeight="1" x14ac:dyDescent="0.3">
      <c r="A9" s="130" t="s">
        <v>105</v>
      </c>
      <c r="B9" s="130"/>
      <c r="C9" s="32"/>
      <c r="D9" s="32"/>
      <c r="E9" s="33"/>
      <c r="F9" s="34"/>
      <c r="G9" s="31">
        <f>+F9/10</f>
        <v>0</v>
      </c>
    </row>
    <row r="10" spans="1:7" s="37" customFormat="1" ht="12" customHeight="1" x14ac:dyDescent="0.3">
      <c r="A10" s="35" t="s">
        <v>106</v>
      </c>
      <c r="B10" s="35" t="s">
        <v>116</v>
      </c>
      <c r="C10" s="36" t="s">
        <v>55</v>
      </c>
      <c r="D10" s="36" t="s">
        <v>108</v>
      </c>
      <c r="E10" s="36" t="s">
        <v>118</v>
      </c>
      <c r="F10" s="36" t="s">
        <v>68</v>
      </c>
    </row>
    <row r="11" spans="1:7" x14ac:dyDescent="0.35">
      <c r="A11" s="38"/>
      <c r="B11" s="88" t="s">
        <v>129</v>
      </c>
      <c r="C11" s="38">
        <f>1200000</f>
        <v>1200000</v>
      </c>
      <c r="D11" s="46">
        <v>67</v>
      </c>
      <c r="E11" s="46">
        <v>10</v>
      </c>
      <c r="F11" s="38">
        <f>+C11*D11*E11</f>
        <v>804000000</v>
      </c>
    </row>
    <row r="12" spans="1:7" x14ac:dyDescent="0.35">
      <c r="A12" s="39"/>
      <c r="B12" s="89" t="s">
        <v>130</v>
      </c>
      <c r="C12" s="39">
        <f>200000*70*10</f>
        <v>140000000</v>
      </c>
      <c r="D12" s="47">
        <v>3</v>
      </c>
      <c r="E12" s="47"/>
      <c r="F12" s="38">
        <f>+C12*D12</f>
        <v>420000000</v>
      </c>
    </row>
    <row r="13" spans="1:7" x14ac:dyDescent="0.35">
      <c r="A13" s="38"/>
      <c r="B13" s="40"/>
      <c r="C13" s="41"/>
      <c r="D13" s="46"/>
      <c r="E13" s="46"/>
      <c r="F13" s="38">
        <f>+C13*D13</f>
        <v>0</v>
      </c>
    </row>
    <row r="14" spans="1:7" x14ac:dyDescent="0.35">
      <c r="A14" s="38"/>
      <c r="B14" s="38"/>
      <c r="C14" s="41"/>
      <c r="D14" s="46"/>
      <c r="E14" s="46"/>
      <c r="F14" s="38">
        <f>+C14*D14</f>
        <v>0</v>
      </c>
    </row>
    <row r="15" spans="1:7" x14ac:dyDescent="0.35">
      <c r="A15" s="39"/>
      <c r="B15" s="39"/>
      <c r="C15" s="41"/>
      <c r="D15" s="46"/>
      <c r="E15" s="46"/>
      <c r="F15" s="38">
        <f>+C15*D15</f>
        <v>0</v>
      </c>
    </row>
    <row r="16" spans="1:7" x14ac:dyDescent="0.35">
      <c r="A16" s="39"/>
      <c r="B16" s="39"/>
      <c r="C16" s="41"/>
      <c r="D16" s="46"/>
      <c r="E16" s="46"/>
      <c r="F16" s="38">
        <f>+C16*D16</f>
        <v>0</v>
      </c>
    </row>
    <row r="17" spans="1:6" s="43" customFormat="1" x14ac:dyDescent="0.35">
      <c r="A17" s="131" t="s">
        <v>115</v>
      </c>
      <c r="B17" s="132"/>
      <c r="C17" s="44">
        <f>SUM(C11:C16)</f>
        <v>141200000</v>
      </c>
      <c r="D17" s="44"/>
      <c r="E17" s="44"/>
      <c r="F17" s="44">
        <f t="shared" ref="F17" si="0">SUM(F11:F16)</f>
        <v>1224000000</v>
      </c>
    </row>
    <row r="18" spans="1:6" x14ac:dyDescent="0.35">
      <c r="C18" s="43"/>
      <c r="D18" s="43"/>
      <c r="E18" s="43"/>
    </row>
    <row r="19" spans="1:6" x14ac:dyDescent="0.35">
      <c r="C19" s="43"/>
      <c r="D19" s="43"/>
      <c r="E19" s="45"/>
    </row>
    <row r="20" spans="1:6" x14ac:dyDescent="0.35">
      <c r="E20" s="45"/>
    </row>
    <row r="21" spans="1:6" x14ac:dyDescent="0.35">
      <c r="E21" s="45"/>
    </row>
    <row r="22" spans="1:6" x14ac:dyDescent="0.35">
      <c r="E22" s="45"/>
    </row>
    <row r="23" spans="1:6" x14ac:dyDescent="0.35">
      <c r="B23" s="11">
        <v>200000</v>
      </c>
      <c r="C23" s="11">
        <v>1200000</v>
      </c>
    </row>
    <row r="24" spans="1:6" x14ac:dyDescent="0.35">
      <c r="B24" s="11">
        <v>700</v>
      </c>
      <c r="C24" s="11">
        <v>70</v>
      </c>
    </row>
    <row r="25" spans="1:6" x14ac:dyDescent="0.35">
      <c r="B25" s="11">
        <f>B23*B24</f>
        <v>140000000</v>
      </c>
      <c r="C25" s="11">
        <f>C23*C24</f>
        <v>84000000</v>
      </c>
      <c r="D25" s="11">
        <v>10</v>
      </c>
      <c r="E25" s="11">
        <f>C25*D25</f>
        <v>840000000</v>
      </c>
    </row>
  </sheetData>
  <mergeCells count="5">
    <mergeCell ref="A2:B2"/>
    <mergeCell ref="A8:D8"/>
    <mergeCell ref="A9:B9"/>
    <mergeCell ref="A17:B17"/>
    <mergeCell ref="C2:D2"/>
  </mergeCells>
  <conditionalFormatting sqref="C5">
    <cfRule type="cellIs" dxfId="1" priority="3" operator="equal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7383720-83a2-43e8-8623-ab5806e11576">
      <Terms xmlns="http://schemas.microsoft.com/office/infopath/2007/PartnerControls"/>
    </lcf76f155ced4ddcb4097134ff3c332f>
    <TaxCatchAll xmlns="3bbd4ef0-2312-4aa6-8cb8-ac9a1fabe0d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27F9E1D1CD9324E92A49A2CA51A8F7D" ma:contentTypeVersion="12" ma:contentTypeDescription="Crear nuevo documento." ma:contentTypeScope="" ma:versionID="a6491b6acc2f714e61ff656b3250da7e">
  <xsd:schema xmlns:xsd="http://www.w3.org/2001/XMLSchema" xmlns:xs="http://www.w3.org/2001/XMLSchema" xmlns:p="http://schemas.microsoft.com/office/2006/metadata/properties" xmlns:ns2="37383720-83a2-43e8-8623-ab5806e11576" xmlns:ns3="3bbd4ef0-2312-4aa6-8cb8-ac9a1fabe0d6" targetNamespace="http://schemas.microsoft.com/office/2006/metadata/properties" ma:root="true" ma:fieldsID="07159a382052e0fa6d11faa8192ac3d5" ns2:_="" ns3:_="">
    <xsd:import namespace="37383720-83a2-43e8-8623-ab5806e11576"/>
    <xsd:import namespace="3bbd4ef0-2312-4aa6-8cb8-ac9a1fabe0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383720-83a2-43e8-8623-ab5806e115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b153745-5d5f-4857-8630-a95a3280e7d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bd4ef0-2312-4aa6-8cb8-ac9a1fabe0d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f541441a-5412-46f6-af5c-a0aee565886c}" ma:internalName="TaxCatchAll" ma:showField="CatchAllData" ma:web="3bbd4ef0-2312-4aa6-8cb8-ac9a1fabe0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05C255-2A66-4026-AB66-E6416550F9FC}">
  <ds:schemaRefs>
    <ds:schemaRef ds:uri="http://purl.org/dc/dcmitype/"/>
    <ds:schemaRef ds:uri="37383720-83a2-43e8-8623-ab5806e11576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3bbd4ef0-2312-4aa6-8cb8-ac9a1fabe0d6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AB58367-D5B4-4622-85EE-E1DB0045DE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0ADDCD-6E09-4D45-9D26-0851A639A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383720-83a2-43e8-8623-ab5806e11576"/>
    <ds:schemaRef ds:uri="3bbd4ef0-2312-4aa6-8cb8-ac9a1fabe0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RESUMEN</vt:lpstr>
      <vt:lpstr>CONVENIO NUEVO GASTOS OPERATIVO</vt:lpstr>
      <vt:lpstr>RESUMEN PROYECCION </vt:lpstr>
      <vt:lpstr>INFORMACIÓN</vt:lpstr>
      <vt:lpstr>ACITIVIDAD</vt:lpstr>
      <vt:lpstr>COSTOS NOMINA  OPERATIV PNUD </vt:lpstr>
      <vt:lpstr>DESAGRECACIÓN DE GASTOS PNUD</vt:lpstr>
      <vt:lpstr> COSTOS MENSUALES ITEM (1)</vt:lpstr>
      <vt:lpstr> COSTOS MENSUALES ITEM (2)</vt:lpstr>
      <vt:lpstr> COSTOS MENSUALES ITEM (3)</vt:lpstr>
      <vt:lpstr> COSTOS MENSUALES ITEM (4)</vt:lpstr>
      <vt:lpstr> COSTOS MENSUALES ITEM (5)</vt:lpstr>
      <vt:lpstr> COSTOS MENSUALES ITEM (6)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Forero Velasco</dc:creator>
  <cp:keywords/>
  <dc:description/>
  <cp:lastModifiedBy>Gustavo Adolfo Forero Velasco</cp:lastModifiedBy>
  <cp:revision/>
  <dcterms:created xsi:type="dcterms:W3CDTF">2021-03-02T18:04:01Z</dcterms:created>
  <dcterms:modified xsi:type="dcterms:W3CDTF">2023-05-08T21:42:59Z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0x010100527F9E1D1CD9324E92A49A2CA51A8F7D</vt:lpwstr>
  </property>
  <property fmtid="{D5CDD505-2E9C-101B-9397-08002B2CF9AE}" pid="3" name="MediaServiceImageTags">
    <vt:lpwstr/>
  </property>
</Properties>
</file>