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10- LPAEZ 23000085 H3 AÑO 2023\Proyecto ICA año 2023\Proyecto Final para radicacion en admon 23-05-2023\"/>
    </mc:Choice>
  </mc:AlternateContent>
  <xr:revisionPtr revIDLastSave="0" documentId="13_ncr:1_{36AC0F44-92F7-438C-94D3-A0BD1086644C}" xr6:coauthVersionLast="47" xr6:coauthVersionMax="47" xr10:uidLastSave="{00000000-0000-0000-0000-000000000000}"/>
  <bookViews>
    <workbookView xWindow="-60" yWindow="-11640" windowWidth="20730" windowHeight="11160" tabRatio="773" xr2:uid="{00000000-000D-0000-FFFF-FFFF00000000}"/>
  </bookViews>
  <sheets>
    <sheet name="Analisis de historicos  x IPC" sheetId="28" r:id="rId1"/>
    <sheet name="DvSTAND Valores atipicos" sheetId="32" r:id="rId2"/>
    <sheet name="Resultado Cotizacion 2023" sheetId="33" r:id="rId3"/>
    <sheet name="Comparacion Historico vs Co (2)" sheetId="29" r:id="rId4"/>
    <sheet name="Rubro presupuestal" sheetId="1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29" l="1"/>
  <c r="T27" i="29" s="1"/>
  <c r="T24" i="29"/>
  <c r="R26" i="29"/>
  <c r="R27" i="29" s="1"/>
  <c r="R28" i="29" s="1"/>
  <c r="R24" i="29"/>
  <c r="P26" i="29"/>
  <c r="P27" i="29" s="1"/>
  <c r="P24" i="29"/>
  <c r="N24" i="29"/>
  <c r="N26" i="29"/>
  <c r="N27" i="29" s="1"/>
  <c r="K28" i="29"/>
  <c r="L26" i="29"/>
  <c r="L27" i="29" s="1"/>
  <c r="K26" i="29"/>
  <c r="K27" i="29"/>
  <c r="L24" i="29"/>
  <c r="K24" i="29"/>
  <c r="H20" i="29"/>
  <c r="F25" i="28"/>
  <c r="F24" i="28"/>
  <c r="F20" i="28"/>
  <c r="E20" i="28"/>
  <c r="E30" i="19"/>
  <c r="F30" i="19"/>
  <c r="T28" i="29" l="1"/>
  <c r="T29" i="29" s="1"/>
  <c r="R29" i="29"/>
  <c r="P28" i="29"/>
  <c r="P29" i="29" s="1"/>
  <c r="N28" i="29"/>
  <c r="N29" i="29"/>
  <c r="L28" i="29"/>
  <c r="L29" i="29" s="1"/>
  <c r="K29" i="29"/>
  <c r="G18" i="29"/>
  <c r="G20" i="29"/>
  <c r="F20" i="29"/>
  <c r="D22" i="29"/>
  <c r="D20" i="29"/>
  <c r="H16" i="29"/>
  <c r="G9" i="33"/>
  <c r="H9" i="33"/>
  <c r="F32" i="32"/>
  <c r="F33" i="32"/>
  <c r="F18" i="32"/>
  <c r="F17" i="32"/>
  <c r="G27" i="19"/>
  <c r="G28" i="19"/>
  <c r="G29" i="19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" i="19"/>
  <c r="G30" i="19" l="1"/>
  <c r="A3" i="19"/>
  <c r="D16" i="29"/>
  <c r="E16" i="29"/>
  <c r="D38" i="32"/>
  <c r="D33" i="32" l="1"/>
  <c r="D32" i="32"/>
  <c r="D14" i="32"/>
  <c r="D13" i="32"/>
  <c r="H14" i="32"/>
  <c r="F14" i="32"/>
  <c r="E14" i="32"/>
  <c r="H13" i="32"/>
  <c r="F13" i="32"/>
  <c r="E13" i="32"/>
  <c r="H38" i="32"/>
  <c r="G38" i="32"/>
  <c r="F38" i="32"/>
  <c r="G11" i="33" s="1"/>
  <c r="H11" i="33" s="1"/>
  <c r="E38" i="32"/>
  <c r="G10" i="33" s="1"/>
  <c r="H10" i="33" s="1"/>
  <c r="H33" i="32"/>
  <c r="G33" i="32"/>
  <c r="E33" i="32"/>
  <c r="H32" i="32"/>
  <c r="G32" i="32"/>
  <c r="G36" i="32" s="1"/>
  <c r="F36" i="32"/>
  <c r="E32" i="32"/>
  <c r="E36" i="32" s="1"/>
  <c r="B24" i="32"/>
  <c r="B25" i="32" s="1"/>
  <c r="B26" i="32" s="1"/>
  <c r="B27" i="32" s="1"/>
  <c r="B28" i="32" s="1"/>
  <c r="B29" i="32" s="1"/>
  <c r="B5" i="32"/>
  <c r="B6" i="32" s="1"/>
  <c r="B7" i="32" s="1"/>
  <c r="B8" i="32" s="1"/>
  <c r="B9" i="32" s="1"/>
  <c r="B10" i="32" s="1"/>
  <c r="H13" i="28"/>
  <c r="G8" i="28"/>
  <c r="G9" i="28"/>
  <c r="G13" i="28"/>
  <c r="H9" i="28"/>
  <c r="N46" i="28"/>
  <c r="G11" i="28" s="1"/>
  <c r="H11" i="28" s="1"/>
  <c r="H10" i="28"/>
  <c r="O37" i="28"/>
  <c r="O29" i="28"/>
  <c r="N37" i="28"/>
  <c r="G10" i="28" s="1"/>
  <c r="N29" i="28"/>
  <c r="M46" i="28"/>
  <c r="M45" i="28"/>
  <c r="M44" i="28"/>
  <c r="M43" i="28"/>
  <c r="M42" i="28"/>
  <c r="M41" i="28"/>
  <c r="M37" i="28"/>
  <c r="M36" i="28"/>
  <c r="M35" i="28"/>
  <c r="M34" i="28"/>
  <c r="M33" i="28"/>
  <c r="M32" i="28"/>
  <c r="M29" i="28"/>
  <c r="M28" i="28"/>
  <c r="M27" i="28"/>
  <c r="M26" i="28"/>
  <c r="M25" i="28"/>
  <c r="M24" i="28"/>
  <c r="M21" i="28"/>
  <c r="M20" i="28"/>
  <c r="M19" i="28"/>
  <c r="M18" i="28"/>
  <c r="N21" i="28" s="1"/>
  <c r="M17" i="28"/>
  <c r="M16" i="28"/>
  <c r="M7" i="28"/>
  <c r="M8" i="28"/>
  <c r="N11" i="28" s="1"/>
  <c r="G7" i="28" s="1"/>
  <c r="M9" i="28"/>
  <c r="M10" i="28"/>
  <c r="M11" i="28"/>
  <c r="M6" i="28"/>
  <c r="M66" i="28"/>
  <c r="M64" i="28"/>
  <c r="M63" i="28"/>
  <c r="M65" i="28"/>
  <c r="H36" i="32" l="1"/>
  <c r="H17" i="32"/>
  <c r="D17" i="32"/>
  <c r="H35" i="32"/>
  <c r="E17" i="32"/>
  <c r="H18" i="32"/>
  <c r="E18" i="32"/>
  <c r="G35" i="32"/>
  <c r="F35" i="32"/>
  <c r="E35" i="32"/>
  <c r="H12" i="33"/>
  <c r="H14" i="33" s="1"/>
  <c r="G18" i="32"/>
  <c r="G17" i="32"/>
  <c r="D18" i="32"/>
  <c r="D35" i="32"/>
  <c r="D36" i="32"/>
  <c r="G15" i="28"/>
  <c r="O21" i="28"/>
  <c r="H8" i="28"/>
  <c r="H7" i="28"/>
  <c r="O46" i="28"/>
  <c r="O11" i="28"/>
  <c r="M67" i="28"/>
  <c r="H16" i="33" l="1"/>
  <c r="H17" i="33" s="1"/>
  <c r="H15" i="33"/>
  <c r="G16" i="29"/>
  <c r="H18" i="33" l="1"/>
  <c r="H5" i="33" s="1"/>
  <c r="F16" i="29" l="1"/>
  <c r="A4" i="19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D21" i="29"/>
</calcChain>
</file>

<file path=xl/sharedStrings.xml><?xml version="1.0" encoding="utf-8"?>
<sst xmlns="http://schemas.openxmlformats.org/spreadsheetml/2006/main" count="196" uniqueCount="138">
  <si>
    <t>EMPRESA COTIZANTE</t>
  </si>
  <si>
    <t>Desviación Estándar</t>
  </si>
  <si>
    <t>No.</t>
  </si>
  <si>
    <t xml:space="preserve"> OBJETO: “REALIZAR LOS INFORMES DE CUMPLIMIENTO AMBIENTAL - ICAs DE CONFORMIDAD CON LOS INSTRUMENTOS AMBIENTALES VIGENTES DE LOS AEROPUERTOS A CARGO DE LA AEROCIVIL"</t>
  </si>
  <si>
    <t>AEROPUERTOS</t>
  </si>
  <si>
    <t>IVA</t>
  </si>
  <si>
    <t>RUBRO PRESUPUESTAL</t>
  </si>
  <si>
    <t>REGIONAL O TRONCAL</t>
  </si>
  <si>
    <t>VALOR TOTAL</t>
  </si>
  <si>
    <t>C-2403-0600-25-0-2403086-02</t>
  </si>
  <si>
    <t>Ciudad Región</t>
  </si>
  <si>
    <t>Guaymaral</t>
  </si>
  <si>
    <t>C-2403-0600-28-0-2403086-02</t>
  </si>
  <si>
    <t>Riohacha</t>
  </si>
  <si>
    <t>Troncal</t>
  </si>
  <si>
    <t>C-2403-0600-35-0-2403086-02</t>
  </si>
  <si>
    <t>Cúcuta</t>
  </si>
  <si>
    <t>C-2403-0600-36-0-2403086-02</t>
  </si>
  <si>
    <t>Bucaramanga</t>
  </si>
  <si>
    <t>C-2403-0600-40-0-2403086-02</t>
  </si>
  <si>
    <t>Barrancabermeja</t>
  </si>
  <si>
    <t>C-2403-0600-41-0-2403086-02</t>
  </si>
  <si>
    <t>Valledupar</t>
  </si>
  <si>
    <t>C-2403-0600-31-0-2403086-02</t>
  </si>
  <si>
    <t>Pasto</t>
  </si>
  <si>
    <t>C-2403-0600-34-0-2403086-02</t>
  </si>
  <si>
    <t>Ipiales</t>
  </si>
  <si>
    <t>C-2403-0600-39-0-2403086-02</t>
  </si>
  <si>
    <t>Popayán</t>
  </si>
  <si>
    <t>C-2403-0600-29-0-2403086-02</t>
  </si>
  <si>
    <t>Cartagena</t>
  </si>
  <si>
    <t>C-2403-0600-30-0-2403086-02</t>
  </si>
  <si>
    <t>Santa Marta</t>
  </si>
  <si>
    <t>C-2403-0600-44-0-2403086-02</t>
  </si>
  <si>
    <t>Armenia</t>
  </si>
  <si>
    <t>C-2403-0600-33-0-2403086-02</t>
  </si>
  <si>
    <t>San Andres</t>
  </si>
  <si>
    <t>Providencia</t>
  </si>
  <si>
    <t>C-2403-0600-37-0-2403086-02</t>
  </si>
  <si>
    <t>Leticia</t>
  </si>
  <si>
    <t>C-2403-0600-45-0-2403086-02</t>
  </si>
  <si>
    <t>Yopal</t>
  </si>
  <si>
    <t>C-2403-0600-48-0-2403086-02</t>
  </si>
  <si>
    <t>Tolú</t>
  </si>
  <si>
    <t>Regional Atlántico</t>
  </si>
  <si>
    <t>C-2403-0600-46-0-2403086-02</t>
  </si>
  <si>
    <t>Ibagué</t>
  </si>
  <si>
    <t>Regional Cundinamarca</t>
  </si>
  <si>
    <t>Neiva</t>
  </si>
  <si>
    <t>Florencia</t>
  </si>
  <si>
    <t>Puerto Asís</t>
  </si>
  <si>
    <t>C-2403-0600-47-0-2403086-02</t>
  </si>
  <si>
    <t>Arauca</t>
  </si>
  <si>
    <t>C-2403-0600-43-0-2403086-02</t>
  </si>
  <si>
    <t>Mitú</t>
  </si>
  <si>
    <t>Regional Meta:</t>
  </si>
  <si>
    <t>Villavicencio</t>
  </si>
  <si>
    <t>C-2403-0600-42-0-2403086-02</t>
  </si>
  <si>
    <t>Guapi</t>
  </si>
  <si>
    <t>Regional Valle:</t>
  </si>
  <si>
    <t>Tumaco</t>
  </si>
  <si>
    <t>subtotal</t>
  </si>
  <si>
    <t>FORMATO</t>
  </si>
  <si>
    <t>valor por aeropuerto sin iva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</si>
  <si>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</si>
  <si>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</si>
  <si>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</si>
  <si>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</si>
  <si>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t>ITEM</t>
  </si>
  <si>
    <t>DESCRPCION</t>
  </si>
  <si>
    <t>1.0</t>
  </si>
  <si>
    <t>1.1.</t>
  </si>
  <si>
    <t>1.2</t>
  </si>
  <si>
    <t>1.3.</t>
  </si>
  <si>
    <t>Valor Cotizado INCLUYE IVA</t>
  </si>
  <si>
    <t>Ocaña</t>
  </si>
  <si>
    <t>Puerto Carreño</t>
  </si>
  <si>
    <t>CONSGA</t>
  </si>
  <si>
    <t>MCS</t>
  </si>
  <si>
    <t>Promedio</t>
  </si>
  <si>
    <t>Limite inferior</t>
  </si>
  <si>
    <t>Limite superior</t>
  </si>
  <si>
    <t>EVALUACION DE LAS COTIZACIONES: METODO DESVIACIÓN ESTANDAR</t>
  </si>
  <si>
    <t>Promedio Final</t>
  </si>
  <si>
    <t>Limite Inferior</t>
  </si>
  <si>
    <t>ANALISIS DEL PRESUPUESTO POR HISTORICOS DE CONTRATOS DE LA ENTIDAD</t>
  </si>
  <si>
    <t>AÑO</t>
  </si>
  <si>
    <t>Valor de contrato incluido IVA</t>
  </si>
  <si>
    <t>Valor x aeropuerto  sin IVA</t>
  </si>
  <si>
    <t>PROMEDIO</t>
  </si>
  <si>
    <t>Total</t>
  </si>
  <si>
    <t>COTIZACIONES Mod DESVEST</t>
  </si>
  <si>
    <t>No. Contrato</t>
  </si>
  <si>
    <t>18000707 H3</t>
  </si>
  <si>
    <t>19000619 H3</t>
  </si>
  <si>
    <t>20000637 H3</t>
  </si>
  <si>
    <t xml:space="preserve">PRESPUESTO ESTIMADO X HISTORICOS </t>
  </si>
  <si>
    <t>SMMLV</t>
  </si>
  <si>
    <t>21000594 H3</t>
  </si>
  <si>
    <t>INCOPLAN</t>
  </si>
  <si>
    <t>RESULTADO FINAL UNA VEZ DESCARTADO AQUELLOS VALORES QUE ESTAN POR ENCIMA Y POR DEBAJO DE LOS LIMITES</t>
  </si>
  <si>
    <t>MEDIANA</t>
  </si>
  <si>
    <t>No de aeropuertos</t>
  </si>
  <si>
    <t>IPC</t>
  </si>
  <si>
    <t>2023 (febrero)</t>
  </si>
  <si>
    <t>22000983 H3</t>
  </si>
  <si>
    <t>Valor presente  febrero 2023 CON IVA, EXP LETICIA, SAN AN  PROV</t>
  </si>
  <si>
    <t>Valor presente x aeropuerto febrero 2023 SIN IVA</t>
  </si>
  <si>
    <t>Historicos a valor presente febrero 2023</t>
  </si>
  <si>
    <t>GEOSIGMA</t>
  </si>
  <si>
    <t>TER-SAS</t>
  </si>
  <si>
    <t>ACI</t>
  </si>
  <si>
    <t>SIMA</t>
  </si>
  <si>
    <t>ENTREGABLE 1</t>
  </si>
  <si>
    <t>ENTREGABLE 2</t>
  </si>
  <si>
    <t>ENTREGABLE 3</t>
  </si>
  <si>
    <t>Condiciones Originales</t>
  </si>
  <si>
    <t>Unidad</t>
  </si>
  <si>
    <t>Cantidad</t>
  </si>
  <si>
    <t>Valor Unitario</t>
  </si>
  <si>
    <t>Valor total</t>
  </si>
  <si>
    <t xml:space="preserve">COSTOS </t>
  </si>
  <si>
    <t>ENTREGABLE 1: Informe General; Informe por aeropuerto de la primera visita, incluye icas del primer semestre</t>
  </si>
  <si>
    <t>Global</t>
  </si>
  <si>
    <t>ENTREGABLE 2: Informe General; Informe por aeropuerto de la segunda  visita</t>
  </si>
  <si>
    <t>ENTREGABLE 3: Informe final entrega ICA por cada aeropuerto</t>
  </si>
  <si>
    <t>SUB-TOTAL Entregables (A)</t>
  </si>
  <si>
    <t>VALOR POR AEROPUERTO (A) /numero total de aeropuertos son 28)  B</t>
  </si>
  <si>
    <t>VALOR  DE AEROPUERTOS EXENTOS DE IVA (3) (Leticia, San Andres y Providencia)  C</t>
  </si>
  <si>
    <t>VALOR  DE LOS 25 AEROPUERTOS    D</t>
  </si>
  <si>
    <t>IVA DE LOS 25 AEROPUERTOS (SE EXCLUYEN AEROPUERTOS EXENTOS DE IVA (Leticia, San Andres y Providencia)  E</t>
  </si>
  <si>
    <t>COSTO TOTAL (SUMATORIA C+ D + E)</t>
  </si>
  <si>
    <t>Valor Presente año 2023 proyecto  con 28 aeropuertos beneficiados, tomando el valor por aeropuerto del historico ultimos 5 años (Incluye IVA 19%)</t>
  </si>
  <si>
    <t>COMPARACION COTIZACIONES RECIBIDAS AÑO 2023 VS HISTORICO</t>
  </si>
  <si>
    <t>Valor proyecto presupuesto año 2023 (promedio entre Historico y MDST)</t>
  </si>
  <si>
    <t>Valor presupuesto por cotizaciones 28 aeropuertos METODO DESVIACION ESTANDAR (MDST)</t>
  </si>
  <si>
    <t>HISTORICO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</si>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</sst>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_-[$$-240A]\ * #,##0_-;\-[$$-240A]\ * #,##0_-;_-[$$-240A]\ * &quot;-&quot;??_-;_-@_-"/>
    <numFmt numFmtId="169" formatCode="_-[$$-240A]\ * #,##0.00_-;\-[$$-240A]\ * #,##0.00_-;_-[$$-240A]\ * &quot;-&quot;??_-;_-@_-"/>
    <numFmt numFmtId="170" formatCode="_(&quot;$&quot;\ * #,##0_);_(&quot;$&quot;\ * \(#,##0\);_(&quot;$&quot;\ * &quot;-&quot;_);_(@_)"/>
    <numFmt numFmtId="171" formatCode="_-&quot;$&quot;* #,##0_-;\-&quot;$&quot;* #,##0_-;_-&quot;$&quot;* &quot;-&quot;_-;_-@_-"/>
    <numFmt numFmtId="172" formatCode="_-&quot;$&quot;* #,##0.00_-;\-&quot;$&quot;* #,##0.00_-;_-&quot;$&quot;* &quot;-&quot;_-;_-@_-"/>
    <numFmt numFmtId="173" formatCode="0.0%"/>
    <numFmt numFmtId="174" formatCode="_-&quot;$&quot;\ * #,##0_-;\-&quot;$&quot;\ * #,##0_-;_-&quot;$&quot;\ * &quot;-&quot;??_-;_-@_-"/>
    <numFmt numFmtId="175" formatCode="&quot;$&quot;\ #,##0"/>
    <numFmt numFmtId="176" formatCode="0.0000%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sz val="10"/>
      <name val="Segoe UI"/>
      <family val="2"/>
      <charset val="204"/>
    </font>
    <font>
      <b/>
      <sz val="9"/>
      <color theme="1"/>
      <name val="Arial Narrow"/>
      <family val="2"/>
    </font>
    <font>
      <b/>
      <sz val="10"/>
      <color rgb="FF00000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7" fillId="0" borderId="0"/>
    <xf numFmtId="0" fontId="8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/>
    <xf numFmtId="0" fontId="7" fillId="0" borderId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1">
    <xf numFmtId="0" fontId="0" fillId="0" borderId="0" xfId="0"/>
    <xf numFmtId="166" fontId="0" fillId="0" borderId="1" xfId="1" applyNumberFormat="1" applyFont="1" applyFill="1" applyBorder="1" applyAlignment="1">
      <alignment horizontal="left" vertical="center" indent="4"/>
    </xf>
    <xf numFmtId="0" fontId="2" fillId="2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6" fontId="0" fillId="0" borderId="9" xfId="1" applyNumberFormat="1" applyFont="1" applyFill="1" applyBorder="1" applyAlignment="1">
      <alignment horizontal="left" vertical="center" indent="4"/>
    </xf>
    <xf numFmtId="166" fontId="0" fillId="0" borderId="10" xfId="1" applyNumberFormat="1" applyFont="1" applyFill="1" applyBorder="1" applyAlignment="1">
      <alignment horizontal="left" vertical="center" indent="4"/>
    </xf>
    <xf numFmtId="0" fontId="4" fillId="0" borderId="1" xfId="0" applyFont="1" applyFill="1" applyBorder="1" applyAlignment="1">
      <alignment horizontal="center" vertical="center" wrapText="1"/>
    </xf>
    <xf numFmtId="166" fontId="0" fillId="0" borderId="8" xfId="1" applyNumberFormat="1" applyFont="1" applyFill="1" applyBorder="1" applyAlignment="1">
      <alignment horizontal="left" vertical="center" indent="4"/>
    </xf>
    <xf numFmtId="0" fontId="2" fillId="2" borderId="2" xfId="0" applyFont="1" applyFill="1" applyBorder="1" applyAlignment="1">
      <alignment horizontal="center" vertical="center" wrapText="1"/>
    </xf>
    <xf numFmtId="166" fontId="6" fillId="2" borderId="2" xfId="1" applyNumberFormat="1" applyFont="1" applyFill="1" applyBorder="1" applyAlignment="1">
      <alignment horizontal="left" vertical="center" indent="4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68" fontId="0" fillId="0" borderId="0" xfId="0" applyNumberFormat="1"/>
    <xf numFmtId="168" fontId="0" fillId="0" borderId="0" xfId="0" applyNumberForma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4" applyFont="1" applyBorder="1" applyAlignment="1">
      <alignment horizontal="center" vertical="center"/>
    </xf>
    <xf numFmtId="167" fontId="8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168" fontId="0" fillId="0" borderId="11" xfId="0" applyNumberFormat="1" applyBorder="1" applyAlignment="1">
      <alignment vertical="center" wrapText="1"/>
    </xf>
    <xf numFmtId="0" fontId="0" fillId="0" borderId="6" xfId="0" applyBorder="1"/>
    <xf numFmtId="0" fontId="0" fillId="0" borderId="5" xfId="0" applyBorder="1"/>
    <xf numFmtId="0" fontId="0" fillId="0" borderId="9" xfId="0" applyBorder="1"/>
    <xf numFmtId="169" fontId="0" fillId="0" borderId="0" xfId="0" applyNumberFormat="1"/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167" fontId="14" fillId="0" borderId="1" xfId="0" applyNumberFormat="1" applyFont="1" applyBorder="1" applyAlignment="1">
      <alignment horizontal="center" vertical="center"/>
    </xf>
    <xf numFmtId="9" fontId="0" fillId="0" borderId="0" xfId="6" applyNumberFormat="1" applyFont="1"/>
    <xf numFmtId="166" fontId="9" fillId="0" borderId="1" xfId="1" applyNumberFormat="1" applyFont="1" applyFill="1" applyBorder="1" applyAlignment="1">
      <alignment horizontal="left" vertical="center" indent="4"/>
    </xf>
    <xf numFmtId="0" fontId="11" fillId="0" borderId="0" xfId="4" applyFont="1"/>
    <xf numFmtId="0" fontId="11" fillId="0" borderId="16" xfId="4" applyFont="1" applyBorder="1"/>
    <xf numFmtId="2" fontId="8" fillId="0" borderId="1" xfId="4" applyNumberFormat="1" applyFont="1" applyBorder="1" applyAlignment="1">
      <alignment horizontal="right" vertical="center"/>
    </xf>
    <xf numFmtId="0" fontId="8" fillId="2" borderId="1" xfId="4" applyFont="1" applyFill="1" applyBorder="1" applyAlignment="1">
      <alignment horizontal="center"/>
    </xf>
    <xf numFmtId="0" fontId="8" fillId="2" borderId="1" xfId="4" applyFont="1" applyFill="1" applyBorder="1"/>
    <xf numFmtId="0" fontId="16" fillId="0" borderId="1" xfId="0" applyFont="1" applyBorder="1" applyAlignment="1">
      <alignment horizontal="center" vertical="center"/>
    </xf>
    <xf numFmtId="167" fontId="8" fillId="0" borderId="1" xfId="1" applyNumberFormat="1" applyFont="1" applyFill="1" applyBorder="1" applyAlignment="1">
      <alignment vertical="center"/>
    </xf>
    <xf numFmtId="0" fontId="11" fillId="3" borderId="1" xfId="4" applyFont="1" applyFill="1" applyBorder="1" applyAlignment="1">
      <alignment vertical="center"/>
    </xf>
    <xf numFmtId="167" fontId="18" fillId="3" borderId="1" xfId="1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66" fontId="9" fillId="0" borderId="9" xfId="1" applyNumberFormat="1" applyFont="1" applyFill="1" applyBorder="1" applyAlignment="1">
      <alignment horizontal="left" vertical="center" indent="4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2" fillId="2" borderId="2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66" fontId="9" fillId="0" borderId="8" xfId="1" applyNumberFormat="1" applyFont="1" applyFill="1" applyBorder="1" applyAlignment="1">
      <alignment horizontal="left" vertical="center" indent="4"/>
    </xf>
    <xf numFmtId="0" fontId="0" fillId="0" borderId="22" xfId="0" applyBorder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166" fontId="9" fillId="0" borderId="23" xfId="1" applyNumberFormat="1" applyFont="1" applyFill="1" applyBorder="1" applyAlignment="1">
      <alignment horizontal="left" vertical="center" indent="4"/>
    </xf>
    <xf numFmtId="166" fontId="0" fillId="0" borderId="23" xfId="1" applyNumberFormat="1" applyFont="1" applyFill="1" applyBorder="1" applyAlignment="1">
      <alignment horizontal="left" vertical="center" indent="4"/>
    </xf>
    <xf numFmtId="166" fontId="9" fillId="0" borderId="24" xfId="1" applyNumberFormat="1" applyFont="1" applyFill="1" applyBorder="1" applyAlignment="1">
      <alignment horizontal="left" vertical="center" indent="4"/>
    </xf>
    <xf numFmtId="0" fontId="0" fillId="0" borderId="25" xfId="0" applyBorder="1" applyAlignment="1">
      <alignment horizontal="center"/>
    </xf>
    <xf numFmtId="166" fontId="0" fillId="0" borderId="21" xfId="0" applyNumberFormat="1" applyBorder="1"/>
    <xf numFmtId="0" fontId="2" fillId="2" borderId="22" xfId="0" applyFont="1" applyFill="1" applyBorder="1" applyAlignment="1">
      <alignment horizontal="center" vertical="center" wrapText="1"/>
    </xf>
    <xf numFmtId="166" fontId="0" fillId="0" borderId="23" xfId="0" applyNumberFormat="1" applyBorder="1"/>
    <xf numFmtId="166" fontId="0" fillId="6" borderId="21" xfId="0" applyNumberFormat="1" applyFill="1" applyBorder="1"/>
    <xf numFmtId="166" fontId="0" fillId="7" borderId="23" xfId="0" applyNumberFormat="1" applyFill="1" applyBorder="1"/>
    <xf numFmtId="166" fontId="6" fillId="8" borderId="2" xfId="0" applyNumberFormat="1" applyFont="1" applyFill="1" applyBorder="1"/>
    <xf numFmtId="0" fontId="0" fillId="0" borderId="1" xfId="0" applyBorder="1" applyAlignment="1">
      <alignment horizontal="center" vertical="center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/>
    </xf>
    <xf numFmtId="167" fontId="14" fillId="0" borderId="23" xfId="0" applyNumberFormat="1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/>
    </xf>
    <xf numFmtId="0" fontId="6" fillId="0" borderId="0" xfId="0" applyFont="1"/>
    <xf numFmtId="41" fontId="0" fillId="0" borderId="0" xfId="0" applyNumberFormat="1"/>
    <xf numFmtId="0" fontId="22" fillId="0" borderId="1" xfId="0" applyFont="1" applyBorder="1"/>
    <xf numFmtId="170" fontId="8" fillId="9" borderId="1" xfId="11" applyFont="1" applyFill="1" applyBorder="1" applyAlignment="1">
      <alignment horizontal="center"/>
    </xf>
    <xf numFmtId="170" fontId="0" fillId="0" borderId="0" xfId="11" applyFont="1" applyFill="1" applyBorder="1"/>
    <xf numFmtId="0" fontId="23" fillId="9" borderId="0" xfId="0" applyFont="1" applyFill="1" applyAlignment="1">
      <alignment horizontal="center"/>
    </xf>
    <xf numFmtId="170" fontId="0" fillId="0" borderId="0" xfId="11" applyFont="1" applyBorder="1"/>
    <xf numFmtId="0" fontId="23" fillId="9" borderId="0" xfId="0" applyFont="1" applyFill="1"/>
    <xf numFmtId="171" fontId="0" fillId="0" borderId="0" xfId="0" applyNumberFormat="1"/>
    <xf numFmtId="172" fontId="0" fillId="0" borderId="0" xfId="0" applyNumberFormat="1"/>
    <xf numFmtId="3" fontId="0" fillId="0" borderId="0" xfId="0" applyNumberFormat="1"/>
    <xf numFmtId="170" fontId="4" fillId="0" borderId="0" xfId="11" applyFont="1" applyBorder="1"/>
    <xf numFmtId="0" fontId="4" fillId="0" borderId="0" xfId="0" applyFont="1"/>
    <xf numFmtId="2" fontId="23" fillId="2" borderId="0" xfId="6" applyNumberFormat="1" applyFont="1" applyFill="1" applyBorder="1" applyAlignment="1">
      <alignment horizontal="center"/>
    </xf>
    <xf numFmtId="1" fontId="0" fillId="0" borderId="0" xfId="0" applyNumberFormat="1"/>
    <xf numFmtId="170" fontId="23" fillId="9" borderId="0" xfId="11" applyFont="1" applyFill="1" applyBorder="1" applyAlignment="1">
      <alignment horizontal="center"/>
    </xf>
    <xf numFmtId="0" fontId="23" fillId="9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/>
    </xf>
    <xf numFmtId="0" fontId="25" fillId="9" borderId="0" xfId="0" applyFont="1" applyFill="1"/>
    <xf numFmtId="2" fontId="23" fillId="2" borderId="0" xfId="6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170" fontId="23" fillId="0" borderId="0" xfId="11" applyFont="1" applyFill="1" applyBorder="1" applyAlignment="1">
      <alignment horizontal="center"/>
    </xf>
    <xf numFmtId="0" fontId="23" fillId="9" borderId="12" xfId="0" applyFont="1" applyFill="1" applyBorder="1" applyAlignment="1">
      <alignment horizontal="right"/>
    </xf>
    <xf numFmtId="171" fontId="23" fillId="9" borderId="12" xfId="0" applyNumberFormat="1" applyFont="1" applyFill="1" applyBorder="1" applyAlignment="1">
      <alignment horizontal="center"/>
    </xf>
    <xf numFmtId="170" fontId="23" fillId="10" borderId="1" xfId="11" applyFont="1" applyFill="1" applyBorder="1" applyAlignment="1">
      <alignment horizontal="center"/>
    </xf>
    <xf numFmtId="0" fontId="23" fillId="9" borderId="0" xfId="0" applyFont="1" applyFill="1" applyAlignment="1">
      <alignment horizontal="center" wrapText="1"/>
    </xf>
    <xf numFmtId="0" fontId="0" fillId="0" borderId="0" xfId="0" applyAlignment="1">
      <alignment horizontal="right"/>
    </xf>
    <xf numFmtId="170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168" fontId="0" fillId="0" borderId="1" xfId="0" applyNumberFormat="1" applyBorder="1"/>
    <xf numFmtId="170" fontId="8" fillId="3" borderId="1" xfId="1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170" fontId="8" fillId="0" borderId="0" xfId="11" applyFont="1" applyFill="1" applyBorder="1" applyAlignment="1">
      <alignment horizontal="center"/>
    </xf>
    <xf numFmtId="168" fontId="0" fillId="11" borderId="1" xfId="0" applyNumberFormat="1" applyFill="1" applyBorder="1" applyAlignment="1">
      <alignment vertical="center" wrapText="1"/>
    </xf>
    <xf numFmtId="3" fontId="0" fillId="11" borderId="0" xfId="0" applyNumberFormat="1" applyFill="1" applyAlignment="1">
      <alignment horizontal="right"/>
    </xf>
    <xf numFmtId="0" fontId="23" fillId="0" borderId="0" xfId="0" applyFont="1" applyAlignment="1"/>
    <xf numFmtId="0" fontId="26" fillId="3" borderId="1" xfId="0" applyFont="1" applyFill="1" applyBorder="1"/>
    <xf numFmtId="0" fontId="23" fillId="9" borderId="0" xfId="0" applyFont="1" applyFill="1" applyBorder="1" applyAlignment="1">
      <alignment horizontal="center"/>
    </xf>
    <xf numFmtId="169" fontId="6" fillId="3" borderId="1" xfId="0" applyNumberFormat="1" applyFont="1" applyFill="1" applyBorder="1" applyAlignment="1">
      <alignment vertical="center"/>
    </xf>
    <xf numFmtId="0" fontId="0" fillId="0" borderId="0" xfId="0" applyFill="1" applyBorder="1"/>
    <xf numFmtId="168" fontId="0" fillId="0" borderId="0" xfId="0" applyNumberFormat="1" applyFill="1" applyBorder="1"/>
    <xf numFmtId="168" fontId="0" fillId="0" borderId="0" xfId="0" applyNumberFormat="1" applyFill="1" applyBorder="1" applyAlignment="1">
      <alignment vertical="center" wrapText="1"/>
    </xf>
    <xf numFmtId="168" fontId="6" fillId="3" borderId="9" xfId="0" applyNumberFormat="1" applyFont="1" applyFill="1" applyBorder="1" applyAlignment="1">
      <alignment vertical="center" wrapText="1"/>
    </xf>
    <xf numFmtId="168" fontId="6" fillId="3" borderId="1" xfId="0" applyNumberFormat="1" applyFont="1" applyFill="1" applyBorder="1" applyAlignment="1">
      <alignment vertical="center" wrapText="1"/>
    </xf>
    <xf numFmtId="9" fontId="0" fillId="0" borderId="0" xfId="6" applyFont="1"/>
    <xf numFmtId="173" fontId="0" fillId="0" borderId="0" xfId="0" applyNumberFormat="1"/>
    <xf numFmtId="10" fontId="0" fillId="0" borderId="0" xfId="6" applyNumberFormat="1" applyFont="1"/>
    <xf numFmtId="0" fontId="26" fillId="0" borderId="0" xfId="0" applyFont="1" applyFill="1" applyBorder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0" fillId="12" borderId="1" xfId="0" applyFill="1" applyBorder="1" applyAlignment="1">
      <alignment horizontal="center" vertical="center" wrapText="1"/>
    </xf>
    <xf numFmtId="168" fontId="0" fillId="12" borderId="11" xfId="0" applyNumberFormat="1" applyFill="1" applyBorder="1" applyAlignment="1">
      <alignment vertical="center" wrapText="1"/>
    </xf>
    <xf numFmtId="0" fontId="0" fillId="0" borderId="27" xfId="0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166" fontId="0" fillId="0" borderId="6" xfId="1" applyNumberFormat="1" applyFont="1" applyFill="1" applyBorder="1" applyAlignment="1">
      <alignment horizontal="left" vertical="center" indent="4"/>
    </xf>
    <xf numFmtId="166" fontId="9" fillId="0" borderId="28" xfId="1" applyNumberFormat="1" applyFont="1" applyFill="1" applyBorder="1" applyAlignment="1">
      <alignment horizontal="left" vertical="center" indent="4"/>
    </xf>
    <xf numFmtId="0" fontId="0" fillId="12" borderId="5" xfId="0" applyFill="1" applyBorder="1" applyAlignment="1">
      <alignment horizontal="center" vertical="center" wrapText="1"/>
    </xf>
    <xf numFmtId="168" fontId="0" fillId="12" borderId="26" xfId="0" applyNumberForma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" fillId="12" borderId="0" xfId="0" applyFont="1" applyFill="1" applyBorder="1" applyAlignment="1">
      <alignment horizontal="center" vertical="center" wrapText="1"/>
    </xf>
    <xf numFmtId="166" fontId="0" fillId="12" borderId="0" xfId="0" applyNumberFormat="1" applyFill="1"/>
    <xf numFmtId="168" fontId="6" fillId="3" borderId="1" xfId="0" applyNumberFormat="1" applyFont="1" applyFill="1" applyBorder="1" applyAlignment="1">
      <alignment vertical="center"/>
    </xf>
    <xf numFmtId="169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/>
    <xf numFmtId="0" fontId="17" fillId="13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center" wrapText="1"/>
    </xf>
    <xf numFmtId="10" fontId="16" fillId="0" borderId="1" xfId="0" applyNumberFormat="1" applyFont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 wrapText="1"/>
    </xf>
    <xf numFmtId="169" fontId="23" fillId="9" borderId="0" xfId="0" applyNumberFormat="1" applyFont="1" applyFill="1"/>
    <xf numFmtId="0" fontId="16" fillId="0" borderId="12" xfId="0" applyFont="1" applyBorder="1" applyAlignment="1">
      <alignment horizontal="center" vertical="center" wrapText="1"/>
    </xf>
    <xf numFmtId="0" fontId="17" fillId="13" borderId="12" xfId="0" applyFont="1" applyFill="1" applyBorder="1" applyAlignment="1">
      <alignment horizontal="center" vertical="center" wrapText="1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center" vertic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horizontal="center"/>
    </xf>
    <xf numFmtId="2" fontId="28" fillId="0" borderId="0" xfId="6" applyNumberFormat="1" applyFont="1" applyFill="1" applyBorder="1" applyAlignment="1"/>
    <xf numFmtId="2" fontId="28" fillId="0" borderId="0" xfId="7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/>
    </xf>
    <xf numFmtId="2" fontId="28" fillId="0" borderId="0" xfId="6" applyNumberFormat="1" applyFont="1" applyFill="1" applyBorder="1" applyAlignment="1">
      <alignment horizontal="center"/>
    </xf>
    <xf numFmtId="170" fontId="28" fillId="0" borderId="0" xfId="11" applyFont="1" applyFill="1" applyBorder="1" applyAlignment="1">
      <alignment horizontal="center"/>
    </xf>
    <xf numFmtId="2" fontId="28" fillId="0" borderId="0" xfId="16" applyNumberFormat="1" applyFont="1" applyFill="1" applyBorder="1" applyAlignment="1">
      <alignment horizontal="right"/>
    </xf>
    <xf numFmtId="0" fontId="29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 wrapText="1"/>
    </xf>
    <xf numFmtId="3" fontId="29" fillId="0" borderId="0" xfId="0" applyNumberFormat="1" applyFont="1" applyFill="1" applyBorder="1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10" fontId="16" fillId="0" borderId="9" xfId="0" applyNumberFormat="1" applyFont="1" applyFill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166" fontId="0" fillId="0" borderId="5" xfId="1" applyNumberFormat="1" applyFont="1" applyFill="1" applyBorder="1" applyAlignment="1">
      <alignment horizontal="left" vertical="center" indent="4"/>
    </xf>
    <xf numFmtId="10" fontId="16" fillId="0" borderId="0" xfId="0" applyNumberFormat="1" applyFont="1" applyFill="1" applyBorder="1" applyAlignment="1">
      <alignment horizontal="center" vertical="center" wrapText="1"/>
    </xf>
    <xf numFmtId="169" fontId="6" fillId="3" borderId="0" xfId="0" applyNumberFormat="1" applyFont="1" applyFill="1" applyBorder="1" applyAlignment="1">
      <alignment vertical="center"/>
    </xf>
    <xf numFmtId="168" fontId="28" fillId="0" borderId="0" xfId="0" applyNumberFormat="1" applyFont="1" applyFill="1" applyBorder="1" applyAlignment="1">
      <alignment horizontal="center"/>
    </xf>
    <xf numFmtId="9" fontId="28" fillId="0" borderId="0" xfId="6" applyFont="1" applyFill="1" applyBorder="1" applyAlignment="1">
      <alignment horizontal="center"/>
    </xf>
    <xf numFmtId="166" fontId="0" fillId="7" borderId="1" xfId="1" applyNumberFormat="1" applyFont="1" applyFill="1" applyBorder="1" applyAlignment="1">
      <alignment horizontal="left" vertical="center" indent="4"/>
    </xf>
    <xf numFmtId="0" fontId="11" fillId="0" borderId="17" xfId="4" applyFont="1" applyBorder="1" applyAlignment="1">
      <alignment horizontal="right"/>
    </xf>
    <xf numFmtId="0" fontId="11" fillId="0" borderId="0" xfId="4" applyFont="1" applyAlignment="1">
      <alignment horizontal="center"/>
    </xf>
    <xf numFmtId="175" fontId="8" fillId="2" borderId="1" xfId="4" applyNumberFormat="1" applyFont="1" applyFill="1" applyBorder="1" applyAlignment="1">
      <alignment horizontal="center"/>
    </xf>
    <xf numFmtId="1" fontId="8" fillId="0" borderId="1" xfId="6" applyNumberFormat="1" applyFont="1" applyFill="1" applyBorder="1" applyAlignment="1">
      <alignment horizontal="center" vertical="center"/>
    </xf>
    <xf numFmtId="1" fontId="8" fillId="0" borderId="1" xfId="4" applyNumberFormat="1" applyFont="1" applyBorder="1" applyAlignment="1">
      <alignment horizontal="center" vertical="center"/>
    </xf>
    <xf numFmtId="175" fontId="8" fillId="3" borderId="1" xfId="4" applyNumberFormat="1" applyFont="1" applyFill="1" applyBorder="1" applyAlignment="1">
      <alignment vertical="center"/>
    </xf>
    <xf numFmtId="164" fontId="0" fillId="0" borderId="5" xfId="1" applyFont="1" applyBorder="1"/>
    <xf numFmtId="164" fontId="0" fillId="0" borderId="0" xfId="1" applyFont="1"/>
    <xf numFmtId="0" fontId="15" fillId="0" borderId="9" xfId="0" applyFont="1" applyBorder="1" applyAlignment="1">
      <alignment vertical="center"/>
    </xf>
    <xf numFmtId="44" fontId="0" fillId="0" borderId="0" xfId="0" applyNumberFormat="1"/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/>
    </xf>
    <xf numFmtId="43" fontId="0" fillId="0" borderId="0" xfId="17" applyFont="1"/>
    <xf numFmtId="2" fontId="0" fillId="0" borderId="0" xfId="0" applyNumberFormat="1"/>
    <xf numFmtId="10" fontId="0" fillId="0" borderId="0" xfId="0" applyNumberForma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166" fontId="0" fillId="12" borderId="1" xfId="1" applyNumberFormat="1" applyFont="1" applyFill="1" applyBorder="1" applyAlignment="1">
      <alignment horizontal="left" vertical="center" indent="4"/>
    </xf>
    <xf numFmtId="167" fontId="13" fillId="0" borderId="9" xfId="0" applyNumberFormat="1" applyFont="1" applyBorder="1" applyAlignment="1">
      <alignment horizontal="center" vertical="center"/>
    </xf>
    <xf numFmtId="174" fontId="13" fillId="0" borderId="9" xfId="0" applyNumberFormat="1" applyFont="1" applyBorder="1" applyAlignment="1">
      <alignment horizontal="center" vertical="center"/>
    </xf>
    <xf numFmtId="167" fontId="13" fillId="0" borderId="10" xfId="0" applyNumberFormat="1" applyFont="1" applyBorder="1" applyAlignment="1">
      <alignment horizontal="center" vertical="center"/>
    </xf>
    <xf numFmtId="167" fontId="30" fillId="3" borderId="9" xfId="0" applyNumberFormat="1" applyFont="1" applyFill="1" applyBorder="1" applyAlignment="1">
      <alignment horizontal="center" vertical="center"/>
    </xf>
    <xf numFmtId="44" fontId="30" fillId="3" borderId="9" xfId="0" applyNumberFormat="1" applyFont="1" applyFill="1" applyBorder="1" applyAlignment="1">
      <alignment horizontal="center" vertical="center"/>
    </xf>
    <xf numFmtId="167" fontId="30" fillId="3" borderId="10" xfId="0" applyNumberFormat="1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/>
    </xf>
    <xf numFmtId="0" fontId="22" fillId="0" borderId="0" xfId="0" applyFont="1"/>
    <xf numFmtId="0" fontId="22" fillId="0" borderId="25" xfId="0" applyFont="1" applyBorder="1" applyAlignment="1">
      <alignment horizontal="center" vertical="center"/>
    </xf>
    <xf numFmtId="167" fontId="22" fillId="0" borderId="0" xfId="0" applyNumberFormat="1" applyFont="1"/>
    <xf numFmtId="164" fontId="22" fillId="0" borderId="0" xfId="1" applyFont="1"/>
    <xf numFmtId="0" fontId="22" fillId="0" borderId="0" xfId="0" applyFont="1" applyAlignment="1">
      <alignment horizontal="justify" vertical="center"/>
    </xf>
    <xf numFmtId="0" fontId="31" fillId="0" borderId="0" xfId="0" applyFont="1" applyAlignment="1">
      <alignment horizontal="justify" vertical="center"/>
    </xf>
    <xf numFmtId="0" fontId="22" fillId="0" borderId="7" xfId="0" applyFont="1" applyBorder="1" applyAlignment="1">
      <alignment horizontal="center" vertical="center"/>
    </xf>
    <xf numFmtId="44" fontId="22" fillId="0" borderId="0" xfId="0" applyNumberFormat="1" applyFont="1"/>
    <xf numFmtId="0" fontId="22" fillId="0" borderId="0" xfId="0" applyFont="1" applyFill="1"/>
    <xf numFmtId="0" fontId="22" fillId="0" borderId="2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3" fontId="28" fillId="0" borderId="0" xfId="6" applyNumberFormat="1" applyFont="1" applyFill="1" applyBorder="1" applyAlignment="1">
      <alignment horizontal="center"/>
    </xf>
    <xf numFmtId="9" fontId="28" fillId="0" borderId="0" xfId="6" applyFont="1" applyFill="1" applyBorder="1" applyAlignment="1"/>
    <xf numFmtId="176" fontId="0" fillId="0" borderId="0" xfId="6" applyNumberFormat="1" applyFont="1"/>
    <xf numFmtId="176" fontId="0" fillId="0" borderId="0" xfId="0" applyNumberFormat="1"/>
    <xf numFmtId="173" fontId="0" fillId="0" borderId="0" xfId="6" applyNumberFormat="1" applyFont="1"/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/>
    </xf>
    <xf numFmtId="171" fontId="0" fillId="0" borderId="0" xfId="0" applyNumberFormat="1" applyAlignment="1">
      <alignment horizontal="center"/>
    </xf>
    <xf numFmtId="0" fontId="17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/>
    </xf>
    <xf numFmtId="0" fontId="11" fillId="0" borderId="1" xfId="4" applyFont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left" vertical="center"/>
    </xf>
    <xf numFmtId="0" fontId="11" fillId="3" borderId="14" xfId="4" applyFont="1" applyFill="1" applyBorder="1" applyAlignment="1">
      <alignment horizontal="left" vertical="center"/>
    </xf>
    <xf numFmtId="0" fontId="11" fillId="3" borderId="12" xfId="4" applyFont="1" applyFill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8" fillId="0" borderId="1" xfId="4" applyFont="1" applyBorder="1" applyAlignment="1">
      <alignment horizontal="left" vertical="center" wrapText="1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/>
    </xf>
    <xf numFmtId="0" fontId="11" fillId="0" borderId="13" xfId="4" applyFont="1" applyBorder="1" applyAlignment="1">
      <alignment horizontal="center"/>
    </xf>
    <xf numFmtId="0" fontId="11" fillId="0" borderId="19" xfId="4" applyFont="1" applyBorder="1" applyAlignment="1">
      <alignment horizontal="center"/>
    </xf>
    <xf numFmtId="0" fontId="11" fillId="2" borderId="1" xfId="4" applyFont="1" applyFill="1" applyBorder="1" applyAlignment="1">
      <alignment horizontal="center" vertical="center"/>
    </xf>
    <xf numFmtId="0" fontId="11" fillId="2" borderId="1" xfId="4" quotePrefix="1" applyFont="1" applyFill="1" applyBorder="1" applyAlignment="1">
      <alignment horizontal="center" vertical="center"/>
    </xf>
    <xf numFmtId="0" fontId="8" fillId="0" borderId="1" xfId="4" quotePrefix="1" applyFont="1" applyBorder="1" applyAlignment="1">
      <alignment horizontal="left" vertical="center" wrapText="1" shrinkToFit="1"/>
    </xf>
    <xf numFmtId="0" fontId="26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</cellXfs>
  <cellStyles count="18">
    <cellStyle name="Millares" xfId="17" builtinId="3"/>
    <cellStyle name="Millares 2" xfId="9" xr:uid="{00000000-0005-0000-0000-000000000000}"/>
    <cellStyle name="Millares 4 2" xfId="8" xr:uid="{00000000-0005-0000-0000-000001000000}"/>
    <cellStyle name="Millares 5" xfId="2" xr:uid="{00000000-0005-0000-0000-000002000000}"/>
    <cellStyle name="Moneda" xfId="1" builtinId="4"/>
    <cellStyle name="Moneda [0] 2" xfId="11" xr:uid="{00000000-0005-0000-0000-000004000000}"/>
    <cellStyle name="Moneda 2" xfId="10" xr:uid="{00000000-0005-0000-0000-000005000000}"/>
    <cellStyle name="Normal" xfId="0" builtinId="0"/>
    <cellStyle name="Normal 10" xfId="12" xr:uid="{00000000-0005-0000-0000-000007000000}"/>
    <cellStyle name="Normal 12 2" xfId="13" xr:uid="{00000000-0005-0000-0000-000008000000}"/>
    <cellStyle name="Normal 2" xfId="4" xr:uid="{00000000-0005-0000-0000-000009000000}"/>
    <cellStyle name="Normal 2 2" xfId="5" xr:uid="{00000000-0005-0000-0000-00000A000000}"/>
    <cellStyle name="Normal 2 3" xfId="15" xr:uid="{00000000-0005-0000-0000-00000B000000}"/>
    <cellStyle name="Normal 2 4" xfId="14" xr:uid="{00000000-0005-0000-0000-00000C000000}"/>
    <cellStyle name="Normal 3" xfId="3" xr:uid="{00000000-0005-0000-0000-00000D000000}"/>
    <cellStyle name="Porcentaje" xfId="6" builtinId="5"/>
    <cellStyle name="Porcentaje 3" xfId="7" xr:uid="{00000000-0005-0000-0000-00000F000000}"/>
    <cellStyle name="Porcentaje 4" xfId="16" xr:uid="{6B8085F3-78D9-4FC3-B3CA-035BFC0A38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'DvSTAND Valores atipicos'!$D$3</c:f>
              <c:strCache>
                <c:ptCount val="1"/>
                <c:pt idx="0">
                  <c:v>ENTREGABLE 1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both"/>
            <c:errValType val="stdDev"/>
            <c:noEndCap val="0"/>
            <c:val val="1"/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'DvSTAND Valores atipicos'!$C$4:$C$12</c:f>
              <c:strCache>
                <c:ptCount val="7"/>
                <c:pt idx="0">
                  <c:v>CONSGA</c:v>
                </c:pt>
                <c:pt idx="1">
                  <c:v>GEOSIGMA</c:v>
                </c:pt>
                <c:pt idx="2">
                  <c:v>INCOPLAN</c:v>
                </c:pt>
                <c:pt idx="3">
                  <c:v>TER-SAS</c:v>
                </c:pt>
                <c:pt idx="4">
                  <c:v>ACI</c:v>
                </c:pt>
                <c:pt idx="5">
                  <c:v>MCS</c:v>
                </c:pt>
                <c:pt idx="6">
                  <c:v>SIMA</c:v>
                </c:pt>
              </c:strCache>
            </c:strRef>
          </c:cat>
          <c:val>
            <c:numRef>
              <c:f>'DvSTAND Valores atipicos'!$D$4:$D$12</c:f>
              <c:numCache>
                <c:formatCode>_("$"\ * #,##0_);_("$"\ * \(#,##0\);_("$"\ * "-"??_);_(@_)</c:formatCode>
                <c:ptCount val="7"/>
                <c:pt idx="0">
                  <c:v>1388965200</c:v>
                </c:pt>
                <c:pt idx="1">
                  <c:v>618150325</c:v>
                </c:pt>
                <c:pt idx="2">
                  <c:v>571000000</c:v>
                </c:pt>
                <c:pt idx="3">
                  <c:v>528350000</c:v>
                </c:pt>
                <c:pt idx="4">
                  <c:v>566733985</c:v>
                </c:pt>
                <c:pt idx="5">
                  <c:v>986300000</c:v>
                </c:pt>
                <c:pt idx="6">
                  <c:v>538150062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DE-43D0-B569-E0D565C54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03824688"/>
        <c:axId val="1103825104"/>
      </c:barChart>
      <c:catAx>
        <c:axId val="110382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5104"/>
        <c:crosses val="autoZero"/>
        <c:auto val="1"/>
        <c:lblAlgn val="ctr"/>
        <c:lblOffset val="100"/>
        <c:noMultiLvlLbl val="0"/>
      </c:catAx>
      <c:valAx>
        <c:axId val="110382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'DvSTAND Valores atipicos'!$E$3</c:f>
              <c:strCache>
                <c:ptCount val="1"/>
                <c:pt idx="0">
                  <c:v>ENTREGABLE 2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both"/>
            <c:errValType val="stdDev"/>
            <c:noEndCap val="0"/>
            <c:val val="1"/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'DvSTAND Valores atipicos'!$C$4:$C$12</c:f>
              <c:strCache>
                <c:ptCount val="7"/>
                <c:pt idx="0">
                  <c:v>CONSGA</c:v>
                </c:pt>
                <c:pt idx="1">
                  <c:v>GEOSIGMA</c:v>
                </c:pt>
                <c:pt idx="2">
                  <c:v>INCOPLAN</c:v>
                </c:pt>
                <c:pt idx="3">
                  <c:v>TER-SAS</c:v>
                </c:pt>
                <c:pt idx="4">
                  <c:v>ACI</c:v>
                </c:pt>
                <c:pt idx="5">
                  <c:v>MCS</c:v>
                </c:pt>
                <c:pt idx="6">
                  <c:v>SIMA</c:v>
                </c:pt>
              </c:strCache>
            </c:strRef>
          </c:cat>
          <c:val>
            <c:numRef>
              <c:f>'DvSTAND Valores atipicos'!$E$4:$E$12</c:f>
              <c:numCache>
                <c:formatCode>_("$"\ * #,##0_);_("$"\ * \(#,##0\);_("$"\ * "-"??_);_(@_)</c:formatCode>
                <c:ptCount val="7"/>
                <c:pt idx="0">
                  <c:v>995838450</c:v>
                </c:pt>
                <c:pt idx="1">
                  <c:v>450976123</c:v>
                </c:pt>
                <c:pt idx="2">
                  <c:v>571000000</c:v>
                </c:pt>
                <c:pt idx="3">
                  <c:v>528350000</c:v>
                </c:pt>
                <c:pt idx="4">
                  <c:v>566733985</c:v>
                </c:pt>
                <c:pt idx="5">
                  <c:v>986300000</c:v>
                </c:pt>
                <c:pt idx="6">
                  <c:v>538150062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87-4417-9F5B-DECE8A3EE4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03824688"/>
        <c:axId val="1103825104"/>
      </c:barChart>
      <c:catAx>
        <c:axId val="110382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5104"/>
        <c:crosses val="autoZero"/>
        <c:auto val="1"/>
        <c:lblAlgn val="ctr"/>
        <c:lblOffset val="100"/>
        <c:noMultiLvlLbl val="0"/>
      </c:catAx>
      <c:valAx>
        <c:axId val="110382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'DvSTAND Valores atipicos'!$F$3</c:f>
              <c:strCache>
                <c:ptCount val="1"/>
                <c:pt idx="0">
                  <c:v>ENTREGABLE 3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both"/>
            <c:errValType val="stdDev"/>
            <c:noEndCap val="0"/>
            <c:val val="1"/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'DvSTAND Valores atipicos'!$C$4:$C$12</c:f>
              <c:strCache>
                <c:ptCount val="7"/>
                <c:pt idx="0">
                  <c:v>CONSGA</c:v>
                </c:pt>
                <c:pt idx="1">
                  <c:v>GEOSIGMA</c:v>
                </c:pt>
                <c:pt idx="2">
                  <c:v>INCOPLAN</c:v>
                </c:pt>
                <c:pt idx="3">
                  <c:v>TER-SAS</c:v>
                </c:pt>
                <c:pt idx="4">
                  <c:v>ACI</c:v>
                </c:pt>
                <c:pt idx="5">
                  <c:v>MCS</c:v>
                </c:pt>
                <c:pt idx="6">
                  <c:v>SIMA</c:v>
                </c:pt>
              </c:strCache>
            </c:strRef>
          </c:cat>
          <c:val>
            <c:numRef>
              <c:f>'DvSTAND Valores atipicos'!$F$4:$F$12</c:f>
              <c:numCache>
                <c:formatCode>_("$"\ * #,##0_);_("$"\ * \(#,##0\);_("$"\ * "-"??_);_(@_)</c:formatCode>
                <c:ptCount val="7"/>
                <c:pt idx="0">
                  <c:v>422850000</c:v>
                </c:pt>
                <c:pt idx="1">
                  <c:v>450976123</c:v>
                </c:pt>
                <c:pt idx="2">
                  <c:v>322000000</c:v>
                </c:pt>
                <c:pt idx="3">
                  <c:v>477210000</c:v>
                </c:pt>
                <c:pt idx="4">
                  <c:v>392935563</c:v>
                </c:pt>
                <c:pt idx="5">
                  <c:v>98000000</c:v>
                </c:pt>
                <c:pt idx="6">
                  <c:v>461271482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1F-4490-9C6C-A2959E1318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03824688"/>
        <c:axId val="1103825104"/>
      </c:barChart>
      <c:catAx>
        <c:axId val="110382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5104"/>
        <c:crosses val="autoZero"/>
        <c:auto val="1"/>
        <c:lblAlgn val="ctr"/>
        <c:lblOffset val="100"/>
        <c:noMultiLvlLbl val="0"/>
      </c:catAx>
      <c:valAx>
        <c:axId val="110382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'DvSTAND Valores atipicos'!$G$3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both"/>
            <c:errValType val="stdDev"/>
            <c:noEndCap val="0"/>
            <c:val val="1"/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'DvSTAND Valores atipicos'!$C$4:$C$12</c:f>
              <c:strCache>
                <c:ptCount val="7"/>
                <c:pt idx="0">
                  <c:v>CONSGA</c:v>
                </c:pt>
                <c:pt idx="1">
                  <c:v>GEOSIGMA</c:v>
                </c:pt>
                <c:pt idx="2">
                  <c:v>INCOPLAN</c:v>
                </c:pt>
                <c:pt idx="3">
                  <c:v>TER-SAS</c:v>
                </c:pt>
                <c:pt idx="4">
                  <c:v>ACI</c:v>
                </c:pt>
                <c:pt idx="5">
                  <c:v>MCS</c:v>
                </c:pt>
                <c:pt idx="6">
                  <c:v>SIMA</c:v>
                </c:pt>
              </c:strCache>
            </c:strRef>
          </c:cat>
          <c:val>
            <c:numRef>
              <c:f>'DvSTAND Valores atipicos'!$G$4:$G$12</c:f>
              <c:numCache>
                <c:formatCode>_("$"\ * #,##0_);_("$"\ * \(#,##0\);_("$"\ * "-"??_);_(@_)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D915-42B5-AC21-C749F8CF6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03824688"/>
        <c:axId val="1103825104"/>
      </c:barChart>
      <c:catAx>
        <c:axId val="110382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5104"/>
        <c:crosses val="autoZero"/>
        <c:auto val="1"/>
        <c:lblAlgn val="ctr"/>
        <c:lblOffset val="100"/>
        <c:noMultiLvlLbl val="0"/>
      </c:catAx>
      <c:valAx>
        <c:axId val="110382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382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COMPARACION HISTORICO vs COTIZACIONES</a:t>
            </a:r>
          </a:p>
          <a:p>
            <a:pPr>
              <a:defRPr/>
            </a:pPr>
            <a:r>
              <a:rPr lang="en-US"/>
              <a:t>AÑO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657275891170916"/>
          <c:y val="0.13069514778295885"/>
          <c:w val="0.6448694501422616"/>
          <c:h val="0.7977752293335671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40D1-4B39-9281-C40438873B19}"/>
              </c:ext>
            </c:extLst>
          </c:dPt>
          <c:dPt>
            <c:idx val="7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2EC-4422-BFC7-AA3F90D16828}"/>
              </c:ext>
            </c:extLst>
          </c:dPt>
          <c:dPt>
            <c:idx val="8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2EC-4422-BFC7-AA3F90D1682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'Comparacion Historico vs Co (2)'!$C$20:$C$22</c:f>
              <c:strCache>
                <c:ptCount val="3"/>
                <c:pt idx="0">
                  <c:v>HISTORICO</c:v>
                </c:pt>
                <c:pt idx="1">
                  <c:v>Promedio</c:v>
                </c:pt>
                <c:pt idx="2">
                  <c:v>COTIZACIONES Mod DESVEST</c:v>
                </c:pt>
              </c:strCache>
            </c:strRef>
          </c:cat>
          <c:val>
            <c:numRef>
              <c:f>'Comparacion Historico vs Co (2)'!$D$20:$D$22</c:f>
              <c:numCache>
                <c:formatCode>_-[$$-240A]\ * #,##0_-;\-[$$-240A]\ * #,##0_-;_-[$$-240A]\ * "-"??_-;_-@_-</c:formatCode>
                <c:ptCount val="3"/>
                <c:pt idx="0">
                  <c:v>1337917506</c:v>
                </c:pt>
                <c:pt idx="1">
                  <c:v>1555972673</c:v>
                </c:pt>
                <c:pt idx="2">
                  <c:v>1774027840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2EC-4422-BFC7-AA3F90D16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67541152"/>
        <c:axId val="867549312"/>
      </c:barChart>
      <c:catAx>
        <c:axId val="86754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7549312"/>
        <c:crosses val="autoZero"/>
        <c:auto val="1"/>
        <c:lblAlgn val="ctr"/>
        <c:lblOffset val="100"/>
        <c:noMultiLvlLbl val="0"/>
      </c:catAx>
      <c:valAx>
        <c:axId val="86754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[$$-240A]\ * #,##0_-;\-[$$-240A]\ * #,##0_-;_-[$$-240A]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7541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800100</xdr:colOff>
      <xdr:row>0</xdr:row>
      <xdr:rowOff>184149</xdr:rowOff>
    </xdr:from>
    <xdr:to>
      <xdr:col>14</xdr:col>
      <xdr:colOff>666749</xdr:colOff>
      <xdr:row>18</xdr:row>
      <xdr:rowOff>57150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4EC927C-1862-402C-8C47-D31A8972F6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</xdr:row>
      <xdr:rowOff>0</xdr:rowOff>
    </xdr:from>
    <xdr:to>
      <xdr:col>21</xdr:col>
      <xdr:colOff>654051</xdr:colOff>
      <xdr:row>19</xdr:row>
      <xdr:rowOff>186267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1C93FE9-C64E-4D00-A57E-825CAC1CE8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1</xdr:row>
      <xdr:rowOff>0</xdr:rowOff>
    </xdr:from>
    <xdr:to>
      <xdr:col>28</xdr:col>
      <xdr:colOff>654051</xdr:colOff>
      <xdr:row>19</xdr:row>
      <xdr:rowOff>186267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B55BDA0E-83DF-4F30-9169-B1C992F6A4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0</xdr:colOff>
      <xdr:row>1</xdr:row>
      <xdr:rowOff>0</xdr:rowOff>
    </xdr:from>
    <xdr:to>
      <xdr:col>35</xdr:col>
      <xdr:colOff>654051</xdr:colOff>
      <xdr:row>19</xdr:row>
      <xdr:rowOff>186267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58E92E08-ACFB-4298-B931-083821D93B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364671</xdr:colOff>
      <xdr:row>0</xdr:row>
      <xdr:rowOff>31296</xdr:rowOff>
    </xdr:from>
    <xdr:to>
      <xdr:col>2</xdr:col>
      <xdr:colOff>213783</xdr:colOff>
      <xdr:row>2</xdr:row>
      <xdr:rowOff>74594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C24BDD4-2213-4760-A921-E3F245FDD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671" y="31296"/>
          <a:ext cx="1249287" cy="910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107154</xdr:colOff>
      <xdr:row>25</xdr:row>
      <xdr:rowOff>35718</xdr:rowOff>
    </xdr:from>
    <xdr:to>
      <xdr:col>7</xdr:col>
      <xdr:colOff>1047750</xdr:colOff>
      <xdr:row>45</xdr:row>
      <xdr:rowOff>47624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E8BEC30-5A2F-41B1-AD6E-05A1DD777A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711730</xdr:colOff>
      <xdr:row>34</xdr:row>
      <xdr:rowOff>107156</xdr:rowOff>
    </xdr:from>
    <xdr:to>
      <xdr:col>4</xdr:col>
      <xdr:colOff>1195917</xdr:colOff>
      <xdr:row>35</xdr:row>
      <xdr:rowOff>158749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2670B38-93F5-4A33-9FC3-6D0555CBD86D}"/>
            </a:ext>
          </a:extLst>
        </xdr:cNvPr>
        <xdr:cNvSpPr txBox="1"/>
      </xdr:nvSpPr>
      <xdr:spPr>
        <a:xfrm>
          <a:off x="4024313" y="8108156"/>
          <a:ext cx="484187" cy="2420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14 %</a:t>
          </a:r>
        </a:p>
      </xdr:txBody>
    </xdr:sp>
    <xdr:clientData/>
  </xdr:twoCellAnchor>
  <xdr:twoCellAnchor>
    <xdr:from>
      <xdr:col>5</xdr:col>
      <xdr:colOff>1467379</xdr:colOff>
      <xdr:row>31</xdr:row>
      <xdr:rowOff>164308</xdr:rowOff>
    </xdr:from>
    <xdr:to>
      <xdr:col>6</xdr:col>
      <xdr:colOff>401109</xdr:colOff>
      <xdr:row>33</xdr:row>
      <xdr:rowOff>17464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F6D67349-04EA-4842-9F0C-FB016C2639EC}"/>
            </a:ext>
          </a:extLst>
        </xdr:cNvPr>
        <xdr:cNvSpPr txBox="1"/>
      </xdr:nvSpPr>
      <xdr:spPr>
        <a:xfrm>
          <a:off x="6060546" y="7593808"/>
          <a:ext cx="563563" cy="234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12 %</a:t>
          </a:r>
        </a:p>
      </xdr:txBody>
    </xdr:sp>
    <xdr:clientData/>
  </xdr:twoCellAnchor>
  <xdr:twoCellAnchor>
    <xdr:from>
      <xdr:col>4</xdr:col>
      <xdr:colOff>889001</xdr:colOff>
      <xdr:row>32</xdr:row>
      <xdr:rowOff>105834</xdr:rowOff>
    </xdr:from>
    <xdr:to>
      <xdr:col>4</xdr:col>
      <xdr:colOff>1026584</xdr:colOff>
      <xdr:row>34</xdr:row>
      <xdr:rowOff>63500</xdr:rowOff>
    </xdr:to>
    <xdr:sp macro="" textlink="">
      <xdr:nvSpPr>
        <xdr:cNvPr id="5" name="Flecha: hacia arriba 4">
          <a:extLst>
            <a:ext uri="{FF2B5EF4-FFF2-40B4-BE49-F238E27FC236}">
              <a16:creationId xmlns:a16="http://schemas.microsoft.com/office/drawing/2014/main" id="{73B5679A-F181-318D-1AD6-EF8FA40F9FA9}"/>
            </a:ext>
          </a:extLst>
        </xdr:cNvPr>
        <xdr:cNvSpPr/>
      </xdr:nvSpPr>
      <xdr:spPr>
        <a:xfrm>
          <a:off x="4201584" y="7725834"/>
          <a:ext cx="137583" cy="338666"/>
        </a:xfrm>
        <a:prstGeom prst="upArrow">
          <a:avLst/>
        </a:prstGeom>
        <a:solidFill>
          <a:schemeClr val="tx1">
            <a:lumMod val="50000"/>
            <a:lumOff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35984</xdr:colOff>
      <xdr:row>30</xdr:row>
      <xdr:rowOff>4233</xdr:rowOff>
    </xdr:from>
    <xdr:to>
      <xdr:col>6</xdr:col>
      <xdr:colOff>173567</xdr:colOff>
      <xdr:row>31</xdr:row>
      <xdr:rowOff>152399</xdr:rowOff>
    </xdr:to>
    <xdr:sp macro="" textlink="">
      <xdr:nvSpPr>
        <xdr:cNvPr id="6" name="Flecha: hacia arriba 5">
          <a:extLst>
            <a:ext uri="{FF2B5EF4-FFF2-40B4-BE49-F238E27FC236}">
              <a16:creationId xmlns:a16="http://schemas.microsoft.com/office/drawing/2014/main" id="{25202954-1DA1-426D-89F2-18C51A229302}"/>
            </a:ext>
          </a:extLst>
        </xdr:cNvPr>
        <xdr:cNvSpPr/>
      </xdr:nvSpPr>
      <xdr:spPr>
        <a:xfrm>
          <a:off x="6258984" y="7243233"/>
          <a:ext cx="137583" cy="338666"/>
        </a:xfrm>
        <a:prstGeom prst="upArrow">
          <a:avLst/>
        </a:prstGeom>
        <a:solidFill>
          <a:schemeClr val="tx1">
            <a:lumMod val="50000"/>
            <a:lumOff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AB3CB-A5A0-4B45-AEEC-5E499B0D0321}">
  <dimension ref="A2:Y80"/>
  <sheetViews>
    <sheetView tabSelected="1" topLeftCell="A11" zoomScale="90" zoomScaleNormal="90" workbookViewId="0">
      <selection activeCell="D25" sqref="D25"/>
    </sheetView>
  </sheetViews>
  <sheetFormatPr baseColWidth="10" defaultColWidth="11.42578125" defaultRowHeight="15" x14ac:dyDescent="0.25"/>
  <cols>
    <col min="1" max="1" width="4.140625" customWidth="1"/>
    <col min="2" max="2" width="11.140625" customWidth="1"/>
    <col min="3" max="3" width="19" customWidth="1"/>
    <col min="4" max="4" width="11.7109375" customWidth="1"/>
    <col min="5" max="5" width="19.140625" customWidth="1"/>
    <col min="6" max="6" width="28.85546875" customWidth="1"/>
    <col min="7" max="7" width="25.5703125" customWidth="1"/>
    <col min="8" max="8" width="22.28515625" customWidth="1"/>
    <col min="9" max="9" width="6.140625" customWidth="1"/>
    <col min="10" max="10" width="3" customWidth="1"/>
    <col min="11" max="11" width="13.85546875" customWidth="1"/>
    <col min="12" max="12" width="20.7109375" customWidth="1"/>
    <col min="13" max="13" width="14.28515625" customWidth="1"/>
    <col min="14" max="14" width="20.5703125" customWidth="1"/>
    <col min="15" max="15" width="23.140625" customWidth="1"/>
    <col min="16" max="16" width="18.7109375" customWidth="1"/>
    <col min="17" max="17" width="6.140625" customWidth="1"/>
    <col min="18" max="18" width="8.140625" customWidth="1"/>
    <col min="19" max="19" width="17.5703125" customWidth="1"/>
    <col min="20" max="20" width="17.7109375" customWidth="1"/>
    <col min="21" max="21" width="19.140625" customWidth="1"/>
    <col min="22" max="22" width="20.7109375" customWidth="1"/>
    <col min="23" max="23" width="18.5703125" customWidth="1"/>
    <col min="24" max="24" width="18.85546875" customWidth="1"/>
  </cols>
  <sheetData>
    <row r="2" spans="1:25" ht="18" x14ac:dyDescent="0.25">
      <c r="B2" s="220" t="s">
        <v>85</v>
      </c>
      <c r="C2" s="220"/>
      <c r="D2" s="220"/>
      <c r="E2" s="220"/>
      <c r="F2" s="220"/>
      <c r="G2" s="220"/>
      <c r="H2" s="220"/>
      <c r="R2" s="110"/>
      <c r="S2" s="110"/>
      <c r="T2" s="110"/>
      <c r="U2" s="110"/>
      <c r="V2" s="110"/>
      <c r="W2" s="110"/>
      <c r="X2" s="110"/>
      <c r="Y2" s="110"/>
    </row>
    <row r="3" spans="1:25" ht="40.5" customHeight="1" x14ac:dyDescent="0.25">
      <c r="B3" s="219" t="s">
        <v>3</v>
      </c>
      <c r="C3" s="219"/>
      <c r="D3" s="219"/>
      <c r="E3" s="219"/>
      <c r="F3" s="219"/>
      <c r="G3" s="219"/>
      <c r="H3" s="219"/>
      <c r="R3" s="110"/>
      <c r="S3" s="110"/>
      <c r="T3" s="110"/>
      <c r="U3" s="110"/>
      <c r="V3" s="110"/>
      <c r="W3" s="110"/>
      <c r="X3" s="110"/>
      <c r="Y3" s="110"/>
    </row>
    <row r="4" spans="1:25" x14ac:dyDescent="0.25">
      <c r="R4" s="118"/>
      <c r="S4" s="118"/>
      <c r="T4" s="118"/>
      <c r="U4" s="122"/>
      <c r="V4" s="122"/>
      <c r="W4" s="122"/>
      <c r="X4" s="122"/>
      <c r="Y4" s="110"/>
    </row>
    <row r="5" spans="1:25" ht="41.25" customHeight="1" x14ac:dyDescent="0.25">
      <c r="B5" s="222" t="s">
        <v>108</v>
      </c>
      <c r="C5" s="222"/>
      <c r="D5" s="222"/>
      <c r="E5" s="222"/>
      <c r="F5" s="222"/>
      <c r="G5" s="222"/>
      <c r="H5" s="222"/>
      <c r="K5" s="141" t="s">
        <v>86</v>
      </c>
      <c r="L5" s="163" t="s">
        <v>103</v>
      </c>
      <c r="R5" s="119"/>
      <c r="S5" s="119"/>
      <c r="T5" s="119"/>
      <c r="U5" s="122"/>
      <c r="V5" s="122"/>
      <c r="W5" s="122"/>
      <c r="X5" s="122"/>
      <c r="Y5" s="110"/>
    </row>
    <row r="6" spans="1:25" ht="51" customHeight="1" x14ac:dyDescent="0.25">
      <c r="B6" s="131" t="s">
        <v>86</v>
      </c>
      <c r="C6" s="131" t="s">
        <v>92</v>
      </c>
      <c r="D6" s="131" t="s">
        <v>102</v>
      </c>
      <c r="E6" s="131" t="s">
        <v>87</v>
      </c>
      <c r="F6" s="131" t="s">
        <v>88</v>
      </c>
      <c r="G6" s="131" t="s">
        <v>107</v>
      </c>
      <c r="H6" s="131" t="s">
        <v>106</v>
      </c>
      <c r="K6" s="162">
        <v>2018</v>
      </c>
      <c r="L6" s="143">
        <v>3.1800000000000002E-2</v>
      </c>
      <c r="M6">
        <f>(L6/100*100)+1</f>
        <v>1.0318000000000001</v>
      </c>
      <c r="R6" s="11"/>
      <c r="S6" s="120"/>
      <c r="T6" s="112"/>
      <c r="U6" s="112"/>
      <c r="V6" s="110"/>
      <c r="W6" s="110"/>
      <c r="X6" s="110"/>
      <c r="Y6" s="110"/>
    </row>
    <row r="7" spans="1:25" x14ac:dyDescent="0.25">
      <c r="B7" s="71">
        <v>2018</v>
      </c>
      <c r="C7" s="71" t="s">
        <v>93</v>
      </c>
      <c r="D7" s="62">
        <v>29</v>
      </c>
      <c r="E7" s="98">
        <v>1040479645</v>
      </c>
      <c r="F7" s="98">
        <v>30656069</v>
      </c>
      <c r="G7" s="72">
        <f>N11</f>
        <v>39932853.571243435</v>
      </c>
      <c r="H7" s="109">
        <f>ROUND((((G7*26)*1.19))+(G7*3),0)</f>
        <v>1355321050</v>
      </c>
      <c r="I7" s="70"/>
      <c r="J7" s="115"/>
      <c r="K7" s="162">
        <v>2019</v>
      </c>
      <c r="L7" s="143">
        <v>3.7999999999999999E-2</v>
      </c>
      <c r="M7">
        <f t="shared" ref="M7:M11" si="0">(L7/100*100)+1</f>
        <v>1.038</v>
      </c>
      <c r="N7" s="26"/>
      <c r="R7" s="11"/>
      <c r="S7" s="120"/>
      <c r="T7" s="112"/>
      <c r="U7" s="112"/>
      <c r="V7" s="110"/>
      <c r="W7" s="110"/>
      <c r="X7" s="110"/>
      <c r="Y7" s="110"/>
    </row>
    <row r="8" spans="1:25" x14ac:dyDescent="0.25">
      <c r="B8" s="71">
        <v>2019</v>
      </c>
      <c r="C8" s="71" t="s">
        <v>94</v>
      </c>
      <c r="D8" s="62">
        <v>29</v>
      </c>
      <c r="E8" s="98">
        <v>991916592</v>
      </c>
      <c r="F8" s="98">
        <v>29225592</v>
      </c>
      <c r="G8" s="72">
        <f>N21</f>
        <v>36675820.990300871</v>
      </c>
      <c r="H8" s="109">
        <f>ROUND((((G8*26)*1.19))+(G8*3),0)</f>
        <v>1244777364</v>
      </c>
      <c r="J8" s="115"/>
      <c r="K8" s="162">
        <v>2020</v>
      </c>
      <c r="L8" s="143">
        <v>1.61E-2</v>
      </c>
      <c r="M8">
        <f t="shared" si="0"/>
        <v>1.0161</v>
      </c>
      <c r="N8" s="26"/>
      <c r="R8" s="11"/>
      <c r="S8" s="120"/>
      <c r="T8" s="112"/>
      <c r="U8" s="112"/>
      <c r="V8" s="110"/>
      <c r="W8" s="110"/>
      <c r="X8" s="110"/>
      <c r="Y8" s="110"/>
    </row>
    <row r="9" spans="1:25" x14ac:dyDescent="0.25">
      <c r="B9" s="71">
        <v>2020</v>
      </c>
      <c r="C9" s="71" t="s">
        <v>95</v>
      </c>
      <c r="D9" s="62">
        <v>27</v>
      </c>
      <c r="E9" s="98">
        <v>995104600</v>
      </c>
      <c r="F9" s="98">
        <v>31530565</v>
      </c>
      <c r="G9" s="72">
        <f>N29</f>
        <v>38941424.020457126</v>
      </c>
      <c r="H9" s="109">
        <f>ROUND((((G9*24)*1.19))+(G9*3),0)</f>
        <v>1228991342</v>
      </c>
      <c r="K9" s="162">
        <v>2021</v>
      </c>
      <c r="L9" s="143">
        <v>5.62E-2</v>
      </c>
      <c r="M9">
        <f t="shared" si="0"/>
        <v>1.0562</v>
      </c>
      <c r="N9" s="26"/>
      <c r="R9" s="11"/>
      <c r="S9" s="120"/>
      <c r="T9" s="112"/>
      <c r="U9" s="112"/>
      <c r="V9" s="110"/>
      <c r="W9" s="110"/>
      <c r="X9" s="110"/>
      <c r="Y9" s="110"/>
    </row>
    <row r="10" spans="1:25" x14ac:dyDescent="0.25">
      <c r="B10" s="71">
        <v>2021</v>
      </c>
      <c r="C10" s="71" t="s">
        <v>98</v>
      </c>
      <c r="D10" s="62">
        <v>30</v>
      </c>
      <c r="E10" s="98">
        <v>1100043852</v>
      </c>
      <c r="F10" s="98">
        <v>31313517</v>
      </c>
      <c r="G10" s="98">
        <f>N37</f>
        <v>36615566.789904483</v>
      </c>
      <c r="H10" s="109">
        <f>ROUND((((G10*27)*1.19))+(G10*3),0)</f>
        <v>1286304861</v>
      </c>
      <c r="K10" s="62">
        <v>2022</v>
      </c>
      <c r="L10" s="164">
        <v>0.13120000000000001</v>
      </c>
      <c r="M10">
        <f t="shared" si="0"/>
        <v>1.1312</v>
      </c>
      <c r="N10" s="26"/>
      <c r="R10" s="11"/>
      <c r="S10" s="120"/>
      <c r="T10" s="112"/>
      <c r="U10" s="112"/>
      <c r="V10" s="110"/>
      <c r="W10" s="110"/>
      <c r="X10" s="110"/>
      <c r="Y10" s="110"/>
    </row>
    <row r="11" spans="1:25" x14ac:dyDescent="0.25">
      <c r="B11" s="71">
        <v>2022</v>
      </c>
      <c r="C11" s="71" t="s">
        <v>105</v>
      </c>
      <c r="D11" s="62">
        <v>29</v>
      </c>
      <c r="E11" s="98">
        <v>1475365046</v>
      </c>
      <c r="F11" s="98">
        <v>43469801</v>
      </c>
      <c r="G11" s="98">
        <f>N46</f>
        <v>44934733.293700002</v>
      </c>
      <c r="H11" s="109">
        <f>ROUND((((G11*26)*1.19))+(G11*3),0)</f>
        <v>1525084848</v>
      </c>
      <c r="K11" s="139" t="s">
        <v>104</v>
      </c>
      <c r="L11" s="144">
        <v>3.3700000000000001E-2</v>
      </c>
      <c r="M11">
        <f t="shared" si="0"/>
        <v>1.0337000000000001</v>
      </c>
      <c r="N11" s="26">
        <f>F7*(M7*M8*M9*M10*M11)</f>
        <v>39932853.571243435</v>
      </c>
      <c r="O11" s="109">
        <f>ROUND((((N11*26)*1.19))+(N11*3),0)</f>
        <v>1355321050</v>
      </c>
      <c r="R11" s="11"/>
      <c r="S11" s="120"/>
      <c r="T11" s="112"/>
      <c r="U11" s="112"/>
      <c r="V11" s="110"/>
      <c r="W11" s="110"/>
      <c r="X11" s="110"/>
      <c r="Y11" s="110"/>
    </row>
    <row r="12" spans="1:25" x14ac:dyDescent="0.25">
      <c r="B12" s="71"/>
      <c r="C12" s="71"/>
      <c r="D12" s="62"/>
      <c r="E12" s="98"/>
      <c r="F12" s="98"/>
      <c r="G12" s="98"/>
      <c r="H12" s="109"/>
      <c r="K12" s="46"/>
      <c r="L12" s="171"/>
      <c r="N12" s="26"/>
      <c r="O12" s="172"/>
      <c r="R12" s="11"/>
      <c r="S12" s="120"/>
      <c r="T12" s="112"/>
      <c r="U12" s="112"/>
      <c r="V12" s="110"/>
      <c r="W12" s="110"/>
      <c r="X12" s="110"/>
      <c r="Y12" s="110"/>
    </row>
    <row r="13" spans="1:25" x14ac:dyDescent="0.25">
      <c r="B13" s="71"/>
      <c r="C13" s="71"/>
      <c r="D13" s="139"/>
      <c r="E13" s="71"/>
      <c r="F13" s="131" t="s">
        <v>89</v>
      </c>
      <c r="G13" s="99">
        <f>AVERAGE(G7:G11)</f>
        <v>39420079.733121179</v>
      </c>
      <c r="H13" s="109">
        <f>ROUND((((G13*26)*1.19))+(G13*3),0)</f>
        <v>1337917506</v>
      </c>
      <c r="R13" s="11"/>
      <c r="S13" s="120"/>
      <c r="T13" s="112"/>
      <c r="U13" s="112"/>
      <c r="V13" s="110"/>
      <c r="W13" s="110"/>
      <c r="X13" s="110"/>
      <c r="Y13" s="110"/>
    </row>
    <row r="14" spans="1:25" x14ac:dyDescent="0.25">
      <c r="C14" s="70"/>
      <c r="D14" s="70"/>
      <c r="I14" s="70"/>
      <c r="R14" s="11"/>
      <c r="S14" s="120"/>
      <c r="T14" s="112"/>
      <c r="U14" s="112"/>
      <c r="V14" s="110"/>
      <c r="W14" s="110"/>
      <c r="X14" s="110"/>
      <c r="Y14" s="110"/>
    </row>
    <row r="15" spans="1:25" ht="25.5" customHeight="1" x14ac:dyDescent="0.25">
      <c r="A15" s="106"/>
      <c r="B15" s="106"/>
      <c r="C15" s="70"/>
      <c r="D15" s="70"/>
      <c r="E15" s="223" t="s">
        <v>96</v>
      </c>
      <c r="F15" s="223"/>
      <c r="G15" s="134">
        <f>H13</f>
        <v>1337917506</v>
      </c>
      <c r="H15" s="135"/>
      <c r="K15" s="141" t="s">
        <v>86</v>
      </c>
      <c r="L15" s="142" t="s">
        <v>103</v>
      </c>
      <c r="P15" s="101"/>
      <c r="R15" s="11"/>
      <c r="S15" s="120"/>
      <c r="T15" s="112"/>
      <c r="U15" s="110"/>
      <c r="V15" s="112"/>
      <c r="W15" s="112"/>
      <c r="X15" s="112"/>
      <c r="Y15" s="110"/>
    </row>
    <row r="16" spans="1:25" ht="24.75" customHeight="1" x14ac:dyDescent="0.25">
      <c r="A16" s="151"/>
      <c r="B16" s="151"/>
      <c r="C16" s="151"/>
      <c r="D16" s="151"/>
      <c r="E16" s="151"/>
      <c r="F16" s="151"/>
      <c r="G16" s="151"/>
      <c r="H16" s="151"/>
      <c r="I16" s="149"/>
      <c r="K16" s="137">
        <v>2018</v>
      </c>
      <c r="L16" s="143">
        <v>3.1800000000000002E-2</v>
      </c>
      <c r="M16">
        <f>(L16/100*100)+1</f>
        <v>1.0318000000000001</v>
      </c>
      <c r="P16" s="103"/>
      <c r="R16" s="110"/>
      <c r="S16" s="11"/>
      <c r="T16" s="120"/>
      <c r="U16" s="112"/>
      <c r="V16" s="110"/>
      <c r="W16" s="112"/>
      <c r="X16" s="110"/>
      <c r="Y16" s="110"/>
    </row>
    <row r="17" spans="1:25" ht="15" customHeight="1" x14ac:dyDescent="0.25">
      <c r="B17" t="s">
        <v>137</v>
      </c>
      <c r="E17" s="151"/>
      <c r="F17" s="173"/>
      <c r="G17" s="151"/>
      <c r="H17" s="151"/>
      <c r="I17" s="149"/>
      <c r="J17" s="148"/>
      <c r="K17" s="146">
        <v>2019</v>
      </c>
      <c r="L17" s="143">
        <v>3.7999999999999999E-2</v>
      </c>
      <c r="M17">
        <f t="shared" ref="M17:M21" si="1">(L17/100*100)+1</f>
        <v>1.038</v>
      </c>
      <c r="N17" s="102"/>
      <c r="O17" s="103"/>
      <c r="P17" s="104"/>
      <c r="R17" s="110"/>
      <c r="S17" s="11"/>
      <c r="T17" s="121"/>
      <c r="U17" s="112"/>
      <c r="V17" s="111"/>
      <c r="W17" s="112"/>
      <c r="X17" s="110"/>
      <c r="Y17" s="110"/>
    </row>
    <row r="18" spans="1:25" ht="15" customHeight="1" x14ac:dyDescent="0.25">
      <c r="B18">
        <v>22</v>
      </c>
      <c r="C18" s="13"/>
      <c r="E18" s="174"/>
      <c r="F18" s="173"/>
      <c r="G18" s="151"/>
      <c r="H18" s="151"/>
      <c r="I18" s="149"/>
      <c r="J18" s="148"/>
      <c r="K18" s="146">
        <v>2020</v>
      </c>
      <c r="L18" s="143">
        <v>1.61E-2</v>
      </c>
      <c r="M18">
        <f t="shared" si="1"/>
        <v>1.0161</v>
      </c>
      <c r="N18" s="26"/>
      <c r="O18" s="103"/>
      <c r="P18" s="105"/>
    </row>
    <row r="19" spans="1:25" ht="26.25" customHeight="1" x14ac:dyDescent="0.25">
      <c r="C19" s="183">
        <v>1475365046</v>
      </c>
      <c r="E19" s="173"/>
      <c r="G19" s="173"/>
      <c r="H19" s="151"/>
      <c r="I19" s="149"/>
      <c r="J19" s="148"/>
      <c r="K19" s="146">
        <v>2021</v>
      </c>
      <c r="L19" s="143">
        <v>5.62E-2</v>
      </c>
      <c r="M19">
        <f t="shared" si="1"/>
        <v>1.0562</v>
      </c>
      <c r="N19" s="26"/>
      <c r="O19" s="103"/>
      <c r="P19" s="103"/>
      <c r="S19" s="17"/>
      <c r="T19" s="13"/>
    </row>
    <row r="20" spans="1:25" ht="15" customHeight="1" x14ac:dyDescent="0.25">
      <c r="C20" s="183">
        <v>1774027840</v>
      </c>
      <c r="E20" s="174">
        <f>C19/C20</f>
        <v>0.831647064794654</v>
      </c>
      <c r="F20" s="214">
        <f>100%-E20</f>
        <v>0.168352935205346</v>
      </c>
      <c r="G20" s="151"/>
      <c r="H20" s="151"/>
      <c r="I20" s="149"/>
      <c r="J20" s="148"/>
      <c r="K20" s="62">
        <v>2022</v>
      </c>
      <c r="L20" s="164">
        <v>0.13120000000000001</v>
      </c>
      <c r="M20">
        <f t="shared" si="1"/>
        <v>1.1312</v>
      </c>
      <c r="N20" s="26"/>
      <c r="P20" s="103"/>
      <c r="Q20" s="77"/>
      <c r="T20" s="14"/>
    </row>
    <row r="21" spans="1:25" ht="15" customHeight="1" x14ac:dyDescent="0.25">
      <c r="E21" s="151"/>
      <c r="F21" s="173"/>
      <c r="G21" s="151"/>
      <c r="H21" s="151"/>
      <c r="I21" s="149"/>
      <c r="J21" s="148"/>
      <c r="K21" s="139" t="s">
        <v>104</v>
      </c>
      <c r="L21" s="144">
        <v>3.3700000000000001E-2</v>
      </c>
      <c r="M21">
        <f t="shared" si="1"/>
        <v>1.0337000000000001</v>
      </c>
      <c r="N21" s="26">
        <f>F8*(M18*M19*M20*M21)</f>
        <v>36675820.990300871</v>
      </c>
      <c r="O21" s="109">
        <f>ROUND((((N21*26)*1.19))+(N21*3),0)</f>
        <v>1244777364</v>
      </c>
      <c r="P21" s="103"/>
      <c r="Q21" s="77"/>
      <c r="T21" s="14"/>
    </row>
    <row r="22" spans="1:25" ht="15" customHeight="1" x14ac:dyDescent="0.25">
      <c r="E22" s="151"/>
      <c r="F22" s="151"/>
      <c r="G22" s="151"/>
      <c r="H22" s="151"/>
      <c r="I22" s="149"/>
      <c r="J22" s="148"/>
      <c r="L22" s="96"/>
      <c r="M22" s="75"/>
      <c r="N22" s="26"/>
      <c r="O22" s="103"/>
      <c r="P22" s="103"/>
    </row>
    <row r="23" spans="1:25" x14ac:dyDescent="0.25">
      <c r="E23" s="151"/>
      <c r="F23" s="151"/>
      <c r="G23" s="151"/>
      <c r="H23" s="151"/>
      <c r="I23" s="149"/>
      <c r="J23" s="148"/>
      <c r="K23" s="147" t="s">
        <v>86</v>
      </c>
      <c r="L23" s="142" t="s">
        <v>103</v>
      </c>
      <c r="M23" s="73"/>
      <c r="O23" s="78"/>
      <c r="S23" s="11"/>
      <c r="T23" s="97"/>
      <c r="U23" s="14"/>
      <c r="V23" s="13"/>
      <c r="W23" s="14"/>
      <c r="X23" s="32"/>
    </row>
    <row r="24" spans="1:25" x14ac:dyDescent="0.25">
      <c r="A24" s="151"/>
      <c r="B24" s="151"/>
      <c r="C24" s="151"/>
      <c r="D24" s="151"/>
      <c r="E24" s="151"/>
      <c r="F24" s="174">
        <f>C25/C19</f>
        <v>0.9068382836013047</v>
      </c>
      <c r="G24" s="151"/>
      <c r="H24" s="151"/>
      <c r="I24" s="149"/>
      <c r="J24" s="148"/>
      <c r="K24" s="146">
        <v>2018</v>
      </c>
      <c r="L24" s="143">
        <v>3.1800000000000002E-2</v>
      </c>
      <c r="M24">
        <f>(L24/100*100)+1</f>
        <v>1.0318000000000001</v>
      </c>
      <c r="P24" s="75"/>
    </row>
    <row r="25" spans="1:25" ht="19.5" customHeight="1" x14ac:dyDescent="0.25">
      <c r="A25" s="152"/>
      <c r="B25" s="152"/>
      <c r="C25" s="183">
        <v>1337917506</v>
      </c>
      <c r="D25" s="152"/>
      <c r="E25" s="152"/>
      <c r="F25" s="215">
        <f>100%-F24</f>
        <v>9.3161716398695305E-2</v>
      </c>
      <c r="G25" s="153"/>
      <c r="H25" s="153"/>
      <c r="I25" s="148"/>
      <c r="J25" s="148"/>
      <c r="K25" s="146">
        <v>2019</v>
      </c>
      <c r="L25" s="143">
        <v>3.7999999999999999E-2</v>
      </c>
      <c r="M25">
        <f t="shared" ref="M25:M29" si="2">(L25/100*100)+1</f>
        <v>1.038</v>
      </c>
      <c r="N25" s="102"/>
      <c r="O25" s="103"/>
      <c r="Q25" s="26"/>
    </row>
    <row r="26" spans="1:25" x14ac:dyDescent="0.25">
      <c r="A26" s="152"/>
      <c r="B26" s="152"/>
      <c r="C26" s="183">
        <v>1774027840</v>
      </c>
      <c r="D26" s="152"/>
      <c r="E26" s="152"/>
      <c r="F26" s="152"/>
      <c r="G26" s="153"/>
      <c r="H26" s="153"/>
      <c r="I26" s="148"/>
      <c r="J26" s="154"/>
      <c r="K26" s="146">
        <v>2020</v>
      </c>
      <c r="L26" s="143">
        <v>1.61E-2</v>
      </c>
      <c r="M26">
        <f t="shared" si="2"/>
        <v>1.0161</v>
      </c>
      <c r="N26" s="26"/>
      <c r="O26" s="103"/>
      <c r="R26" s="75"/>
      <c r="S26" s="75"/>
    </row>
    <row r="27" spans="1:25" x14ac:dyDescent="0.25">
      <c r="A27" s="152"/>
      <c r="B27" s="152"/>
      <c r="C27" s="152"/>
      <c r="D27" s="152"/>
      <c r="E27" s="152"/>
      <c r="F27" s="152"/>
      <c r="G27" s="153"/>
      <c r="H27" s="153"/>
      <c r="I27" s="148"/>
      <c r="J27" s="155"/>
      <c r="K27" s="146">
        <v>2021</v>
      </c>
      <c r="L27" s="143">
        <v>5.62E-2</v>
      </c>
      <c r="M27">
        <f t="shared" si="2"/>
        <v>1.0562</v>
      </c>
      <c r="N27" s="26"/>
      <c r="O27" s="103"/>
      <c r="Q27" s="79"/>
      <c r="R27" s="80"/>
      <c r="S27" s="81"/>
    </row>
    <row r="28" spans="1:25" x14ac:dyDescent="0.25">
      <c r="A28" s="152"/>
      <c r="B28" s="152"/>
      <c r="C28" s="152"/>
      <c r="D28" s="152"/>
      <c r="E28" s="152"/>
      <c r="F28" s="152"/>
      <c r="G28" s="153"/>
      <c r="H28" s="153"/>
      <c r="I28" s="148"/>
      <c r="J28" s="156"/>
      <c r="K28" s="62">
        <v>2022</v>
      </c>
      <c r="L28" s="164">
        <v>0.13120000000000001</v>
      </c>
      <c r="M28">
        <f t="shared" si="2"/>
        <v>1.1312</v>
      </c>
      <c r="N28" s="26"/>
      <c r="Q28" s="77"/>
      <c r="S28" s="75"/>
    </row>
    <row r="29" spans="1:25" x14ac:dyDescent="0.25">
      <c r="A29" s="152"/>
      <c r="B29" s="152"/>
      <c r="C29" s="152"/>
      <c r="D29" s="152"/>
      <c r="E29" s="152"/>
      <c r="F29" s="152"/>
      <c r="G29" s="153"/>
      <c r="H29" s="153"/>
      <c r="I29" s="148"/>
      <c r="J29" s="151"/>
      <c r="K29" s="139" t="s">
        <v>104</v>
      </c>
      <c r="L29" s="144">
        <v>3.3700000000000001E-2</v>
      </c>
      <c r="M29">
        <f t="shared" si="2"/>
        <v>1.0337000000000001</v>
      </c>
      <c r="N29" s="26">
        <f>F9*(M27*M28*M29)</f>
        <v>38941424.020457126</v>
      </c>
      <c r="O29" s="109">
        <f>ROUND((((N29*26)*1.19))+(N29*3),0)</f>
        <v>1321671931</v>
      </c>
      <c r="P29" s="79"/>
    </row>
    <row r="30" spans="1:25" x14ac:dyDescent="0.25">
      <c r="A30" s="152"/>
      <c r="B30" s="152"/>
      <c r="C30" s="152"/>
      <c r="D30" s="152"/>
      <c r="E30" s="152"/>
      <c r="F30" s="152"/>
      <c r="G30" s="153"/>
      <c r="H30" s="153"/>
      <c r="I30" s="148"/>
      <c r="J30" s="151"/>
      <c r="K30" s="108"/>
      <c r="L30" s="74"/>
      <c r="M30" s="140"/>
      <c r="N30" s="140"/>
      <c r="O30" s="140"/>
      <c r="R30" s="83"/>
    </row>
    <row r="31" spans="1:25" x14ac:dyDescent="0.25">
      <c r="A31" s="152"/>
      <c r="B31" s="152"/>
      <c r="C31" s="152"/>
      <c r="D31" s="152"/>
      <c r="E31" s="152"/>
      <c r="F31" s="152"/>
      <c r="G31" s="153"/>
      <c r="H31" s="153"/>
      <c r="I31" s="148"/>
      <c r="J31" s="157"/>
      <c r="K31" s="147" t="s">
        <v>86</v>
      </c>
      <c r="L31" s="142" t="s">
        <v>103</v>
      </c>
      <c r="M31" s="140"/>
      <c r="N31" s="140"/>
      <c r="O31" s="140"/>
    </row>
    <row r="32" spans="1:25" x14ac:dyDescent="0.25">
      <c r="A32" s="152"/>
      <c r="B32" s="152"/>
      <c r="C32" s="152"/>
      <c r="D32" s="152"/>
      <c r="E32" s="152"/>
      <c r="F32" s="158"/>
      <c r="G32" s="153"/>
      <c r="H32" s="153"/>
      <c r="I32" s="148"/>
      <c r="J32" s="151"/>
      <c r="K32" s="146">
        <v>2018</v>
      </c>
      <c r="L32" s="143">
        <v>3.1800000000000002E-2</v>
      </c>
      <c r="M32">
        <f>(L32/100*100)+1</f>
        <v>1.0318000000000001</v>
      </c>
    </row>
    <row r="33" spans="1:15" x14ac:dyDescent="0.25">
      <c r="A33" s="152"/>
      <c r="B33" s="152"/>
      <c r="C33" s="152"/>
      <c r="D33" s="152"/>
      <c r="E33" s="152"/>
      <c r="F33" s="158"/>
      <c r="G33" s="153"/>
      <c r="H33" s="153"/>
      <c r="I33" s="148"/>
      <c r="J33" s="151"/>
      <c r="K33" s="146">
        <v>2019</v>
      </c>
      <c r="L33" s="143">
        <v>3.7999999999999999E-2</v>
      </c>
      <c r="M33">
        <f t="shared" ref="M33:M37" si="3">(L33/100*100)+1</f>
        <v>1.038</v>
      </c>
      <c r="N33" s="102"/>
      <c r="O33" s="103"/>
    </row>
    <row r="34" spans="1:15" x14ac:dyDescent="0.25">
      <c r="A34" s="152"/>
      <c r="B34" s="152"/>
      <c r="C34" s="152"/>
      <c r="D34" s="152"/>
      <c r="E34" s="152"/>
      <c r="F34" s="158"/>
      <c r="G34" s="153"/>
      <c r="H34" s="153"/>
      <c r="I34" s="148"/>
      <c r="J34" s="155"/>
      <c r="K34" s="146">
        <v>2020</v>
      </c>
      <c r="L34" s="143">
        <v>1.61E-2</v>
      </c>
      <c r="M34">
        <f t="shared" si="3"/>
        <v>1.0161</v>
      </c>
      <c r="N34" s="26"/>
      <c r="O34" s="103"/>
    </row>
    <row r="35" spans="1:15" x14ac:dyDescent="0.25">
      <c r="A35" s="152"/>
      <c r="B35" s="152"/>
      <c r="C35" s="152"/>
      <c r="D35" s="152"/>
      <c r="E35" s="152"/>
      <c r="F35" s="158"/>
      <c r="G35" s="153"/>
      <c r="H35" s="153"/>
      <c r="I35" s="148"/>
      <c r="J35" s="156"/>
      <c r="K35" s="146">
        <v>2021</v>
      </c>
      <c r="L35" s="143">
        <v>5.62E-2</v>
      </c>
      <c r="M35">
        <f t="shared" si="3"/>
        <v>1.0562</v>
      </c>
      <c r="N35" s="26"/>
      <c r="O35" s="103"/>
    </row>
    <row r="36" spans="1:15" x14ac:dyDescent="0.25">
      <c r="A36" s="152"/>
      <c r="B36" s="152"/>
      <c r="C36" s="152"/>
      <c r="D36" s="152"/>
      <c r="E36" s="152"/>
      <c r="F36" s="158"/>
      <c r="G36" s="153"/>
      <c r="H36" s="153"/>
      <c r="I36" s="148"/>
      <c r="J36" s="151"/>
      <c r="K36" s="62">
        <v>2022</v>
      </c>
      <c r="L36" s="164">
        <v>0.13120000000000001</v>
      </c>
      <c r="M36">
        <f t="shared" si="3"/>
        <v>1.1312</v>
      </c>
      <c r="N36" s="26"/>
    </row>
    <row r="37" spans="1:15" x14ac:dyDescent="0.25">
      <c r="A37" s="150"/>
      <c r="B37" s="150"/>
      <c r="C37" s="150"/>
      <c r="D37" s="150"/>
      <c r="E37" s="150"/>
      <c r="F37" s="150"/>
      <c r="G37" s="148"/>
      <c r="H37" s="148"/>
      <c r="I37" s="148"/>
      <c r="J37" s="151"/>
      <c r="K37" s="139" t="s">
        <v>104</v>
      </c>
      <c r="L37" s="144">
        <v>3.3700000000000001E-2</v>
      </c>
      <c r="M37">
        <f t="shared" si="3"/>
        <v>1.0337000000000001</v>
      </c>
      <c r="N37" s="26">
        <f>F10*(M36*M37)</f>
        <v>36615566.789904483</v>
      </c>
      <c r="O37" s="109">
        <f>ROUND((((N37*27)*1.19))+(N37*3),0)</f>
        <v>1286304861</v>
      </c>
    </row>
    <row r="38" spans="1:15" x14ac:dyDescent="0.25">
      <c r="A38" s="150"/>
      <c r="B38" s="150"/>
      <c r="C38" s="150"/>
      <c r="D38" s="150"/>
      <c r="E38" s="150"/>
      <c r="F38" s="150"/>
      <c r="G38" s="148"/>
      <c r="H38" s="148"/>
      <c r="I38" s="148"/>
      <c r="J38" s="157"/>
      <c r="K38" s="84"/>
      <c r="L38" s="74"/>
      <c r="M38" s="74"/>
      <c r="N38" s="74"/>
      <c r="O38" s="76"/>
    </row>
    <row r="39" spans="1:15" x14ac:dyDescent="0.25">
      <c r="A39" s="159"/>
      <c r="B39" s="159"/>
      <c r="C39" s="159"/>
      <c r="D39" s="159"/>
      <c r="E39" s="159"/>
      <c r="F39" s="159"/>
      <c r="G39" s="148"/>
      <c r="H39" s="148"/>
      <c r="I39" s="148"/>
      <c r="J39" s="151"/>
      <c r="K39" s="74"/>
      <c r="L39" s="74"/>
      <c r="M39" s="74"/>
      <c r="N39" s="74"/>
      <c r="O39" s="145"/>
    </row>
    <row r="40" spans="1:15" ht="15" customHeight="1" x14ac:dyDescent="0.25">
      <c r="A40" s="160"/>
      <c r="B40" s="160"/>
      <c r="C40" s="160"/>
      <c r="D40" s="160"/>
      <c r="E40" s="160"/>
      <c r="F40" s="160"/>
      <c r="G40" s="148"/>
      <c r="H40" s="148"/>
      <c r="I40" s="148"/>
      <c r="J40" s="151"/>
      <c r="K40" s="147" t="s">
        <v>86</v>
      </c>
      <c r="L40" s="142" t="s">
        <v>103</v>
      </c>
      <c r="M40" s="140"/>
      <c r="N40" s="140"/>
      <c r="O40" s="140"/>
    </row>
    <row r="41" spans="1:15" x14ac:dyDescent="0.25">
      <c r="A41" s="161"/>
      <c r="B41" s="161"/>
      <c r="C41" s="161"/>
      <c r="D41" s="161"/>
      <c r="E41" s="161"/>
      <c r="F41" s="161"/>
      <c r="G41" s="148"/>
      <c r="H41" s="148"/>
      <c r="I41" s="148"/>
      <c r="J41" s="155"/>
      <c r="K41" s="146">
        <v>2018</v>
      </c>
      <c r="L41" s="143">
        <v>3.1800000000000002E-2</v>
      </c>
      <c r="M41">
        <f>(L41/100*100)+1</f>
        <v>1.0318000000000001</v>
      </c>
    </row>
    <row r="42" spans="1:15" ht="15" customHeight="1" x14ac:dyDescent="0.25">
      <c r="A42" s="150"/>
      <c r="B42" s="150"/>
      <c r="C42" s="150"/>
      <c r="D42" s="150"/>
      <c r="E42" s="150"/>
      <c r="F42" s="150"/>
      <c r="G42" s="148"/>
      <c r="H42" s="148"/>
      <c r="I42" s="148"/>
      <c r="J42" s="156"/>
      <c r="K42" s="146">
        <v>2019</v>
      </c>
      <c r="L42" s="143">
        <v>3.7999999999999999E-2</v>
      </c>
      <c r="M42">
        <f t="shared" ref="M42:M46" si="4">(L42/100*100)+1</f>
        <v>1.038</v>
      </c>
      <c r="N42" s="102"/>
      <c r="O42" s="103"/>
    </row>
    <row r="43" spans="1:15" ht="28.5" customHeight="1" x14ac:dyDescent="0.25">
      <c r="A43" s="148"/>
      <c r="B43" s="148"/>
      <c r="C43" s="148"/>
      <c r="D43" s="148"/>
      <c r="E43" s="148"/>
      <c r="F43" s="148"/>
      <c r="G43" s="148"/>
      <c r="H43" s="148"/>
      <c r="I43" s="148"/>
      <c r="J43" s="151"/>
      <c r="K43" s="146">
        <v>2020</v>
      </c>
      <c r="L43" s="143">
        <v>1.61E-2</v>
      </c>
      <c r="M43">
        <f t="shared" si="4"/>
        <v>1.0161</v>
      </c>
      <c r="N43" s="26"/>
      <c r="O43" s="103"/>
    </row>
    <row r="44" spans="1:15" x14ac:dyDescent="0.25">
      <c r="A44" s="148"/>
      <c r="B44" s="148"/>
      <c r="C44" s="148"/>
      <c r="D44" s="148"/>
      <c r="E44" s="148"/>
      <c r="F44" s="148"/>
      <c r="G44" s="148"/>
      <c r="H44" s="148"/>
      <c r="I44" s="148"/>
      <c r="J44" s="151"/>
      <c r="K44" s="146">
        <v>2021</v>
      </c>
      <c r="L44" s="143">
        <v>5.62E-2</v>
      </c>
      <c r="M44">
        <f t="shared" si="4"/>
        <v>1.0562</v>
      </c>
      <c r="N44" s="26"/>
      <c r="O44" s="103"/>
    </row>
    <row r="45" spans="1:15" x14ac:dyDescent="0.25">
      <c r="A45" s="148"/>
      <c r="B45" s="148"/>
      <c r="C45" s="148"/>
      <c r="D45" s="148"/>
      <c r="E45" s="148"/>
      <c r="F45" s="148"/>
      <c r="G45" s="148"/>
      <c r="H45" s="148"/>
      <c r="I45" s="148"/>
      <c r="J45" s="157"/>
      <c r="K45" s="62">
        <v>2022</v>
      </c>
      <c r="L45" s="164">
        <v>0.13120000000000001</v>
      </c>
      <c r="M45">
        <f t="shared" si="4"/>
        <v>1.1312</v>
      </c>
      <c r="N45" s="26"/>
    </row>
    <row r="46" spans="1:15" x14ac:dyDescent="0.25">
      <c r="A46" s="148"/>
      <c r="B46" s="148"/>
      <c r="C46" s="148"/>
      <c r="D46" s="148"/>
      <c r="E46" s="148"/>
      <c r="F46" s="148"/>
      <c r="G46" s="148"/>
      <c r="H46" s="148"/>
      <c r="I46" s="148"/>
      <c r="J46" s="100"/>
      <c r="K46" s="139" t="s">
        <v>104</v>
      </c>
      <c r="L46" s="144">
        <v>3.3700000000000001E-2</v>
      </c>
      <c r="M46">
        <f t="shared" si="4"/>
        <v>1.0337000000000001</v>
      </c>
      <c r="N46" s="26">
        <f>F11*(M46)</f>
        <v>44934733.293700002</v>
      </c>
      <c r="O46" s="109">
        <f>ROUND((((N46*27)*1.19))+(N46*3),0)</f>
        <v>1578557181</v>
      </c>
    </row>
    <row r="47" spans="1:15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151"/>
      <c r="K47" s="74"/>
      <c r="L47" s="86"/>
      <c r="M47" s="74"/>
      <c r="N47" s="84"/>
      <c r="O47" s="87"/>
    </row>
    <row r="48" spans="1:15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55"/>
      <c r="L48" s="86"/>
      <c r="M48" s="86"/>
      <c r="N48" s="86"/>
      <c r="O48" s="87"/>
    </row>
    <row r="49" spans="1:15" x14ac:dyDescent="0.25">
      <c r="A49" s="148"/>
      <c r="B49" s="148"/>
      <c r="C49" s="148"/>
      <c r="D49" s="148"/>
      <c r="E49" s="148"/>
      <c r="F49" s="148"/>
      <c r="G49" s="148"/>
      <c r="H49" s="148"/>
      <c r="I49" s="148"/>
      <c r="J49" s="156"/>
      <c r="L49" s="86"/>
      <c r="M49" s="85"/>
      <c r="N49" s="85"/>
      <c r="O49" s="87"/>
    </row>
    <row r="50" spans="1:15" x14ac:dyDescent="0.25">
      <c r="A50" s="148"/>
      <c r="B50" s="148"/>
      <c r="C50" s="148"/>
      <c r="D50" s="148"/>
      <c r="E50" s="148"/>
      <c r="F50" s="148"/>
      <c r="G50" s="148"/>
      <c r="H50" s="148"/>
      <c r="I50" s="148"/>
      <c r="J50" s="151"/>
      <c r="L50" s="136"/>
      <c r="M50" s="85"/>
      <c r="N50" s="88"/>
    </row>
    <row r="51" spans="1:15" x14ac:dyDescent="0.25">
      <c r="A51" s="148"/>
      <c r="B51" s="148"/>
      <c r="C51" s="148"/>
      <c r="D51" s="148"/>
      <c r="E51" s="148"/>
      <c r="F51" s="148"/>
      <c r="G51" s="148"/>
      <c r="H51" s="148"/>
      <c r="I51" s="148"/>
      <c r="J51" s="151"/>
      <c r="L51" s="136"/>
      <c r="M51" s="85"/>
      <c r="N51" s="88"/>
    </row>
    <row r="52" spans="1:15" x14ac:dyDescent="0.25">
      <c r="A52" s="148"/>
      <c r="B52" s="148"/>
      <c r="C52" s="148"/>
      <c r="D52" s="148"/>
      <c r="E52" s="148"/>
      <c r="F52" s="148"/>
      <c r="G52" s="148"/>
      <c r="H52" s="148"/>
      <c r="I52" s="148"/>
      <c r="J52" s="157"/>
      <c r="L52" s="136"/>
      <c r="M52" s="74"/>
      <c r="N52" s="74"/>
    </row>
    <row r="53" spans="1:15" x14ac:dyDescent="0.25">
      <c r="A53" s="148"/>
      <c r="B53" s="148"/>
      <c r="C53" s="148"/>
      <c r="D53" s="148"/>
      <c r="E53" s="148"/>
      <c r="F53" s="148"/>
      <c r="G53" s="148"/>
      <c r="H53" s="148"/>
      <c r="I53" s="148"/>
      <c r="J53" s="148"/>
      <c r="L53" s="136"/>
      <c r="M53" s="74"/>
      <c r="N53" s="74"/>
    </row>
    <row r="54" spans="1:15" x14ac:dyDescent="0.25">
      <c r="A54" s="148"/>
      <c r="B54" s="148"/>
      <c r="C54" s="148"/>
      <c r="D54" s="148"/>
      <c r="E54" s="148"/>
      <c r="F54" s="148"/>
      <c r="G54" s="148"/>
      <c r="H54" s="148"/>
      <c r="I54" s="148"/>
      <c r="J54" s="151"/>
      <c r="K54" s="89"/>
      <c r="L54" s="136"/>
      <c r="M54" s="74"/>
      <c r="N54" s="84"/>
    </row>
    <row r="55" spans="1:15" x14ac:dyDescent="0.25">
      <c r="L55" s="90"/>
      <c r="M55" s="90"/>
      <c r="N55" s="90"/>
      <c r="O55" s="90"/>
    </row>
    <row r="56" spans="1:15" x14ac:dyDescent="0.25">
      <c r="L56" s="90"/>
      <c r="M56" s="74"/>
      <c r="N56" s="74"/>
    </row>
    <row r="57" spans="1:15" x14ac:dyDescent="0.25">
      <c r="L57" s="90"/>
      <c r="M57" s="74"/>
      <c r="N57" s="82"/>
    </row>
    <row r="58" spans="1:15" x14ac:dyDescent="0.25">
      <c r="L58" s="90"/>
      <c r="M58" s="74"/>
      <c r="N58" s="74"/>
    </row>
    <row r="59" spans="1:15" x14ac:dyDescent="0.25">
      <c r="L59" s="90"/>
      <c r="M59" s="74"/>
      <c r="N59" s="74"/>
    </row>
    <row r="60" spans="1:15" x14ac:dyDescent="0.25">
      <c r="J60" s="90"/>
      <c r="K60" s="90"/>
      <c r="L60" s="90"/>
      <c r="M60" s="74"/>
      <c r="N60" s="84"/>
    </row>
    <row r="61" spans="1:15" x14ac:dyDescent="0.25">
      <c r="J61" s="90"/>
      <c r="K61" s="90"/>
      <c r="L61" s="90"/>
      <c r="M61" s="136"/>
      <c r="N61" s="136"/>
    </row>
    <row r="62" spans="1:15" x14ac:dyDescent="0.25">
      <c r="J62" s="89"/>
      <c r="K62" s="89"/>
      <c r="M62" s="91" t="s">
        <v>90</v>
      </c>
      <c r="N62" s="76"/>
    </row>
    <row r="63" spans="1:15" x14ac:dyDescent="0.25">
      <c r="J63" s="89"/>
      <c r="K63" s="89"/>
      <c r="M63" s="92">
        <f>+J41+L55</f>
        <v>0</v>
      </c>
      <c r="N63" s="26"/>
    </row>
    <row r="64" spans="1:15" x14ac:dyDescent="0.25">
      <c r="J64" s="26"/>
      <c r="K64" s="26"/>
      <c r="M64" s="92">
        <f>+J42+L56</f>
        <v>0</v>
      </c>
      <c r="N64" s="26"/>
    </row>
    <row r="65" spans="12:19" x14ac:dyDescent="0.25">
      <c r="L65" s="26"/>
      <c r="M65" s="92">
        <f>+J43+L57</f>
        <v>0</v>
      </c>
      <c r="N65" s="26"/>
    </row>
    <row r="66" spans="12:19" x14ac:dyDescent="0.25">
      <c r="M66" s="92">
        <f>+J44+L58</f>
        <v>0</v>
      </c>
      <c r="N66" s="26"/>
    </row>
    <row r="67" spans="12:19" x14ac:dyDescent="0.25">
      <c r="L67" s="26"/>
      <c r="M67" s="92">
        <f>+J45+L59</f>
        <v>0</v>
      </c>
      <c r="N67" s="84"/>
    </row>
    <row r="68" spans="12:19" x14ac:dyDescent="0.25">
      <c r="M68" s="93"/>
      <c r="N68" s="90"/>
      <c r="O68" s="77"/>
      <c r="P68" s="77"/>
      <c r="Q68" s="77"/>
    </row>
    <row r="69" spans="12:19" x14ac:dyDescent="0.25">
      <c r="M69" s="84"/>
      <c r="N69" s="84"/>
    </row>
    <row r="70" spans="12:19" x14ac:dyDescent="0.25">
      <c r="M70" s="74"/>
      <c r="N70" s="74"/>
    </row>
    <row r="71" spans="12:19" x14ac:dyDescent="0.25">
      <c r="M71" s="74"/>
      <c r="N71" s="74"/>
    </row>
    <row r="72" spans="12:19" x14ac:dyDescent="0.25">
      <c r="M72" s="94"/>
      <c r="N72" s="84"/>
      <c r="R72" s="69"/>
      <c r="S72" s="69"/>
    </row>
    <row r="73" spans="12:19" x14ac:dyDescent="0.25">
      <c r="S73" s="77"/>
    </row>
    <row r="74" spans="12:19" x14ac:dyDescent="0.25">
      <c r="S74" s="77"/>
    </row>
    <row r="75" spans="12:19" x14ac:dyDescent="0.25">
      <c r="M75" s="221"/>
      <c r="N75" s="221"/>
      <c r="O75" s="77"/>
      <c r="P75" s="77"/>
      <c r="S75" s="77"/>
    </row>
    <row r="76" spans="12:19" x14ac:dyDescent="0.25">
      <c r="N76" s="95"/>
      <c r="O76" s="77"/>
      <c r="P76" s="77"/>
      <c r="R76" s="69"/>
      <c r="S76" s="77"/>
    </row>
    <row r="77" spans="12:19" x14ac:dyDescent="0.25">
      <c r="O77" s="77"/>
      <c r="P77" s="77"/>
    </row>
    <row r="78" spans="12:19" x14ac:dyDescent="0.25">
      <c r="N78" s="77"/>
    </row>
    <row r="79" spans="12:19" x14ac:dyDescent="0.25">
      <c r="N79" s="77"/>
    </row>
    <row r="80" spans="12:19" x14ac:dyDescent="0.25">
      <c r="N80" s="77"/>
    </row>
  </sheetData>
  <mergeCells count="5">
    <mergeCell ref="B3:H3"/>
    <mergeCell ref="B2:H2"/>
    <mergeCell ref="M75:N75"/>
    <mergeCell ref="B5:H5"/>
    <mergeCell ref="E15:F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AE242-BE3F-4E29-948E-8FD943623150}">
  <dimension ref="B1:L40"/>
  <sheetViews>
    <sheetView zoomScale="80" zoomScaleNormal="80" workbookViewId="0">
      <selection activeCell="L28" sqref="L28"/>
    </sheetView>
  </sheetViews>
  <sheetFormatPr baseColWidth="10" defaultRowHeight="15" x14ac:dyDescent="0.25"/>
  <cols>
    <col min="1" max="1" width="4.85546875" customWidth="1"/>
    <col min="2" max="2" width="6.42578125" customWidth="1"/>
    <col min="3" max="3" width="13.42578125" customWidth="1"/>
    <col min="4" max="4" width="23.5703125" customWidth="1"/>
    <col min="5" max="5" width="20.140625" customWidth="1"/>
    <col min="6" max="6" width="20" customWidth="1"/>
    <col min="7" max="7" width="18.28515625" bestFit="1" customWidth="1"/>
    <col min="8" max="8" width="19.28515625" bestFit="1" customWidth="1"/>
    <col min="9" max="9" width="13.85546875" customWidth="1"/>
    <col min="12" max="12" width="19.28515625" bestFit="1" customWidth="1"/>
  </cols>
  <sheetData>
    <row r="1" spans="2:12" x14ac:dyDescent="0.25">
      <c r="C1" t="s">
        <v>82</v>
      </c>
    </row>
    <row r="2" spans="2:12" ht="15.75" thickBot="1" x14ac:dyDescent="0.3"/>
    <row r="3" spans="2:12" ht="24.75" thickBot="1" x14ac:dyDescent="0.3">
      <c r="B3" s="2" t="s">
        <v>2</v>
      </c>
      <c r="C3" s="15" t="s">
        <v>0</v>
      </c>
      <c r="D3" s="8" t="s">
        <v>113</v>
      </c>
      <c r="E3" s="8" t="s">
        <v>114</v>
      </c>
      <c r="F3" s="8" t="s">
        <v>115</v>
      </c>
      <c r="G3" s="8"/>
      <c r="H3" s="16"/>
      <c r="K3" s="10"/>
      <c r="L3" s="10"/>
    </row>
    <row r="4" spans="2:12" x14ac:dyDescent="0.25">
      <c r="B4" s="55">
        <v>1</v>
      </c>
      <c r="C4" s="6" t="s">
        <v>77</v>
      </c>
      <c r="D4" s="1">
        <v>1388965200</v>
      </c>
      <c r="E4" s="1">
        <v>995838450</v>
      </c>
      <c r="F4" s="1">
        <v>422850000</v>
      </c>
      <c r="G4" s="4"/>
      <c r="H4" s="5"/>
      <c r="K4" s="12"/>
      <c r="L4" s="46"/>
    </row>
    <row r="5" spans="2:12" x14ac:dyDescent="0.25">
      <c r="B5" s="48">
        <f>B4+1</f>
        <v>2</v>
      </c>
      <c r="C5" s="6" t="s">
        <v>109</v>
      </c>
      <c r="D5" s="1">
        <v>618150325</v>
      </c>
      <c r="E5" s="1">
        <v>450976123</v>
      </c>
      <c r="F5" s="33">
        <v>450976123</v>
      </c>
      <c r="G5" s="4"/>
      <c r="H5" s="49"/>
      <c r="K5" s="12"/>
      <c r="L5" s="46"/>
    </row>
    <row r="6" spans="2:12" x14ac:dyDescent="0.25">
      <c r="B6" s="48">
        <f t="shared" ref="B6:B10" si="0">B5+1</f>
        <v>3</v>
      </c>
      <c r="C6" s="6" t="s">
        <v>99</v>
      </c>
      <c r="D6" s="1">
        <v>571000000</v>
      </c>
      <c r="E6" s="1">
        <v>571000000</v>
      </c>
      <c r="F6" s="194">
        <v>322000000</v>
      </c>
      <c r="G6" s="1"/>
      <c r="H6" s="49"/>
      <c r="K6" s="12"/>
      <c r="L6" s="46"/>
    </row>
    <row r="7" spans="2:12" ht="15.75" thickBot="1" x14ac:dyDescent="0.3">
      <c r="B7" s="48">
        <f t="shared" si="0"/>
        <v>4</v>
      </c>
      <c r="C7" s="51" t="s">
        <v>110</v>
      </c>
      <c r="D7" s="52">
        <v>528350000</v>
      </c>
      <c r="E7" s="52">
        <v>528350000</v>
      </c>
      <c r="F7" s="53">
        <v>477210000</v>
      </c>
      <c r="G7" s="1"/>
      <c r="H7" s="49"/>
      <c r="K7" s="12"/>
      <c r="L7" s="46"/>
    </row>
    <row r="8" spans="2:12" x14ac:dyDescent="0.25">
      <c r="B8" s="48">
        <f t="shared" si="0"/>
        <v>5</v>
      </c>
      <c r="C8" s="3" t="s">
        <v>111</v>
      </c>
      <c r="D8" s="44">
        <v>566733985</v>
      </c>
      <c r="E8" s="44">
        <v>566733985</v>
      </c>
      <c r="F8" s="4">
        <v>392935563</v>
      </c>
      <c r="G8" s="33"/>
      <c r="H8" s="7"/>
      <c r="K8" s="12"/>
      <c r="L8" s="46"/>
    </row>
    <row r="9" spans="2:12" x14ac:dyDescent="0.25">
      <c r="B9" s="48">
        <f t="shared" si="0"/>
        <v>6</v>
      </c>
      <c r="C9" s="6" t="s">
        <v>78</v>
      </c>
      <c r="D9" s="1">
        <v>986300000</v>
      </c>
      <c r="E9" s="1">
        <v>986300000</v>
      </c>
      <c r="F9" s="1">
        <v>98000000</v>
      </c>
      <c r="G9" s="1"/>
      <c r="H9" s="49"/>
      <c r="K9" s="12"/>
      <c r="L9" s="46"/>
    </row>
    <row r="10" spans="2:12" ht="15.75" thickBot="1" x14ac:dyDescent="0.3">
      <c r="B10" s="48">
        <f t="shared" si="0"/>
        <v>7</v>
      </c>
      <c r="C10" s="169" t="s">
        <v>112</v>
      </c>
      <c r="D10" s="170">
        <v>538150062</v>
      </c>
      <c r="E10" s="170">
        <v>538150062</v>
      </c>
      <c r="F10" s="170">
        <v>461271482</v>
      </c>
      <c r="G10" s="1"/>
      <c r="H10" s="49"/>
      <c r="K10" s="12"/>
      <c r="L10" s="46"/>
    </row>
    <row r="11" spans="2:12" hidden="1" x14ac:dyDescent="0.25">
      <c r="B11" s="125">
        <v>8</v>
      </c>
      <c r="C11" s="6"/>
      <c r="D11" s="1"/>
      <c r="E11" s="1"/>
      <c r="F11" s="1"/>
      <c r="G11" s="1"/>
      <c r="H11" s="49"/>
      <c r="K11" s="12"/>
      <c r="L11" s="46"/>
    </row>
    <row r="12" spans="2:12" ht="15.75" hidden="1" thickBot="1" x14ac:dyDescent="0.3">
      <c r="B12" s="50">
        <v>9</v>
      </c>
      <c r="C12" s="51"/>
      <c r="D12" s="53"/>
      <c r="E12" s="53"/>
      <c r="F12" s="53"/>
      <c r="G12" s="53"/>
      <c r="H12" s="54"/>
      <c r="K12" s="12"/>
      <c r="L12" s="46"/>
    </row>
    <row r="13" spans="2:12" ht="23.25" customHeight="1" thickBot="1" x14ac:dyDescent="0.3">
      <c r="C13" s="2" t="s">
        <v>79</v>
      </c>
      <c r="D13" s="9">
        <f>AVERAGE(D4:D12)</f>
        <v>742521367.42857146</v>
      </c>
      <c r="E13" s="9">
        <f>AVERAGE(E4:E12)</f>
        <v>662478374.28571427</v>
      </c>
      <c r="F13" s="9">
        <f>AVERAGE(F4:F12)</f>
        <v>375034738.28571427</v>
      </c>
      <c r="G13" s="9"/>
      <c r="H13" s="9" t="e">
        <f>AVERAGE(H4:H12)</f>
        <v>#DIV/0!</v>
      </c>
    </row>
    <row r="14" spans="2:12" ht="23.25" thickBot="1" x14ac:dyDescent="0.3">
      <c r="C14" s="2" t="s">
        <v>1</v>
      </c>
      <c r="D14" s="9">
        <f>_xlfn.STDEV.P(D4:D12)</f>
        <v>302547185.21656388</v>
      </c>
      <c r="E14" s="9">
        <f>_xlfn.STDEV.P(E4:E12)</f>
        <v>211019910.61285341</v>
      </c>
      <c r="F14" s="9">
        <f>_xlfn.STDEV.P(F4:F12)</f>
        <v>122946749.47511391</v>
      </c>
      <c r="G14" s="9"/>
      <c r="H14" s="9" t="e">
        <f t="shared" ref="H14" si="1">_xlfn.STDEV.P(H4:H12)</f>
        <v>#DIV/0!</v>
      </c>
    </row>
    <row r="15" spans="2:12" x14ac:dyDescent="0.25">
      <c r="D15" s="183"/>
    </row>
    <row r="16" spans="2:12" ht="15.75" thickBot="1" x14ac:dyDescent="0.3"/>
    <row r="17" spans="2:8" ht="21.75" customHeight="1" x14ac:dyDescent="0.25">
      <c r="C17" s="47" t="s">
        <v>81</v>
      </c>
      <c r="D17" s="56">
        <f>D13+D14</f>
        <v>1045068552.6451354</v>
      </c>
      <c r="E17" s="56">
        <f t="shared" ref="E17:H17" si="2">E13+E14</f>
        <v>873498284.89856768</v>
      </c>
      <c r="F17" s="56">
        <f>F13+F14</f>
        <v>497981487.7608282</v>
      </c>
      <c r="G17" s="56">
        <f t="shared" si="2"/>
        <v>0</v>
      </c>
      <c r="H17" s="56" t="e">
        <f t="shared" si="2"/>
        <v>#DIV/0!</v>
      </c>
    </row>
    <row r="18" spans="2:8" ht="26.25" customHeight="1" thickBot="1" x14ac:dyDescent="0.3">
      <c r="C18" s="57" t="s">
        <v>84</v>
      </c>
      <c r="D18" s="58">
        <f>D13-D14</f>
        <v>439974182.21200758</v>
      </c>
      <c r="E18" s="58">
        <f t="shared" ref="E18:H18" si="3">E13-E14</f>
        <v>451458463.67286086</v>
      </c>
      <c r="F18" s="58">
        <f>F13-F14</f>
        <v>252087988.81060034</v>
      </c>
      <c r="G18" s="58">
        <f t="shared" si="3"/>
        <v>0</v>
      </c>
      <c r="H18" s="58" t="e">
        <f t="shared" si="3"/>
        <v>#DIV/0!</v>
      </c>
    </row>
    <row r="20" spans="2:8" x14ac:dyDescent="0.25">
      <c r="C20" t="s">
        <v>100</v>
      </c>
    </row>
    <row r="21" spans="2:8" ht="15.75" thickBot="1" x14ac:dyDescent="0.3"/>
    <row r="22" spans="2:8" ht="24.75" thickBot="1" x14ac:dyDescent="0.3">
      <c r="B22" s="2" t="s">
        <v>2</v>
      </c>
      <c r="C22" s="15" t="s">
        <v>0</v>
      </c>
      <c r="D22" s="8" t="s">
        <v>113</v>
      </c>
      <c r="E22" s="8" t="s">
        <v>114</v>
      </c>
      <c r="F22" s="8" t="s">
        <v>115</v>
      </c>
      <c r="G22" s="8"/>
      <c r="H22" s="16"/>
    </row>
    <row r="23" spans="2:8" x14ac:dyDescent="0.25">
      <c r="B23" s="55">
        <v>1</v>
      </c>
      <c r="C23" s="6" t="s">
        <v>77</v>
      </c>
      <c r="D23" s="175"/>
      <c r="E23" s="175"/>
      <c r="F23" s="1">
        <v>422850000</v>
      </c>
      <c r="G23" s="1"/>
      <c r="H23" s="7"/>
    </row>
    <row r="24" spans="2:8" x14ac:dyDescent="0.25">
      <c r="B24" s="48">
        <f>B23+1</f>
        <v>2</v>
      </c>
      <c r="C24" s="6" t="s">
        <v>109</v>
      </c>
      <c r="D24" s="1">
        <v>618150325</v>
      </c>
      <c r="E24" s="1">
        <v>450976123</v>
      </c>
      <c r="F24" s="33">
        <v>450976123</v>
      </c>
      <c r="G24" s="1"/>
      <c r="H24" s="49"/>
    </row>
    <row r="25" spans="2:8" x14ac:dyDescent="0.25">
      <c r="B25" s="48">
        <f t="shared" ref="B25:B29" si="4">B24+1</f>
        <v>3</v>
      </c>
      <c r="C25" s="6" t="s">
        <v>99</v>
      </c>
      <c r="D25" s="1">
        <v>571000000</v>
      </c>
      <c r="E25" s="1">
        <v>571000000</v>
      </c>
      <c r="F25" s="1">
        <v>322000000</v>
      </c>
      <c r="G25" s="1"/>
      <c r="H25" s="49"/>
    </row>
    <row r="26" spans="2:8" ht="15.75" thickBot="1" x14ac:dyDescent="0.3">
      <c r="B26" s="48">
        <f t="shared" si="4"/>
        <v>4</v>
      </c>
      <c r="C26" s="51" t="s">
        <v>110</v>
      </c>
      <c r="D26" s="52">
        <v>528350000</v>
      </c>
      <c r="E26" s="52">
        <v>528350000</v>
      </c>
      <c r="F26" s="53">
        <v>477210000</v>
      </c>
      <c r="G26" s="53"/>
      <c r="H26" s="54"/>
    </row>
    <row r="27" spans="2:8" x14ac:dyDescent="0.25">
      <c r="B27" s="48">
        <f t="shared" si="4"/>
        <v>5</v>
      </c>
      <c r="C27" s="3" t="s">
        <v>111</v>
      </c>
      <c r="D27" s="44">
        <v>566733985</v>
      </c>
      <c r="E27" s="44">
        <v>566733985</v>
      </c>
      <c r="F27" s="4">
        <v>392935563</v>
      </c>
      <c r="G27" s="44"/>
      <c r="H27" s="5"/>
    </row>
    <row r="28" spans="2:8" x14ac:dyDescent="0.25">
      <c r="B28" s="48">
        <f t="shared" si="4"/>
        <v>6</v>
      </c>
      <c r="C28" s="6" t="s">
        <v>78</v>
      </c>
      <c r="D28" s="175"/>
      <c r="E28" s="175"/>
      <c r="F28" s="175"/>
      <c r="G28" s="1"/>
      <c r="H28" s="49"/>
    </row>
    <row r="29" spans="2:8" ht="15.75" thickBot="1" x14ac:dyDescent="0.3">
      <c r="B29" s="48">
        <f t="shared" si="4"/>
        <v>7</v>
      </c>
      <c r="C29" s="169" t="s">
        <v>112</v>
      </c>
      <c r="D29" s="170">
        <v>538150062</v>
      </c>
      <c r="E29" s="170">
        <v>538150062</v>
      </c>
      <c r="F29" s="170">
        <v>461271482</v>
      </c>
      <c r="G29" s="1"/>
      <c r="H29" s="7"/>
    </row>
    <row r="30" spans="2:8" hidden="1" x14ac:dyDescent="0.25">
      <c r="B30" s="125">
        <v>8</v>
      </c>
      <c r="C30" s="6"/>
      <c r="D30" s="1"/>
      <c r="E30" s="1"/>
      <c r="F30" s="1"/>
      <c r="G30" s="1"/>
      <c r="H30" s="49"/>
    </row>
    <row r="31" spans="2:8" ht="15.75" hidden="1" thickBot="1" x14ac:dyDescent="0.3">
      <c r="B31" s="50">
        <v>9</v>
      </c>
      <c r="C31" s="126"/>
      <c r="D31" s="127"/>
      <c r="E31" s="127"/>
      <c r="F31" s="127"/>
      <c r="G31" s="127"/>
      <c r="H31" s="128"/>
    </row>
    <row r="32" spans="2:8" ht="15.75" thickBot="1" x14ac:dyDescent="0.3">
      <c r="C32" s="2" t="s">
        <v>79</v>
      </c>
      <c r="D32" s="9">
        <f>AVERAGE(D23:D31)</f>
        <v>564476874.39999998</v>
      </c>
      <c r="E32" s="9">
        <f>AVERAGE(E23:E31)</f>
        <v>531042034</v>
      </c>
      <c r="F32" s="9">
        <f>AVERAGE(F23:F31)</f>
        <v>421207194.66666669</v>
      </c>
      <c r="G32" s="9" t="e">
        <f>AVERAGE(G23:G31)</f>
        <v>#DIV/0!</v>
      </c>
      <c r="H32" s="9" t="e">
        <f>AVERAGE(H23:H31)</f>
        <v>#DIV/0!</v>
      </c>
    </row>
    <row r="33" spans="3:8" ht="23.25" thickBot="1" x14ac:dyDescent="0.3">
      <c r="C33" s="2" t="s">
        <v>1</v>
      </c>
      <c r="D33" s="9">
        <f>_xlfn.STDEV.P(D23:D31)</f>
        <v>31390244.090235479</v>
      </c>
      <c r="E33" s="9">
        <f>_xlfn.STDEV.P(E23:E31)</f>
        <v>43217764.001413628</v>
      </c>
      <c r="F33" s="9">
        <f>_xlfn.STDEV.P(F23:F31)</f>
        <v>52076389.178038187</v>
      </c>
      <c r="G33" s="9" t="e">
        <f>_xlfn.STDEV.P(G23:G31)</f>
        <v>#DIV/0!</v>
      </c>
      <c r="H33" s="9" t="e">
        <f>_xlfn.STDEV.P(H23:H31)</f>
        <v>#DIV/0!</v>
      </c>
    </row>
    <row r="34" spans="3:8" ht="15.75" thickBot="1" x14ac:dyDescent="0.3"/>
    <row r="35" spans="3:8" ht="21.75" customHeight="1" x14ac:dyDescent="0.25">
      <c r="C35" s="47" t="s">
        <v>81</v>
      </c>
      <c r="D35" s="59">
        <f>D32+D33</f>
        <v>595867118.49023545</v>
      </c>
      <c r="E35" s="59">
        <f t="shared" ref="E35:H35" si="5">E32+E33</f>
        <v>574259798.00141358</v>
      </c>
      <c r="F35" s="59">
        <f t="shared" si="5"/>
        <v>473283583.84470487</v>
      </c>
      <c r="G35" s="59" t="e">
        <f t="shared" si="5"/>
        <v>#DIV/0!</v>
      </c>
      <c r="H35" s="59" t="e">
        <f t="shared" si="5"/>
        <v>#DIV/0!</v>
      </c>
    </row>
    <row r="36" spans="3:8" ht="22.5" customHeight="1" thickBot="1" x14ac:dyDescent="0.3">
      <c r="C36" s="57" t="s">
        <v>80</v>
      </c>
      <c r="D36" s="60">
        <f>D32-D33</f>
        <v>533086630.3097645</v>
      </c>
      <c r="E36" s="60">
        <f t="shared" ref="E36:H36" si="6">E32-E33</f>
        <v>487824269.99858636</v>
      </c>
      <c r="F36" s="60">
        <f t="shared" si="6"/>
        <v>369130805.48862851</v>
      </c>
      <c r="G36" s="60" t="e">
        <f t="shared" si="6"/>
        <v>#DIV/0!</v>
      </c>
      <c r="H36" s="60" t="e">
        <f t="shared" si="6"/>
        <v>#DIV/0!</v>
      </c>
    </row>
    <row r="37" spans="3:8" ht="15.75" thickBot="1" x14ac:dyDescent="0.3"/>
    <row r="38" spans="3:8" ht="20.25" customHeight="1" thickBot="1" x14ac:dyDescent="0.3">
      <c r="C38" s="2" t="s">
        <v>83</v>
      </c>
      <c r="D38" s="61">
        <f>AVERAGE(D23:D31)</f>
        <v>564476874.39999998</v>
      </c>
      <c r="E38" s="61">
        <f>AVERAGE(E23:E31)</f>
        <v>531042034</v>
      </c>
      <c r="F38" s="61">
        <f>AVERAGE(F23:F31)</f>
        <v>421207194.66666669</v>
      </c>
      <c r="G38" s="61" t="e">
        <f>AVERAGE(G23:G31)</f>
        <v>#DIV/0!</v>
      </c>
      <c r="H38" s="61" t="e">
        <f>AVERAGE(H23:H31)</f>
        <v>#DIV/0!</v>
      </c>
    </row>
    <row r="40" spans="3:8" x14ac:dyDescent="0.25">
      <c r="C40" s="132" t="s">
        <v>101</v>
      </c>
      <c r="D40" s="133"/>
      <c r="E40" s="133"/>
      <c r="F40" s="133"/>
      <c r="G40" s="133"/>
      <c r="H40" s="133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A7E5-2C2C-4C1F-B623-1156855DF245}">
  <dimension ref="A1:J18"/>
  <sheetViews>
    <sheetView topLeftCell="A15" zoomScale="90" zoomScaleNormal="90" workbookViewId="0">
      <selection activeCell="H18" sqref="H18"/>
    </sheetView>
  </sheetViews>
  <sheetFormatPr baseColWidth="10" defaultRowHeight="15" x14ac:dyDescent="0.25"/>
  <cols>
    <col min="1" max="1" width="5.5703125" customWidth="1"/>
    <col min="2" max="2" width="15.42578125" customWidth="1"/>
    <col min="3" max="3" width="10.140625" customWidth="1"/>
    <col min="4" max="4" width="38.7109375" customWidth="1"/>
    <col min="5" max="5" width="11.7109375" customWidth="1"/>
    <col min="6" max="6" width="9.5703125" customWidth="1"/>
    <col min="7" max="7" width="29.140625" customWidth="1"/>
    <col min="8" max="8" width="32.5703125" customWidth="1"/>
    <col min="10" max="10" width="18.140625" customWidth="1"/>
  </cols>
  <sheetData>
    <row r="1" spans="1:8" ht="39" customHeight="1" x14ac:dyDescent="0.25">
      <c r="A1" s="236"/>
      <c r="B1" s="237"/>
      <c r="C1" s="238"/>
      <c r="D1" s="245" t="s">
        <v>62</v>
      </c>
      <c r="E1" s="245"/>
      <c r="F1" s="245"/>
      <c r="G1" s="245"/>
      <c r="H1" s="245"/>
    </row>
    <row r="2" spans="1:8" ht="29.25" customHeight="1" x14ac:dyDescent="0.25">
      <c r="A2" s="239"/>
      <c r="B2" s="240"/>
      <c r="C2" s="241"/>
      <c r="D2" s="246" t="s">
        <v>64</v>
      </c>
      <c r="E2" s="246"/>
      <c r="F2" s="246"/>
      <c r="G2" s="246"/>
      <c r="H2" s="246"/>
    </row>
    <row r="3" spans="1:8" x14ac:dyDescent="0.25">
      <c r="A3" s="242"/>
      <c r="B3" s="243"/>
      <c r="C3" s="244"/>
      <c r="D3" s="167" t="s">
        <v>65</v>
      </c>
      <c r="E3" s="247" t="s">
        <v>66</v>
      </c>
      <c r="F3" s="247"/>
      <c r="G3" s="247"/>
      <c r="H3" s="167" t="s">
        <v>67</v>
      </c>
    </row>
    <row r="4" spans="1:8" ht="76.5" customHeight="1" x14ac:dyDescent="0.25">
      <c r="A4" s="248" t="s">
        <v>3</v>
      </c>
      <c r="B4" s="249"/>
      <c r="C4" s="249"/>
      <c r="D4" s="249"/>
      <c r="E4" s="249"/>
      <c r="F4" s="249"/>
      <c r="G4" s="249"/>
      <c r="H4" s="250"/>
    </row>
    <row r="5" spans="1:8" x14ac:dyDescent="0.25">
      <c r="A5" s="34"/>
      <c r="B5" s="35"/>
      <c r="C5" s="35"/>
      <c r="D5" s="35"/>
      <c r="E5" s="251"/>
      <c r="F5" s="251"/>
      <c r="G5" s="176" t="s">
        <v>97</v>
      </c>
      <c r="H5" s="36">
        <f>H18/1160000</f>
        <v>1529.3343448275862</v>
      </c>
    </row>
    <row r="6" spans="1:8" x14ac:dyDescent="0.25">
      <c r="A6" s="34"/>
      <c r="B6" s="34"/>
      <c r="C6" s="34"/>
      <c r="D6" s="34"/>
      <c r="E6" s="177"/>
      <c r="F6" s="177"/>
      <c r="G6" s="252" t="s">
        <v>116</v>
      </c>
      <c r="H6" s="253"/>
    </row>
    <row r="7" spans="1:8" x14ac:dyDescent="0.25">
      <c r="A7" s="165" t="s">
        <v>68</v>
      </c>
      <c r="B7" s="254" t="s">
        <v>69</v>
      </c>
      <c r="C7" s="254"/>
      <c r="D7" s="254"/>
      <c r="E7" s="166" t="s">
        <v>117</v>
      </c>
      <c r="F7" s="166" t="s">
        <v>118</v>
      </c>
      <c r="G7" s="166" t="s">
        <v>119</v>
      </c>
      <c r="H7" s="166" t="s">
        <v>120</v>
      </c>
    </row>
    <row r="8" spans="1:8" x14ac:dyDescent="0.25">
      <c r="A8" s="165" t="s">
        <v>70</v>
      </c>
      <c r="B8" s="255" t="s">
        <v>121</v>
      </c>
      <c r="C8" s="255"/>
      <c r="D8" s="255"/>
      <c r="E8" s="37"/>
      <c r="F8" s="37"/>
      <c r="G8" s="178"/>
      <c r="H8" s="38"/>
    </row>
    <row r="9" spans="1:8" ht="34.5" customHeight="1" x14ac:dyDescent="0.25">
      <c r="A9" s="39" t="s">
        <v>71</v>
      </c>
      <c r="B9" s="256" t="s">
        <v>122</v>
      </c>
      <c r="C9" s="256"/>
      <c r="D9" s="256"/>
      <c r="E9" s="18" t="s">
        <v>123</v>
      </c>
      <c r="F9" s="179">
        <v>1</v>
      </c>
      <c r="G9" s="40">
        <f>'DvSTAND Valores atipicos'!D38</f>
        <v>564476874.39999998</v>
      </c>
      <c r="H9" s="19">
        <f>ROUND(F9*G9,0)</f>
        <v>564476874</v>
      </c>
    </row>
    <row r="10" spans="1:8" ht="34.5" customHeight="1" x14ac:dyDescent="0.25">
      <c r="A10" s="39" t="s">
        <v>72</v>
      </c>
      <c r="B10" s="235" t="s">
        <v>124</v>
      </c>
      <c r="C10" s="235"/>
      <c r="D10" s="235"/>
      <c r="E10" s="18" t="s">
        <v>123</v>
      </c>
      <c r="F10" s="180">
        <v>1</v>
      </c>
      <c r="G10" s="40">
        <f>'DvSTAND Valores atipicos'!E38</f>
        <v>531042034</v>
      </c>
      <c r="H10" s="19">
        <f t="shared" ref="H10:H11" si="0">ROUND(F10*G10,0)</f>
        <v>531042034</v>
      </c>
    </row>
    <row r="11" spans="1:8" ht="34.5" customHeight="1" x14ac:dyDescent="0.25">
      <c r="A11" s="39" t="s">
        <v>73</v>
      </c>
      <c r="B11" s="235" t="s">
        <v>125</v>
      </c>
      <c r="C11" s="235"/>
      <c r="D11" s="235"/>
      <c r="E11" s="18" t="s">
        <v>123</v>
      </c>
      <c r="F11" s="180">
        <v>1</v>
      </c>
      <c r="G11" s="40">
        <f>'DvSTAND Valores atipicos'!F38</f>
        <v>421207194.66666669</v>
      </c>
      <c r="H11" s="19">
        <f t="shared" si="0"/>
        <v>421207195</v>
      </c>
    </row>
    <row r="12" spans="1:8" ht="28.5" customHeight="1" x14ac:dyDescent="0.25">
      <c r="A12" s="39"/>
      <c r="B12" s="229" t="s">
        <v>126</v>
      </c>
      <c r="C12" s="230"/>
      <c r="D12" s="231"/>
      <c r="E12" s="41"/>
      <c r="F12" s="41"/>
      <c r="G12" s="181"/>
      <c r="H12" s="42">
        <f>ROUND(SUM(H9:H11),0)</f>
        <v>1516726103</v>
      </c>
    </row>
    <row r="13" spans="1:8" x14ac:dyDescent="0.25">
      <c r="A13" s="232"/>
      <c r="B13" s="233"/>
      <c r="C13" s="233"/>
      <c r="D13" s="233"/>
      <c r="E13" s="233"/>
      <c r="F13" s="233"/>
      <c r="G13" s="233"/>
      <c r="H13" s="234"/>
    </row>
    <row r="14" spans="1:8" ht="30.75" customHeight="1" x14ac:dyDescent="0.25">
      <c r="A14" s="39"/>
      <c r="B14" s="224" t="s">
        <v>127</v>
      </c>
      <c r="C14" s="224"/>
      <c r="D14" s="224"/>
      <c r="E14" s="225"/>
      <c r="F14" s="225"/>
      <c r="G14" s="225"/>
      <c r="H14" s="19">
        <f>ROUND((H12/28),0)</f>
        <v>54168789</v>
      </c>
    </row>
    <row r="15" spans="1:8" ht="30.75" customHeight="1" x14ac:dyDescent="0.25">
      <c r="A15" s="39"/>
      <c r="B15" s="224" t="s">
        <v>128</v>
      </c>
      <c r="C15" s="224"/>
      <c r="D15" s="224"/>
      <c r="E15" s="225"/>
      <c r="F15" s="225"/>
      <c r="G15" s="225"/>
      <c r="H15" s="19">
        <f>ROUND((H14*3),0)</f>
        <v>162506367</v>
      </c>
    </row>
    <row r="16" spans="1:8" ht="30.75" customHeight="1" x14ac:dyDescent="0.25">
      <c r="A16" s="39"/>
      <c r="B16" s="224" t="s">
        <v>129</v>
      </c>
      <c r="C16" s="224"/>
      <c r="D16" s="224"/>
      <c r="E16" s="225"/>
      <c r="F16" s="225"/>
      <c r="G16" s="225"/>
      <c r="H16" s="19">
        <f>ROUND((H14*25),0)</f>
        <v>1354219725</v>
      </c>
    </row>
    <row r="17" spans="1:10" ht="30.75" customHeight="1" x14ac:dyDescent="0.25">
      <c r="A17" s="39"/>
      <c r="B17" s="224" t="s">
        <v>130</v>
      </c>
      <c r="C17" s="224"/>
      <c r="D17" s="224"/>
      <c r="E17" s="226"/>
      <c r="F17" s="226"/>
      <c r="G17" s="226"/>
      <c r="H17" s="19">
        <f>ROUND((H16*0.19),0)</f>
        <v>257301748</v>
      </c>
    </row>
    <row r="18" spans="1:10" ht="30.75" customHeight="1" x14ac:dyDescent="0.25">
      <c r="A18" s="39"/>
      <c r="B18" s="227" t="s">
        <v>131</v>
      </c>
      <c r="C18" s="227"/>
      <c r="D18" s="227"/>
      <c r="E18" s="228"/>
      <c r="F18" s="228"/>
      <c r="G18" s="228"/>
      <c r="H18" s="42">
        <f>ROUND((H15+H16+H17),0)</f>
        <v>1774027840</v>
      </c>
      <c r="J18" s="19"/>
    </row>
  </sheetData>
  <mergeCells count="24">
    <mergeCell ref="B11:D11"/>
    <mergeCell ref="A1:C3"/>
    <mergeCell ref="D1:H1"/>
    <mergeCell ref="D2:H2"/>
    <mergeCell ref="E3:G3"/>
    <mergeCell ref="A4:H4"/>
    <mergeCell ref="E5:F5"/>
    <mergeCell ref="G6:H6"/>
    <mergeCell ref="B7:D7"/>
    <mergeCell ref="B8:D8"/>
    <mergeCell ref="B9:D9"/>
    <mergeCell ref="B10:D10"/>
    <mergeCell ref="B12:D12"/>
    <mergeCell ref="A13:H13"/>
    <mergeCell ref="B14:D14"/>
    <mergeCell ref="E14:G14"/>
    <mergeCell ref="B15:D15"/>
    <mergeCell ref="E15:G15"/>
    <mergeCell ref="B16:D16"/>
    <mergeCell ref="E16:G16"/>
    <mergeCell ref="B17:D17"/>
    <mergeCell ref="E17:G17"/>
    <mergeCell ref="B18:D18"/>
    <mergeCell ref="E18:G1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252F8-D20B-48CA-B20D-92ED750101D8}">
  <dimension ref="A2:T77"/>
  <sheetViews>
    <sheetView topLeftCell="A29" zoomScale="90" zoomScaleNormal="90" workbookViewId="0">
      <selection activeCell="B48" sqref="B48"/>
    </sheetView>
  </sheetViews>
  <sheetFormatPr baseColWidth="10" defaultColWidth="11.42578125" defaultRowHeight="15" x14ac:dyDescent="0.25"/>
  <cols>
    <col min="1" max="1" width="6.140625" customWidth="1"/>
    <col min="2" max="2" width="8.140625" customWidth="1"/>
    <col min="3" max="3" width="17.5703125" customWidth="1"/>
    <col min="4" max="4" width="17.7109375" customWidth="1"/>
    <col min="5" max="5" width="19.140625" customWidth="1"/>
    <col min="6" max="6" width="24.42578125" customWidth="1"/>
    <col min="7" max="7" width="25" customWidth="1"/>
    <col min="8" max="8" width="18.85546875" customWidth="1"/>
    <col min="9" max="9" width="11.85546875" customWidth="1"/>
    <col min="11" max="11" width="19" customWidth="1"/>
    <col min="12" max="12" width="23.7109375" customWidth="1"/>
    <col min="14" max="14" width="18.28515625" customWidth="1"/>
    <col min="16" max="16" width="27.7109375" customWidth="1"/>
    <col min="18" max="18" width="22.28515625" customWidth="1"/>
    <col min="20" max="20" width="21.85546875" customWidth="1"/>
  </cols>
  <sheetData>
    <row r="2" spans="2:11" x14ac:dyDescent="0.25">
      <c r="D2" t="s">
        <v>133</v>
      </c>
    </row>
    <row r="3" spans="2:11" ht="15.75" customHeight="1" x14ac:dyDescent="0.25"/>
    <row r="4" spans="2:11" x14ac:dyDescent="0.25">
      <c r="B4" s="107"/>
      <c r="C4" s="107"/>
      <c r="D4" s="107"/>
      <c r="E4" s="257" t="s">
        <v>63</v>
      </c>
      <c r="F4" s="257" t="s">
        <v>135</v>
      </c>
      <c r="G4" s="257" t="s">
        <v>132</v>
      </c>
      <c r="H4" s="257" t="s">
        <v>134</v>
      </c>
    </row>
    <row r="5" spans="2:11" ht="81.75" customHeight="1" x14ac:dyDescent="0.25">
      <c r="B5" s="138" t="s">
        <v>2</v>
      </c>
      <c r="C5" s="138" t="s">
        <v>0</v>
      </c>
      <c r="D5" s="138" t="s">
        <v>74</v>
      </c>
      <c r="E5" s="257"/>
      <c r="F5" s="257"/>
      <c r="G5" s="257"/>
      <c r="H5" s="257"/>
    </row>
    <row r="6" spans="2:11" x14ac:dyDescent="0.25">
      <c r="B6" s="21">
        <v>1</v>
      </c>
      <c r="C6" s="6" t="s">
        <v>77</v>
      </c>
      <c r="D6" s="124">
        <v>3283952049</v>
      </c>
      <c r="E6" s="124">
        <v>100273345</v>
      </c>
      <c r="F6" s="23"/>
      <c r="G6" s="23"/>
      <c r="H6" s="24"/>
    </row>
    <row r="7" spans="2:11" x14ac:dyDescent="0.25">
      <c r="B7" s="21">
        <v>2</v>
      </c>
      <c r="C7" s="6" t="s">
        <v>109</v>
      </c>
      <c r="D7" s="124">
        <v>1777977130</v>
      </c>
      <c r="E7" s="124">
        <v>54289378</v>
      </c>
      <c r="F7" s="24"/>
      <c r="G7" s="24"/>
      <c r="H7" s="24"/>
    </row>
    <row r="8" spans="2:11" x14ac:dyDescent="0.25">
      <c r="B8" s="21">
        <v>3</v>
      </c>
      <c r="C8" s="6" t="s">
        <v>99</v>
      </c>
      <c r="D8" s="124">
        <v>1712357134</v>
      </c>
      <c r="E8" s="124">
        <v>52285714</v>
      </c>
      <c r="F8" s="24"/>
      <c r="G8" s="24"/>
      <c r="H8" s="24"/>
    </row>
    <row r="9" spans="2:11" ht="15.75" thickBot="1" x14ac:dyDescent="0.3">
      <c r="B9" s="21">
        <v>4</v>
      </c>
      <c r="C9" s="51" t="s">
        <v>110</v>
      </c>
      <c r="D9" s="124">
        <v>1794126875</v>
      </c>
      <c r="E9" s="124">
        <v>54782500</v>
      </c>
      <c r="F9" s="182"/>
      <c r="G9" s="24"/>
      <c r="H9" s="24"/>
    </row>
    <row r="10" spans="2:11" x14ac:dyDescent="0.25">
      <c r="B10" s="21">
        <v>5</v>
      </c>
      <c r="C10" s="3" t="s">
        <v>111</v>
      </c>
      <c r="D10" s="124">
        <v>1795346993</v>
      </c>
      <c r="E10" s="124">
        <v>54514412</v>
      </c>
      <c r="F10" s="24"/>
      <c r="G10" s="24"/>
      <c r="H10" s="24"/>
    </row>
    <row r="11" spans="2:11" x14ac:dyDescent="0.25">
      <c r="B11" s="21">
        <v>6</v>
      </c>
      <c r="C11" s="6" t="s">
        <v>78</v>
      </c>
      <c r="D11" s="124">
        <v>2421862500</v>
      </c>
      <c r="E11" s="124">
        <v>73950000</v>
      </c>
      <c r="F11" s="24"/>
      <c r="G11" s="24"/>
      <c r="H11" s="24"/>
    </row>
    <row r="12" spans="2:11" x14ac:dyDescent="0.25">
      <c r="B12" s="21">
        <v>6</v>
      </c>
      <c r="C12" s="169" t="s">
        <v>112</v>
      </c>
      <c r="D12" s="124">
        <v>1798409658</v>
      </c>
      <c r="E12" s="124">
        <v>54913272</v>
      </c>
      <c r="F12" s="25"/>
      <c r="G12" s="25"/>
      <c r="H12" s="24"/>
    </row>
    <row r="13" spans="2:11" x14ac:dyDescent="0.25">
      <c r="B13" s="21">
        <v>7</v>
      </c>
      <c r="C13" s="123"/>
      <c r="D13" s="124"/>
      <c r="E13" s="124"/>
      <c r="F13" s="25"/>
      <c r="G13" s="25"/>
      <c r="H13" s="24"/>
    </row>
    <row r="14" spans="2:11" x14ac:dyDescent="0.25">
      <c r="B14" s="21"/>
      <c r="C14" s="129"/>
      <c r="D14" s="130"/>
      <c r="E14" s="130"/>
      <c r="F14" s="25"/>
      <c r="G14" s="25"/>
      <c r="H14" s="24"/>
    </row>
    <row r="15" spans="2:11" x14ac:dyDescent="0.25">
      <c r="B15" s="21">
        <v>8</v>
      </c>
      <c r="F15" s="25"/>
      <c r="G15" s="25"/>
      <c r="H15" s="24"/>
    </row>
    <row r="16" spans="2:11" ht="25.5" customHeight="1" x14ac:dyDescent="0.25">
      <c r="B16" s="21"/>
      <c r="C16" s="20"/>
      <c r="D16" s="22">
        <f>AVERAGE(D6:D15)</f>
        <v>2083433191.2857144</v>
      </c>
      <c r="E16" s="22">
        <f>AVERAGE(E6:E15)</f>
        <v>63572660.142857142</v>
      </c>
      <c r="F16" s="113">
        <f>'Resultado Cotizacion 2023'!H18</f>
        <v>1774027840</v>
      </c>
      <c r="G16" s="114">
        <f>'Analisis de historicos  x IPC'!G15</f>
        <v>1337917506</v>
      </c>
      <c r="H16" s="114">
        <f>AVERAGE(F16:G16)</f>
        <v>1555972673</v>
      </c>
      <c r="K16" s="115"/>
    </row>
    <row r="17" spans="1:20" ht="24.75" customHeight="1" x14ac:dyDescent="0.25">
      <c r="C17" s="11"/>
      <c r="D17" s="45"/>
      <c r="E17" s="14"/>
      <c r="G17" s="14"/>
      <c r="K17" s="115"/>
    </row>
    <row r="18" spans="1:20" ht="15" customHeight="1" x14ac:dyDescent="0.25">
      <c r="C18" s="11"/>
      <c r="D18" s="97"/>
      <c r="E18" s="14"/>
      <c r="F18" s="13"/>
      <c r="G18" s="14">
        <f>F16-G16</f>
        <v>436110334</v>
      </c>
      <c r="K18" s="116"/>
    </row>
    <row r="19" spans="1:20" ht="15" customHeight="1" x14ac:dyDescent="0.25"/>
    <row r="20" spans="1:20" ht="26.25" customHeight="1" x14ac:dyDescent="0.25">
      <c r="C20" s="17" t="s">
        <v>136</v>
      </c>
      <c r="D20" s="13">
        <f>G16</f>
        <v>1337917506</v>
      </c>
      <c r="F20" s="36">
        <f>F16/1160000</f>
        <v>1529.3343448275862</v>
      </c>
      <c r="G20" s="36">
        <f>G16/1160000</f>
        <v>1153.3771603448276</v>
      </c>
      <c r="H20" s="36">
        <f>H16/1160000</f>
        <v>1341.3557525862068</v>
      </c>
      <c r="I20" t="s">
        <v>97</v>
      </c>
      <c r="K20" s="13"/>
    </row>
    <row r="21" spans="1:20" ht="19.5" customHeight="1" x14ac:dyDescent="0.25">
      <c r="A21" s="77"/>
      <c r="C21" t="s">
        <v>79</v>
      </c>
      <c r="D21" s="13">
        <f ca="1">AVERAGE(D20:D22)</f>
        <v>1555972673</v>
      </c>
      <c r="K21" s="13">
        <v>1555972673</v>
      </c>
      <c r="L21" s="13">
        <v>1555972673</v>
      </c>
      <c r="N21" s="13">
        <v>1774027840</v>
      </c>
      <c r="P21" s="13">
        <v>1555972673</v>
      </c>
      <c r="R21" s="13">
        <v>1774027840</v>
      </c>
      <c r="T21" s="13">
        <v>1337917506</v>
      </c>
    </row>
    <row r="22" spans="1:20" ht="19.5" customHeight="1" x14ac:dyDescent="0.25">
      <c r="A22" s="77"/>
      <c r="C22" t="s">
        <v>91</v>
      </c>
      <c r="D22" s="14">
        <f>F16</f>
        <v>1774027840</v>
      </c>
      <c r="K22" s="13">
        <v>1337917506</v>
      </c>
      <c r="L22" s="13">
        <v>1774027840</v>
      </c>
      <c r="N22" s="13">
        <v>1337917506</v>
      </c>
      <c r="P22" s="13">
        <v>1475365046</v>
      </c>
      <c r="R22" s="13">
        <v>1475365046</v>
      </c>
      <c r="T22" s="13">
        <v>1475365046</v>
      </c>
    </row>
    <row r="23" spans="1:20" ht="15" customHeight="1" x14ac:dyDescent="0.25">
      <c r="I23" s="216"/>
      <c r="J23" s="217"/>
    </row>
    <row r="24" spans="1:20" x14ac:dyDescent="0.25">
      <c r="C24" s="11"/>
      <c r="D24" s="97"/>
      <c r="E24" s="14"/>
      <c r="F24" s="13"/>
      <c r="G24" s="14"/>
      <c r="H24" s="32"/>
      <c r="K24" s="13">
        <f>K21-K22</f>
        <v>218055167</v>
      </c>
      <c r="L24" s="13">
        <f>L21-L22</f>
        <v>-218055167</v>
      </c>
      <c r="N24" s="13">
        <f>N21-N22</f>
        <v>436110334</v>
      </c>
      <c r="P24" s="13">
        <f>P21-P22</f>
        <v>80607627</v>
      </c>
      <c r="R24" s="13">
        <f>R21-R22</f>
        <v>298662794</v>
      </c>
      <c r="T24" s="13">
        <f>T21-T22</f>
        <v>-137447540</v>
      </c>
    </row>
    <row r="25" spans="1:20" x14ac:dyDescent="0.25">
      <c r="K25" s="117"/>
      <c r="N25" s="117"/>
    </row>
    <row r="26" spans="1:20" ht="25.5" customHeight="1" x14ac:dyDescent="0.25">
      <c r="A26" s="26"/>
      <c r="K26">
        <f>K22/K21</f>
        <v>0.85985925666703533</v>
      </c>
      <c r="L26">
        <f>L21/L22</f>
        <v>0.87708469840022352</v>
      </c>
      <c r="N26">
        <f>N22/N21</f>
        <v>0.75416939680044703</v>
      </c>
      <c r="P26">
        <f>P22/P21</f>
        <v>0.94819470264565497</v>
      </c>
      <c r="R26">
        <f>R22/R21</f>
        <v>0.831647064794654</v>
      </c>
      <c r="T26">
        <f>T22/T21</f>
        <v>1.1027324475415003</v>
      </c>
    </row>
    <row r="27" spans="1:20" x14ac:dyDescent="0.25">
      <c r="B27" s="75"/>
      <c r="C27" s="75"/>
      <c r="K27" s="218">
        <f>K26*1</f>
        <v>0.85985925666703533</v>
      </c>
      <c r="L27" s="218">
        <f>L26*1</f>
        <v>0.87708469840022352</v>
      </c>
      <c r="N27" s="218">
        <f>N26*1</f>
        <v>0.75416939680044703</v>
      </c>
      <c r="P27" s="218">
        <f>P26*1</f>
        <v>0.94819470264565497</v>
      </c>
      <c r="R27" s="218">
        <f>R26*1</f>
        <v>0.831647064794654</v>
      </c>
      <c r="T27" s="218">
        <f>T26*1</f>
        <v>1.1027324475415003</v>
      </c>
    </row>
    <row r="28" spans="1:20" x14ac:dyDescent="0.25">
      <c r="A28" s="79"/>
      <c r="B28" s="80"/>
      <c r="C28" s="81"/>
      <c r="K28" s="116">
        <f>1-K27</f>
        <v>0.14014074333296467</v>
      </c>
      <c r="L28" s="116">
        <f>1-L27</f>
        <v>0.12291530159977648</v>
      </c>
      <c r="N28" s="116">
        <f>1-N27</f>
        <v>0.24583060319955297</v>
      </c>
      <c r="P28" s="116">
        <f>1-P27</f>
        <v>5.1805297354345026E-2</v>
      </c>
      <c r="R28" s="116">
        <f>1-R27</f>
        <v>0.168352935205346</v>
      </c>
      <c r="T28" s="116">
        <f>1-T27</f>
        <v>-0.10273244754150035</v>
      </c>
    </row>
    <row r="29" spans="1:20" x14ac:dyDescent="0.25">
      <c r="A29" s="77"/>
      <c r="C29" s="75"/>
      <c r="K29" s="116">
        <f>SUM(K27:K28)</f>
        <v>1</v>
      </c>
      <c r="L29" s="116">
        <f>SUM(L27:L28)</f>
        <v>1</v>
      </c>
      <c r="N29" s="116">
        <f>SUM(N27:N28)</f>
        <v>1</v>
      </c>
      <c r="P29" s="116">
        <f>SUM(P27:P28)</f>
        <v>1</v>
      </c>
      <c r="R29" s="116">
        <f>SUM(R27:R28)</f>
        <v>1</v>
      </c>
      <c r="T29" s="116">
        <f>SUM(T27:T28)</f>
        <v>1</v>
      </c>
    </row>
    <row r="30" spans="1:20" x14ac:dyDescent="0.25">
      <c r="K30" s="183"/>
    </row>
    <row r="31" spans="1:20" x14ac:dyDescent="0.25">
      <c r="B31" s="83"/>
    </row>
    <row r="32" spans="1:20" x14ac:dyDescent="0.25">
      <c r="K32" s="26"/>
      <c r="L32" s="189"/>
    </row>
    <row r="34" spans="11:12" x14ac:dyDescent="0.25">
      <c r="K34" s="26"/>
    </row>
    <row r="35" spans="11:12" x14ac:dyDescent="0.25">
      <c r="L35" s="26"/>
    </row>
    <row r="36" spans="11:12" x14ac:dyDescent="0.25">
      <c r="L36" s="185"/>
    </row>
    <row r="37" spans="11:12" x14ac:dyDescent="0.25">
      <c r="K37" s="188"/>
    </row>
    <row r="38" spans="11:12" x14ac:dyDescent="0.25">
      <c r="K38" s="188"/>
    </row>
    <row r="39" spans="11:12" x14ac:dyDescent="0.25">
      <c r="K39" s="190"/>
    </row>
    <row r="41" spans="11:12" ht="15" customHeight="1" x14ac:dyDescent="0.25">
      <c r="K41" s="26"/>
    </row>
    <row r="43" spans="11:12" ht="15" customHeight="1" x14ac:dyDescent="0.25">
      <c r="K43" s="183"/>
    </row>
    <row r="44" spans="11:12" x14ac:dyDescent="0.25">
      <c r="K44" s="26"/>
      <c r="L44" s="189"/>
    </row>
    <row r="46" spans="11:12" x14ac:dyDescent="0.25">
      <c r="L46" s="185"/>
    </row>
    <row r="69" spans="1:3" x14ac:dyDescent="0.25">
      <c r="A69" s="77"/>
    </row>
    <row r="73" spans="1:3" x14ac:dyDescent="0.25">
      <c r="B73" s="69"/>
      <c r="C73" s="69"/>
    </row>
    <row r="74" spans="1:3" x14ac:dyDescent="0.25">
      <c r="C74" s="77"/>
    </row>
    <row r="75" spans="1:3" x14ac:dyDescent="0.25">
      <c r="C75" s="77"/>
    </row>
    <row r="76" spans="1:3" x14ac:dyDescent="0.25">
      <c r="C76" s="77"/>
    </row>
    <row r="77" spans="1:3" x14ac:dyDescent="0.25">
      <c r="B77" s="69"/>
      <c r="C77" s="77"/>
    </row>
  </sheetData>
  <mergeCells count="4">
    <mergeCell ref="E4:E5"/>
    <mergeCell ref="F4:F5"/>
    <mergeCell ref="G4:G5"/>
    <mergeCell ref="H4:H5"/>
  </mergeCell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4"/>
  <sheetViews>
    <sheetView topLeftCell="A22" zoomScale="120" zoomScaleNormal="120" workbookViewId="0">
      <selection activeCell="E37" sqref="E37"/>
    </sheetView>
  </sheetViews>
  <sheetFormatPr baseColWidth="10" defaultRowHeight="12.75" x14ac:dyDescent="0.2"/>
  <cols>
    <col min="1" max="1" width="11.42578125" style="213"/>
    <col min="2" max="2" width="25.7109375" style="202" bestFit="1" customWidth="1"/>
    <col min="3" max="3" width="18.28515625" style="202" customWidth="1"/>
    <col min="4" max="4" width="14.7109375" style="202" customWidth="1"/>
    <col min="5" max="5" width="16.7109375" style="202" customWidth="1"/>
    <col min="6" max="6" width="14.140625" style="202" customWidth="1"/>
    <col min="7" max="7" width="16.140625" style="202" customWidth="1"/>
    <col min="8" max="8" width="14.28515625" style="202" customWidth="1"/>
    <col min="9" max="9" width="20.28515625" style="202" customWidth="1"/>
    <col min="10" max="10" width="13.7109375" style="202" customWidth="1"/>
    <col min="11" max="11" width="97.140625" style="202" bestFit="1" customWidth="1"/>
    <col min="12" max="16384" width="11.42578125" style="202"/>
  </cols>
  <sheetData>
    <row r="1" spans="1:11" ht="29.25" customHeight="1" thickBot="1" x14ac:dyDescent="0.25">
      <c r="A1" s="201" t="s">
        <v>2</v>
      </c>
      <c r="B1" s="66" t="s">
        <v>6</v>
      </c>
      <c r="C1" s="66" t="s">
        <v>4</v>
      </c>
      <c r="D1" s="67" t="s">
        <v>7</v>
      </c>
      <c r="E1" s="66" t="s">
        <v>61</v>
      </c>
      <c r="F1" s="66" t="s">
        <v>5</v>
      </c>
      <c r="G1" s="68" t="s">
        <v>8</v>
      </c>
    </row>
    <row r="2" spans="1:11" ht="20.25" customHeight="1" x14ac:dyDescent="0.2">
      <c r="A2" s="203">
        <v>1</v>
      </c>
      <c r="B2" s="168" t="s">
        <v>9</v>
      </c>
      <c r="C2" s="43" t="s">
        <v>11</v>
      </c>
      <c r="D2" s="184" t="s">
        <v>10</v>
      </c>
      <c r="E2" s="195">
        <v>47510616</v>
      </c>
      <c r="F2" s="196">
        <v>9027017</v>
      </c>
      <c r="G2" s="197">
        <f>E2+F2</f>
        <v>56537633</v>
      </c>
      <c r="H2" s="204"/>
      <c r="I2" s="205"/>
      <c r="J2" s="206"/>
      <c r="K2" s="207"/>
    </row>
    <row r="3" spans="1:11" ht="15" customHeight="1" x14ac:dyDescent="0.2">
      <c r="A3" s="208">
        <f>A2+1</f>
        <v>2</v>
      </c>
      <c r="B3" s="192" t="s">
        <v>12</v>
      </c>
      <c r="C3" s="43" t="s">
        <v>13</v>
      </c>
      <c r="D3" s="191" t="s">
        <v>14</v>
      </c>
      <c r="E3" s="195">
        <v>47510616</v>
      </c>
      <c r="F3" s="196">
        <v>9027017</v>
      </c>
      <c r="G3" s="197">
        <f t="shared" ref="G3:G29" si="0">E3+F3</f>
        <v>56537633</v>
      </c>
      <c r="H3" s="204"/>
      <c r="J3" s="206"/>
      <c r="K3" s="207"/>
    </row>
    <row r="4" spans="1:11" ht="15" customHeight="1" x14ac:dyDescent="0.2">
      <c r="A4" s="208">
        <f t="shared" ref="A4:A29" si="1">A3+1</f>
        <v>3</v>
      </c>
      <c r="B4" s="192" t="s">
        <v>15</v>
      </c>
      <c r="C4" s="43" t="s">
        <v>16</v>
      </c>
      <c r="D4" s="191" t="s">
        <v>14</v>
      </c>
      <c r="E4" s="195">
        <v>47510616</v>
      </c>
      <c r="F4" s="196">
        <v>9027017</v>
      </c>
      <c r="G4" s="197">
        <f t="shared" si="0"/>
        <v>56537633</v>
      </c>
      <c r="H4" s="204"/>
      <c r="I4" s="205"/>
      <c r="J4" s="206"/>
    </row>
    <row r="5" spans="1:11" ht="15" customHeight="1" x14ac:dyDescent="0.2">
      <c r="A5" s="208">
        <f t="shared" si="1"/>
        <v>4</v>
      </c>
      <c r="B5" s="192" t="s">
        <v>17</v>
      </c>
      <c r="C5" s="43" t="s">
        <v>18</v>
      </c>
      <c r="D5" s="191" t="s">
        <v>14</v>
      </c>
      <c r="E5" s="195">
        <v>47510616</v>
      </c>
      <c r="F5" s="196">
        <v>9027017</v>
      </c>
      <c r="G5" s="197">
        <f t="shared" si="0"/>
        <v>56537633</v>
      </c>
      <c r="H5" s="204"/>
      <c r="I5" s="209"/>
      <c r="J5" s="206"/>
      <c r="K5" s="207"/>
    </row>
    <row r="6" spans="1:11" ht="15" customHeight="1" x14ac:dyDescent="0.2">
      <c r="A6" s="208">
        <f t="shared" si="1"/>
        <v>5</v>
      </c>
      <c r="B6" s="192" t="s">
        <v>19</v>
      </c>
      <c r="C6" s="43" t="s">
        <v>20</v>
      </c>
      <c r="D6" s="191" t="s">
        <v>14</v>
      </c>
      <c r="E6" s="195">
        <v>47510616</v>
      </c>
      <c r="F6" s="196">
        <v>9027017</v>
      </c>
      <c r="G6" s="197">
        <f t="shared" si="0"/>
        <v>56537633</v>
      </c>
      <c r="H6" s="204"/>
      <c r="J6" s="206"/>
    </row>
    <row r="7" spans="1:11" ht="15" customHeight="1" x14ac:dyDescent="0.2">
      <c r="A7" s="208">
        <f t="shared" si="1"/>
        <v>6</v>
      </c>
      <c r="B7" s="192" t="s">
        <v>21</v>
      </c>
      <c r="C7" s="43" t="s">
        <v>22</v>
      </c>
      <c r="D7" s="191" t="s">
        <v>14</v>
      </c>
      <c r="E7" s="195">
        <v>47510616</v>
      </c>
      <c r="F7" s="196">
        <v>9027017</v>
      </c>
      <c r="G7" s="197">
        <f t="shared" si="0"/>
        <v>56537633</v>
      </c>
      <c r="H7" s="204"/>
      <c r="I7" s="205"/>
      <c r="J7" s="206"/>
      <c r="K7" s="207"/>
    </row>
    <row r="8" spans="1:11" ht="15" customHeight="1" x14ac:dyDescent="0.2">
      <c r="A8" s="208">
        <f t="shared" si="1"/>
        <v>7</v>
      </c>
      <c r="B8" s="192" t="s">
        <v>23</v>
      </c>
      <c r="C8" s="43" t="s">
        <v>24</v>
      </c>
      <c r="D8" s="191" t="s">
        <v>14</v>
      </c>
      <c r="E8" s="195">
        <v>47510616</v>
      </c>
      <c r="F8" s="196">
        <v>9027017</v>
      </c>
      <c r="G8" s="197">
        <f t="shared" si="0"/>
        <v>56537633</v>
      </c>
      <c r="H8" s="204"/>
      <c r="I8" s="205"/>
      <c r="J8" s="206"/>
    </row>
    <row r="9" spans="1:11" ht="15" customHeight="1" x14ac:dyDescent="0.2">
      <c r="A9" s="208">
        <f t="shared" si="1"/>
        <v>8</v>
      </c>
      <c r="B9" s="192" t="s">
        <v>25</v>
      </c>
      <c r="C9" s="43" t="s">
        <v>26</v>
      </c>
      <c r="D9" s="191" t="s">
        <v>14</v>
      </c>
      <c r="E9" s="195">
        <v>47510616</v>
      </c>
      <c r="F9" s="196">
        <v>9027017</v>
      </c>
      <c r="G9" s="197">
        <f t="shared" si="0"/>
        <v>56537633</v>
      </c>
      <c r="H9" s="204"/>
      <c r="J9" s="206"/>
      <c r="K9" s="207"/>
    </row>
    <row r="10" spans="1:11" x14ac:dyDescent="0.2">
      <c r="A10" s="208">
        <f t="shared" si="1"/>
        <v>9</v>
      </c>
      <c r="B10" s="192" t="s">
        <v>27</v>
      </c>
      <c r="C10" s="43" t="s">
        <v>28</v>
      </c>
      <c r="D10" s="191" t="s">
        <v>14</v>
      </c>
      <c r="E10" s="195">
        <v>47510616</v>
      </c>
      <c r="F10" s="196">
        <v>9027017</v>
      </c>
      <c r="G10" s="197">
        <f t="shared" si="0"/>
        <v>56537633</v>
      </c>
      <c r="H10" s="204"/>
    </row>
    <row r="11" spans="1:11" x14ac:dyDescent="0.2">
      <c r="A11" s="208">
        <f t="shared" si="1"/>
        <v>10</v>
      </c>
      <c r="B11" s="192" t="s">
        <v>29</v>
      </c>
      <c r="C11" s="43" t="s">
        <v>30</v>
      </c>
      <c r="D11" s="191" t="s">
        <v>14</v>
      </c>
      <c r="E11" s="195">
        <v>47510616</v>
      </c>
      <c r="F11" s="196">
        <v>9027017</v>
      </c>
      <c r="G11" s="197">
        <f t="shared" si="0"/>
        <v>56537633</v>
      </c>
      <c r="H11" s="204"/>
    </row>
    <row r="12" spans="1:11" x14ac:dyDescent="0.2">
      <c r="A12" s="208">
        <f t="shared" si="1"/>
        <v>11</v>
      </c>
      <c r="B12" s="192" t="s">
        <v>31</v>
      </c>
      <c r="C12" s="43" t="s">
        <v>32</v>
      </c>
      <c r="D12" s="191" t="s">
        <v>14</v>
      </c>
      <c r="E12" s="195">
        <v>47510616</v>
      </c>
      <c r="F12" s="196">
        <v>9027017</v>
      </c>
      <c r="G12" s="197">
        <f t="shared" si="0"/>
        <v>56537633</v>
      </c>
      <c r="H12" s="204"/>
    </row>
    <row r="13" spans="1:11" x14ac:dyDescent="0.2">
      <c r="A13" s="208">
        <f t="shared" si="1"/>
        <v>12</v>
      </c>
      <c r="B13" s="192" t="s">
        <v>33</v>
      </c>
      <c r="C13" s="43" t="s">
        <v>34</v>
      </c>
      <c r="D13" s="191" t="s">
        <v>14</v>
      </c>
      <c r="E13" s="195">
        <v>47510616</v>
      </c>
      <c r="F13" s="196">
        <v>9027017</v>
      </c>
      <c r="G13" s="197">
        <f t="shared" si="0"/>
        <v>56537633</v>
      </c>
      <c r="H13" s="204"/>
    </row>
    <row r="14" spans="1:11" s="210" customFormat="1" x14ac:dyDescent="0.2">
      <c r="A14" s="208">
        <f t="shared" si="1"/>
        <v>13</v>
      </c>
      <c r="B14" s="29" t="s">
        <v>40</v>
      </c>
      <c r="C14" s="30" t="s">
        <v>41</v>
      </c>
      <c r="D14" s="30" t="s">
        <v>14</v>
      </c>
      <c r="E14" s="195">
        <v>47510616</v>
      </c>
      <c r="F14" s="196">
        <v>9027017</v>
      </c>
      <c r="G14" s="197">
        <f t="shared" si="0"/>
        <v>56537633</v>
      </c>
      <c r="H14" s="204"/>
    </row>
    <row r="15" spans="1:11" ht="25.5" x14ac:dyDescent="0.2">
      <c r="A15" s="208">
        <f t="shared" si="1"/>
        <v>14</v>
      </c>
      <c r="B15" s="192" t="s">
        <v>42</v>
      </c>
      <c r="C15" s="43" t="s">
        <v>43</v>
      </c>
      <c r="D15" s="193" t="s">
        <v>44</v>
      </c>
      <c r="E15" s="195">
        <v>47510616</v>
      </c>
      <c r="F15" s="196">
        <v>9027017</v>
      </c>
      <c r="G15" s="197">
        <f t="shared" si="0"/>
        <v>56537633</v>
      </c>
      <c r="H15" s="204"/>
    </row>
    <row r="16" spans="1:11" x14ac:dyDescent="0.2">
      <c r="A16" s="208">
        <f t="shared" si="1"/>
        <v>15</v>
      </c>
      <c r="B16" s="259" t="s">
        <v>45</v>
      </c>
      <c r="C16" s="43" t="s">
        <v>46</v>
      </c>
      <c r="D16" s="260" t="s">
        <v>47</v>
      </c>
      <c r="E16" s="195">
        <v>47510616</v>
      </c>
      <c r="F16" s="196">
        <v>9027017</v>
      </c>
      <c r="G16" s="197">
        <f t="shared" si="0"/>
        <v>56537633</v>
      </c>
      <c r="H16" s="204"/>
    </row>
    <row r="17" spans="1:9" x14ac:dyDescent="0.2">
      <c r="A17" s="208">
        <f t="shared" si="1"/>
        <v>16</v>
      </c>
      <c r="B17" s="259"/>
      <c r="C17" s="43" t="s">
        <v>48</v>
      </c>
      <c r="D17" s="260"/>
      <c r="E17" s="195">
        <v>47510616</v>
      </c>
      <c r="F17" s="196">
        <v>9027017</v>
      </c>
      <c r="G17" s="197">
        <f t="shared" si="0"/>
        <v>56537633</v>
      </c>
      <c r="H17" s="204"/>
    </row>
    <row r="18" spans="1:9" x14ac:dyDescent="0.2">
      <c r="A18" s="208">
        <f t="shared" si="1"/>
        <v>17</v>
      </c>
      <c r="B18" s="259"/>
      <c r="C18" s="43" t="s">
        <v>49</v>
      </c>
      <c r="D18" s="260"/>
      <c r="E18" s="195">
        <v>47510616</v>
      </c>
      <c r="F18" s="196">
        <v>9027017</v>
      </c>
      <c r="G18" s="197">
        <f t="shared" si="0"/>
        <v>56537633</v>
      </c>
      <c r="H18" s="204"/>
    </row>
    <row r="19" spans="1:9" x14ac:dyDescent="0.2">
      <c r="A19" s="208">
        <f t="shared" si="1"/>
        <v>18</v>
      </c>
      <c r="B19" s="259"/>
      <c r="C19" s="43" t="s">
        <v>50</v>
      </c>
      <c r="D19" s="260"/>
      <c r="E19" s="195">
        <v>47510616</v>
      </c>
      <c r="F19" s="196">
        <v>9027017</v>
      </c>
      <c r="G19" s="197">
        <f t="shared" si="0"/>
        <v>56537633</v>
      </c>
      <c r="H19" s="204"/>
    </row>
    <row r="20" spans="1:9" x14ac:dyDescent="0.2">
      <c r="A20" s="208">
        <f t="shared" si="1"/>
        <v>19</v>
      </c>
      <c r="B20" s="259"/>
      <c r="C20" s="43" t="s">
        <v>76</v>
      </c>
      <c r="D20" s="260"/>
      <c r="E20" s="195">
        <v>47510616</v>
      </c>
      <c r="F20" s="196">
        <v>9027017</v>
      </c>
      <c r="G20" s="197">
        <f t="shared" si="0"/>
        <v>56537633</v>
      </c>
      <c r="H20" s="204"/>
    </row>
    <row r="21" spans="1:9" x14ac:dyDescent="0.2">
      <c r="A21" s="208">
        <f t="shared" si="1"/>
        <v>20</v>
      </c>
      <c r="B21" s="260" t="s">
        <v>51</v>
      </c>
      <c r="C21" s="43" t="s">
        <v>52</v>
      </c>
      <c r="D21" s="193"/>
      <c r="E21" s="195">
        <v>47510616</v>
      </c>
      <c r="F21" s="196">
        <v>9027017</v>
      </c>
      <c r="G21" s="197">
        <f t="shared" si="0"/>
        <v>56537633</v>
      </c>
      <c r="H21" s="204"/>
    </row>
    <row r="22" spans="1:9" x14ac:dyDescent="0.2">
      <c r="A22" s="208">
        <f t="shared" si="1"/>
        <v>21</v>
      </c>
      <c r="B22" s="260"/>
      <c r="C22" s="43" t="s">
        <v>75</v>
      </c>
      <c r="D22" s="193"/>
      <c r="E22" s="195">
        <v>47510616</v>
      </c>
      <c r="F22" s="196">
        <v>9027017</v>
      </c>
      <c r="G22" s="197">
        <f t="shared" si="0"/>
        <v>56537633</v>
      </c>
      <c r="H22" s="204"/>
    </row>
    <row r="23" spans="1:9" ht="20.25" customHeight="1" x14ac:dyDescent="0.2">
      <c r="A23" s="208">
        <f t="shared" si="1"/>
        <v>22</v>
      </c>
      <c r="B23" s="259" t="s">
        <v>53</v>
      </c>
      <c r="C23" s="43" t="s">
        <v>54</v>
      </c>
      <c r="D23" s="258" t="s">
        <v>55</v>
      </c>
      <c r="E23" s="195">
        <v>47510616</v>
      </c>
      <c r="F23" s="196">
        <v>9027017</v>
      </c>
      <c r="G23" s="197">
        <f t="shared" si="0"/>
        <v>56537633</v>
      </c>
      <c r="H23" s="204"/>
    </row>
    <row r="24" spans="1:9" x14ac:dyDescent="0.2">
      <c r="A24" s="208">
        <f t="shared" si="1"/>
        <v>23</v>
      </c>
      <c r="B24" s="259"/>
      <c r="C24" s="43" t="s">
        <v>56</v>
      </c>
      <c r="D24" s="258"/>
      <c r="E24" s="195">
        <v>47510616</v>
      </c>
      <c r="F24" s="196">
        <v>9027017</v>
      </c>
      <c r="G24" s="197">
        <f t="shared" si="0"/>
        <v>56537633</v>
      </c>
      <c r="H24" s="204"/>
    </row>
    <row r="25" spans="1:9" ht="20.25" customHeight="1" x14ac:dyDescent="0.2">
      <c r="A25" s="208">
        <f t="shared" si="1"/>
        <v>24</v>
      </c>
      <c r="B25" s="259" t="s">
        <v>57</v>
      </c>
      <c r="C25" s="43" t="s">
        <v>58</v>
      </c>
      <c r="D25" s="258" t="s">
        <v>59</v>
      </c>
      <c r="E25" s="195">
        <v>47510616</v>
      </c>
      <c r="F25" s="196">
        <v>9027017</v>
      </c>
      <c r="G25" s="197">
        <f t="shared" si="0"/>
        <v>56537633</v>
      </c>
      <c r="H25" s="204"/>
    </row>
    <row r="26" spans="1:9" x14ac:dyDescent="0.2">
      <c r="A26" s="208">
        <f t="shared" si="1"/>
        <v>25</v>
      </c>
      <c r="B26" s="259"/>
      <c r="C26" s="43" t="s">
        <v>60</v>
      </c>
      <c r="D26" s="258"/>
      <c r="E26" s="195">
        <v>47510616</v>
      </c>
      <c r="F26" s="196">
        <v>9027017</v>
      </c>
      <c r="G26" s="197">
        <f t="shared" si="0"/>
        <v>56537633</v>
      </c>
      <c r="H26" s="204"/>
    </row>
    <row r="27" spans="1:9" x14ac:dyDescent="0.2">
      <c r="A27" s="208">
        <f t="shared" si="1"/>
        <v>26</v>
      </c>
      <c r="B27" s="186" t="s">
        <v>35</v>
      </c>
      <c r="C27" s="187" t="s">
        <v>36</v>
      </c>
      <c r="D27" s="187" t="s">
        <v>14</v>
      </c>
      <c r="E27" s="198">
        <v>47510616</v>
      </c>
      <c r="F27" s="199"/>
      <c r="G27" s="200">
        <f t="shared" si="0"/>
        <v>47510616</v>
      </c>
      <c r="H27" s="204"/>
    </row>
    <row r="28" spans="1:9" x14ac:dyDescent="0.2">
      <c r="A28" s="208">
        <f t="shared" si="1"/>
        <v>27</v>
      </c>
      <c r="B28" s="27" t="s">
        <v>35</v>
      </c>
      <c r="C28" s="28" t="s">
        <v>37</v>
      </c>
      <c r="D28" s="28" t="s">
        <v>14</v>
      </c>
      <c r="E28" s="198">
        <v>47510616</v>
      </c>
      <c r="F28" s="199"/>
      <c r="G28" s="200">
        <f t="shared" si="0"/>
        <v>47510616</v>
      </c>
      <c r="H28" s="204"/>
    </row>
    <row r="29" spans="1:9" x14ac:dyDescent="0.2">
      <c r="A29" s="208">
        <f t="shared" si="1"/>
        <v>28</v>
      </c>
      <c r="B29" s="27" t="s">
        <v>38</v>
      </c>
      <c r="C29" s="28" t="s">
        <v>39</v>
      </c>
      <c r="D29" s="28" t="s">
        <v>14</v>
      </c>
      <c r="E29" s="198">
        <v>47510616</v>
      </c>
      <c r="F29" s="199"/>
      <c r="G29" s="200">
        <f t="shared" si="0"/>
        <v>47510616</v>
      </c>
      <c r="H29" s="204"/>
    </row>
    <row r="30" spans="1:9" ht="26.25" customHeight="1" thickBot="1" x14ac:dyDescent="0.25">
      <c r="A30" s="211"/>
      <c r="B30" s="63"/>
      <c r="C30" s="64"/>
      <c r="D30" s="64"/>
      <c r="E30" s="65">
        <f>SUM(E2:E29)</f>
        <v>1330297248</v>
      </c>
      <c r="F30" s="65">
        <f>SUM(F2:F29)</f>
        <v>225675425</v>
      </c>
      <c r="G30" s="65">
        <f>SUM(G2:G29)</f>
        <v>1555972673</v>
      </c>
      <c r="H30" s="65"/>
      <c r="I30" s="31"/>
    </row>
    <row r="31" spans="1:9" x14ac:dyDescent="0.2">
      <c r="A31" s="212"/>
    </row>
    <row r="32" spans="1:9" ht="13.5" thickBot="1" x14ac:dyDescent="0.25">
      <c r="E32" s="65"/>
      <c r="F32" s="31"/>
      <c r="G32" s="205"/>
      <c r="I32" s="204"/>
    </row>
    <row r="33" spans="5:6" x14ac:dyDescent="0.2">
      <c r="E33" s="205"/>
    </row>
    <row r="34" spans="5:6" x14ac:dyDescent="0.2">
      <c r="F34" s="204"/>
    </row>
  </sheetData>
  <mergeCells count="7">
    <mergeCell ref="D25:D26"/>
    <mergeCell ref="B16:B20"/>
    <mergeCell ref="D16:D20"/>
    <mergeCell ref="B23:B24"/>
    <mergeCell ref="D23:D24"/>
    <mergeCell ref="B25:B26"/>
    <mergeCell ref="B21:B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Analisis de historicos  x IPC</vt:lpstr>
      <vt:lpstr>DvSTAND Valores atipicos</vt:lpstr>
      <vt:lpstr>Resultado Cotizacion 2023</vt:lpstr>
      <vt:lpstr>Comparacion Historico vs Co (2)</vt:lpstr>
      <vt:lpstr>Rubro presupuestal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 Anturi Correa</dc:creator>
  <cp:lastModifiedBy>Luz Maria</cp:lastModifiedBy>
  <cp:lastPrinted>2020-02-12T17:10:30Z</cp:lastPrinted>
  <dcterms:created xsi:type="dcterms:W3CDTF">2014-01-07T16:33:54Z</dcterms:created>
  <dcterms:modified xsi:type="dcterms:W3CDTF">2023-05-23T14:34:40Z</dcterms:modified>
</cp:coreProperties>
</file>