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codeName="{5022B3EB-BCE5-7840-4BB8-8062D341818C}"/>
  <workbookPr codeName="ThisWorkbook"/>
  <mc:AlternateContent xmlns:mc="http://schemas.openxmlformats.org/markup-compatibility/2006">
    <mc:Choice Requires="x15">
      <x15ac:absPath xmlns:x15ac="http://schemas.microsoft.com/office/spreadsheetml/2010/11/ac" url="https://anionline-my.sharepoint.com/personal/bjimenez_ani_gov_co/Documents/Escritorio/LICITACIÓN CORREDOR FÉRREO DORADA CHIRIGUANÁ/12. ADJUDICACIÓN/"/>
    </mc:Choice>
  </mc:AlternateContent>
  <xr:revisionPtr revIDLastSave="0" documentId="8_{D47DAFCC-C7C3-4F0B-9FAE-E5437575EFCA}" xr6:coauthVersionLast="47" xr6:coauthVersionMax="47" xr10:uidLastSave="{00000000-0000-0000-0000-000000000000}"/>
  <bookViews>
    <workbookView xWindow="-120" yWindow="-120" windowWidth="20730" windowHeight="11160" tabRatio="597" firstSheet="1" activeTab="4" xr2:uid="{00000000-000D-0000-FFFF-FFFF00000000}"/>
  </bookViews>
  <sheets>
    <sheet name="PAB" sheetId="108" state="hidden" r:id="rId1"/>
    <sheet name="RESUMEN" sheetId="13" r:id="rId2"/>
    <sheet name="VR-PROP" sheetId="15" r:id="rId3"/>
    <sheet name="FORMULA" sheetId="107" r:id="rId4"/>
    <sheet name="ELEGIBILIDAD" sheetId="10" r:id="rId5"/>
    <sheet name="Hoja1" sheetId="121" r:id="rId6"/>
    <sheet name="GUIA CCE - PAB&lt;5" sheetId="120" state="hidden" r:id="rId7"/>
    <sheet name="Listas" sheetId="106" state="veryHidden" r:id="rId8"/>
  </sheets>
  <externalReferences>
    <externalReference r:id="rId9"/>
    <externalReference r:id="rId10"/>
  </externalReferences>
  <definedNames>
    <definedName name="_xlnm._FilterDatabase" localSheetId="2" hidden="1">'VR-PROP'!$I$109:$K$113</definedName>
    <definedName name="_xlnm.Print_Area" localSheetId="4">ELEGIBILIDAD!$A$1:$Y$23</definedName>
    <definedName name="_xlnm.Print_Area" localSheetId="1">RESUMEN!$B$1:$K$27</definedName>
    <definedName name="_xlnm.Print_Area" localSheetId="2">'VR-PROP'!$A$1:$K$117</definedName>
    <definedName name="DEPENDENCIAS" localSheetId="6">[1]Listas!$B$2:$B$16</definedName>
    <definedName name="DEPENDENCIAS" localSheetId="0">[2]Listas!$B$2:$B$16</definedName>
    <definedName name="DEPENDENCIAS">Listas!$B$2:$B$17</definedName>
    <definedName name="METEVA" localSheetId="6">[1]Listas!$D$2:$D$7</definedName>
    <definedName name="METEVA" localSheetId="0">[2]Listas!$D$2:$D$7</definedName>
    <definedName name="METEVA">Listas!$D$2:$D$7</definedName>
    <definedName name="RESULTADO" localSheetId="6">[1]Listas!$C$2:$C$4</definedName>
    <definedName name="RESULTADO" localSheetId="0">[2]Listas!$C$2:$C$4</definedName>
    <definedName name="RESULTADO">Listas!$C$2:$C$4</definedName>
    <definedName name="_xlnm.Print_Titles" localSheetId="4">ELEGIBILIDAD!$1:$15</definedName>
    <definedName name="_xlnm.Print_Titles" localSheetId="3">FORMULA!$1:$11</definedName>
    <definedName name="_xlnm.Print_Titles" localSheetId="6">'GUIA CCE - PAB&lt;5'!#REF!</definedName>
    <definedName name="_xlnm.Print_Titles" localSheetId="0">PAB!#REF!</definedName>
    <definedName name="_xlnm.Print_Titles" localSheetId="2">'VR-PROP'!$B:$H</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121" l="1"/>
  <c r="C26" i="121"/>
  <c r="C15" i="121"/>
  <c r="C29" i="121" s="1"/>
  <c r="C16" i="121"/>
  <c r="H109" i="15"/>
  <c r="H104" i="15"/>
  <c r="H105" i="15" s="1"/>
  <c r="P33" i="15"/>
  <c r="P34" i="15" s="1"/>
  <c r="P106" i="15" s="1"/>
  <c r="P108" i="15" s="1"/>
  <c r="AE33" i="15"/>
  <c r="AB33" i="15"/>
  <c r="Y33" i="15"/>
  <c r="V33" i="15"/>
  <c r="S33" i="15"/>
  <c r="M33" i="15"/>
  <c r="J33" i="15"/>
  <c r="H33" i="15"/>
  <c r="M222" i="106"/>
  <c r="J222" i="106"/>
  <c r="I222" i="106"/>
  <c r="M221" i="106"/>
  <c r="J221" i="106"/>
  <c r="I221" i="106"/>
  <c r="M220" i="106"/>
  <c r="J220" i="106"/>
  <c r="I220" i="106"/>
  <c r="M219" i="106"/>
  <c r="J219" i="106"/>
  <c r="I219" i="106"/>
  <c r="M218" i="106"/>
  <c r="J218" i="106"/>
  <c r="I218" i="106"/>
  <c r="M217" i="106"/>
  <c r="J217" i="106"/>
  <c r="I217" i="106"/>
  <c r="M216" i="106"/>
  <c r="J216" i="106"/>
  <c r="I216" i="106"/>
  <c r="M215" i="106"/>
  <c r="J215" i="106"/>
  <c r="I215" i="106"/>
  <c r="M214" i="106"/>
  <c r="J214" i="106"/>
  <c r="I214" i="106"/>
  <c r="M213" i="106"/>
  <c r="J213" i="106"/>
  <c r="I213" i="106"/>
  <c r="M212" i="106"/>
  <c r="J212" i="106"/>
  <c r="I212" i="106"/>
  <c r="M211" i="106"/>
  <c r="J211" i="106"/>
  <c r="I211" i="106"/>
  <c r="M210" i="106"/>
  <c r="J210" i="106"/>
  <c r="I210" i="106"/>
  <c r="M209" i="106"/>
  <c r="J209" i="106"/>
  <c r="I209" i="106"/>
  <c r="M208" i="106"/>
  <c r="J208" i="106"/>
  <c r="I208" i="106"/>
  <c r="M207" i="106"/>
  <c r="J207" i="106"/>
  <c r="I207" i="106"/>
  <c r="M206" i="106"/>
  <c r="J206" i="106"/>
  <c r="I206" i="106"/>
  <c r="M205" i="106"/>
  <c r="J205" i="106"/>
  <c r="I205" i="106"/>
  <c r="M204" i="106"/>
  <c r="J204" i="106"/>
  <c r="I204" i="106"/>
  <c r="M203" i="106"/>
  <c r="J203" i="106"/>
  <c r="I203" i="106"/>
  <c r="M202" i="106"/>
  <c r="J202" i="106"/>
  <c r="I202" i="106"/>
  <c r="M201" i="106"/>
  <c r="J201" i="106"/>
  <c r="I201" i="106"/>
  <c r="M200" i="106"/>
  <c r="J200" i="106"/>
  <c r="I200" i="106"/>
  <c r="M199" i="106"/>
  <c r="J199" i="106"/>
  <c r="I199" i="106"/>
  <c r="M198" i="106"/>
  <c r="J198" i="106"/>
  <c r="I198" i="106"/>
  <c r="M197" i="106"/>
  <c r="J197" i="106"/>
  <c r="I197" i="106"/>
  <c r="M196" i="106"/>
  <c r="J196" i="106"/>
  <c r="I196" i="106"/>
  <c r="M195" i="106"/>
  <c r="J195" i="106"/>
  <c r="I195" i="106"/>
  <c r="M194" i="106"/>
  <c r="J194" i="106"/>
  <c r="I194" i="106"/>
  <c r="M193" i="106"/>
  <c r="J193" i="106"/>
  <c r="I193" i="106"/>
  <c r="M192" i="106"/>
  <c r="J192" i="106"/>
  <c r="I192" i="106"/>
  <c r="M191" i="106"/>
  <c r="J191" i="106"/>
  <c r="I191" i="106"/>
  <c r="M190" i="106"/>
  <c r="J190" i="106"/>
  <c r="I190" i="106"/>
  <c r="M189" i="106"/>
  <c r="J189" i="106"/>
  <c r="I189" i="106"/>
  <c r="M188" i="106"/>
  <c r="J188" i="106"/>
  <c r="I188" i="106"/>
  <c r="M187" i="106"/>
  <c r="J187" i="106"/>
  <c r="I187" i="106"/>
  <c r="M186" i="106"/>
  <c r="J186" i="106"/>
  <c r="I186" i="106"/>
  <c r="M185" i="106"/>
  <c r="J185" i="106"/>
  <c r="I185" i="106"/>
  <c r="M184" i="106"/>
  <c r="J184" i="106"/>
  <c r="I184" i="106"/>
  <c r="M183" i="106"/>
  <c r="J183" i="106"/>
  <c r="I183" i="106"/>
  <c r="M182" i="106"/>
  <c r="J182" i="106"/>
  <c r="I182" i="106"/>
  <c r="M181" i="106"/>
  <c r="J181" i="106"/>
  <c r="I181" i="106"/>
  <c r="M180" i="106"/>
  <c r="J180" i="106"/>
  <c r="I180" i="106"/>
  <c r="M179" i="106"/>
  <c r="J179" i="106"/>
  <c r="I179" i="106"/>
  <c r="M178" i="106"/>
  <c r="J178" i="106"/>
  <c r="I178" i="106"/>
  <c r="M177" i="106"/>
  <c r="J177" i="106"/>
  <c r="I177" i="106"/>
  <c r="M176" i="106"/>
  <c r="J176" i="106"/>
  <c r="I176" i="106"/>
  <c r="M175" i="106"/>
  <c r="J175" i="106"/>
  <c r="I175" i="106"/>
  <c r="M174" i="106"/>
  <c r="J174" i="106"/>
  <c r="I174" i="106"/>
  <c r="M173" i="106"/>
  <c r="J173" i="106"/>
  <c r="I173" i="106"/>
  <c r="M172" i="106"/>
  <c r="J172" i="106"/>
  <c r="I172" i="106"/>
  <c r="M171" i="106"/>
  <c r="J171" i="106"/>
  <c r="I171" i="106"/>
  <c r="M170" i="106"/>
  <c r="J170" i="106"/>
  <c r="I170" i="106"/>
  <c r="M169" i="106"/>
  <c r="J169" i="106"/>
  <c r="I169" i="106"/>
  <c r="M168" i="106"/>
  <c r="J168" i="106"/>
  <c r="I168" i="106"/>
  <c r="M167" i="106"/>
  <c r="J167" i="106"/>
  <c r="I167" i="106"/>
  <c r="M166" i="106"/>
  <c r="J166" i="106"/>
  <c r="I166" i="106"/>
  <c r="M165" i="106"/>
  <c r="J165" i="106"/>
  <c r="I165" i="106"/>
  <c r="M164" i="106"/>
  <c r="J164" i="106"/>
  <c r="I164" i="106"/>
  <c r="M163" i="106"/>
  <c r="J163" i="106"/>
  <c r="I163" i="106"/>
  <c r="M162" i="106"/>
  <c r="J162" i="106"/>
  <c r="I162" i="106"/>
  <c r="M161" i="106"/>
  <c r="J161" i="106"/>
  <c r="I161" i="106"/>
  <c r="M160" i="106"/>
  <c r="J160" i="106"/>
  <c r="I160" i="106"/>
  <c r="M159" i="106"/>
  <c r="J159" i="106"/>
  <c r="I159" i="106"/>
  <c r="M158" i="106"/>
  <c r="J158" i="106"/>
  <c r="I158" i="106"/>
  <c r="M157" i="106"/>
  <c r="J157" i="106"/>
  <c r="I157" i="106"/>
  <c r="M156" i="106"/>
  <c r="J156" i="106"/>
  <c r="I156" i="106"/>
  <c r="M155" i="106"/>
  <c r="J155" i="106"/>
  <c r="I155" i="106"/>
  <c r="M154" i="106"/>
  <c r="J154" i="106"/>
  <c r="I154" i="106"/>
  <c r="M153" i="106"/>
  <c r="J153" i="106"/>
  <c r="I153" i="106"/>
  <c r="M152" i="106"/>
  <c r="J152" i="106"/>
  <c r="I152" i="106"/>
  <c r="M151" i="106"/>
  <c r="J151" i="106"/>
  <c r="I151" i="106"/>
  <c r="M150" i="106"/>
  <c r="J150" i="106"/>
  <c r="I150" i="106"/>
  <c r="M149" i="106"/>
  <c r="J149" i="106"/>
  <c r="I149" i="106"/>
  <c r="M148" i="106"/>
  <c r="J148" i="106"/>
  <c r="I148" i="106"/>
  <c r="M147" i="106"/>
  <c r="J147" i="106"/>
  <c r="I147" i="106"/>
  <c r="M146" i="106"/>
  <c r="J146" i="106"/>
  <c r="I146" i="106"/>
  <c r="M145" i="106"/>
  <c r="J145" i="106"/>
  <c r="I145" i="106"/>
  <c r="M144" i="106"/>
  <c r="J144" i="106"/>
  <c r="I144" i="106"/>
  <c r="M143" i="106"/>
  <c r="J143" i="106"/>
  <c r="I143" i="106"/>
  <c r="M142" i="106"/>
  <c r="J142" i="106"/>
  <c r="I142" i="106"/>
  <c r="M141" i="106"/>
  <c r="J141" i="106"/>
  <c r="I141" i="106"/>
  <c r="M140" i="106"/>
  <c r="J140" i="106"/>
  <c r="I140" i="106"/>
  <c r="M139" i="106"/>
  <c r="J139" i="106"/>
  <c r="I139" i="106"/>
  <c r="M138" i="106"/>
  <c r="J138" i="106"/>
  <c r="I138" i="106"/>
  <c r="M137" i="106"/>
  <c r="J137" i="106"/>
  <c r="I137" i="106"/>
  <c r="M136" i="106"/>
  <c r="J136" i="106"/>
  <c r="I136" i="106"/>
  <c r="M135" i="106"/>
  <c r="J135" i="106"/>
  <c r="I135" i="106"/>
  <c r="M134" i="106"/>
  <c r="J134" i="106"/>
  <c r="I134" i="106"/>
  <c r="M133" i="106"/>
  <c r="J133" i="106"/>
  <c r="I133" i="106"/>
  <c r="M132" i="106"/>
  <c r="J132" i="106"/>
  <c r="I132" i="106"/>
  <c r="M131" i="106"/>
  <c r="J131" i="106"/>
  <c r="I131" i="106"/>
  <c r="M130" i="106"/>
  <c r="J130" i="106"/>
  <c r="I130" i="106"/>
  <c r="M129" i="106"/>
  <c r="J129" i="106"/>
  <c r="I129" i="106"/>
  <c r="M128" i="106"/>
  <c r="J128" i="106"/>
  <c r="I128" i="106"/>
  <c r="M127" i="106"/>
  <c r="J127" i="106"/>
  <c r="I127" i="106"/>
  <c r="M126" i="106"/>
  <c r="J126" i="106"/>
  <c r="I126" i="106"/>
  <c r="M125" i="106"/>
  <c r="J125" i="106"/>
  <c r="I125" i="106"/>
  <c r="M124" i="106"/>
  <c r="J124" i="106"/>
  <c r="I124" i="106"/>
  <c r="M123" i="106"/>
  <c r="J123" i="106"/>
  <c r="I123" i="106"/>
  <c r="M122" i="106"/>
  <c r="J122" i="106"/>
  <c r="I122" i="106"/>
  <c r="M121" i="106"/>
  <c r="J121" i="106"/>
  <c r="I121" i="106"/>
  <c r="M120" i="106"/>
  <c r="J120" i="106"/>
  <c r="I120" i="106"/>
  <c r="M119" i="106"/>
  <c r="J119" i="106"/>
  <c r="I119" i="106"/>
  <c r="M118" i="106"/>
  <c r="J118" i="106"/>
  <c r="I118" i="106"/>
  <c r="M117" i="106"/>
  <c r="J117" i="106"/>
  <c r="I117" i="106"/>
  <c r="M116" i="106"/>
  <c r="J116" i="106"/>
  <c r="I116" i="106"/>
  <c r="M115" i="106"/>
  <c r="J115" i="106"/>
  <c r="I115" i="106"/>
  <c r="M114" i="106"/>
  <c r="J114" i="106"/>
  <c r="I114" i="106"/>
  <c r="M113" i="106"/>
  <c r="J113" i="106"/>
  <c r="I113" i="106"/>
  <c r="M112" i="106"/>
  <c r="J112" i="106"/>
  <c r="I112" i="106"/>
  <c r="M111" i="106"/>
  <c r="J111" i="106"/>
  <c r="I111" i="106"/>
  <c r="M110" i="106"/>
  <c r="J110" i="106"/>
  <c r="I110" i="106"/>
  <c r="M109" i="106"/>
  <c r="J109" i="106"/>
  <c r="I109" i="106"/>
  <c r="M108" i="106"/>
  <c r="J108" i="106"/>
  <c r="I108" i="106"/>
  <c r="M107" i="106"/>
  <c r="J107" i="106"/>
  <c r="I107" i="106"/>
  <c r="M106" i="106"/>
  <c r="J106" i="106"/>
  <c r="I106" i="106"/>
  <c r="M105" i="106"/>
  <c r="J105" i="106"/>
  <c r="I105" i="106"/>
  <c r="M104" i="106"/>
  <c r="J104" i="106"/>
  <c r="I104" i="106"/>
  <c r="M103" i="106"/>
  <c r="J103" i="106"/>
  <c r="I103" i="106"/>
  <c r="M102" i="106"/>
  <c r="J102" i="106"/>
  <c r="I102" i="106"/>
  <c r="M101" i="106"/>
  <c r="J101" i="106"/>
  <c r="I101" i="106"/>
  <c r="M100" i="106"/>
  <c r="J100" i="106"/>
  <c r="I100" i="106"/>
  <c r="M99" i="106"/>
  <c r="J99" i="106"/>
  <c r="I99" i="106"/>
  <c r="M98" i="106"/>
  <c r="J98" i="106"/>
  <c r="I98" i="106"/>
  <c r="M97" i="106"/>
  <c r="J97" i="106"/>
  <c r="I97" i="106"/>
  <c r="M96" i="106"/>
  <c r="J96" i="106"/>
  <c r="I96" i="106"/>
  <c r="M95" i="106"/>
  <c r="J95" i="106"/>
  <c r="I95" i="106"/>
  <c r="M94" i="106"/>
  <c r="J94" i="106"/>
  <c r="I94" i="106"/>
  <c r="M93" i="106"/>
  <c r="J93" i="106"/>
  <c r="I93" i="106"/>
  <c r="M92" i="106"/>
  <c r="J92" i="106"/>
  <c r="I92" i="106"/>
  <c r="M91" i="106"/>
  <c r="J91" i="106"/>
  <c r="I91" i="106"/>
  <c r="M90" i="106"/>
  <c r="J90" i="106"/>
  <c r="I90" i="106"/>
  <c r="M89" i="106"/>
  <c r="J89" i="106"/>
  <c r="I89" i="106"/>
  <c r="M88" i="106"/>
  <c r="J88" i="106"/>
  <c r="I88" i="106"/>
  <c r="M87" i="106"/>
  <c r="J87" i="106"/>
  <c r="I87" i="106"/>
  <c r="M86" i="106"/>
  <c r="J86" i="106"/>
  <c r="I86" i="106"/>
  <c r="M85" i="106"/>
  <c r="J85" i="106"/>
  <c r="I85" i="106"/>
  <c r="M84" i="106"/>
  <c r="J84" i="106"/>
  <c r="I84" i="106"/>
  <c r="M83" i="106"/>
  <c r="J83" i="106"/>
  <c r="I83" i="106"/>
  <c r="M82" i="106"/>
  <c r="J82" i="106"/>
  <c r="I82" i="106"/>
  <c r="M81" i="106"/>
  <c r="J81" i="106"/>
  <c r="I81" i="106"/>
  <c r="M80" i="106"/>
  <c r="J80" i="106"/>
  <c r="I80" i="106"/>
  <c r="M79" i="106"/>
  <c r="J79" i="106"/>
  <c r="I79" i="106"/>
  <c r="M78" i="106"/>
  <c r="J78" i="106"/>
  <c r="I78" i="106"/>
  <c r="M77" i="106"/>
  <c r="J77" i="106"/>
  <c r="I77" i="106"/>
  <c r="M76" i="106"/>
  <c r="J76" i="106"/>
  <c r="I76" i="106"/>
  <c r="M75" i="106"/>
  <c r="J75" i="106"/>
  <c r="I75" i="106"/>
  <c r="M74" i="106"/>
  <c r="J74" i="106"/>
  <c r="I74" i="106"/>
  <c r="M73" i="106"/>
  <c r="J73" i="106"/>
  <c r="I73" i="106"/>
  <c r="M72" i="106"/>
  <c r="J72" i="106"/>
  <c r="I72" i="106"/>
  <c r="M71" i="106"/>
  <c r="J71" i="106"/>
  <c r="I71" i="106"/>
  <c r="M70" i="106"/>
  <c r="J70" i="106"/>
  <c r="I70" i="106"/>
  <c r="M69" i="106"/>
  <c r="J69" i="106"/>
  <c r="I69" i="106"/>
  <c r="M68" i="106"/>
  <c r="J68" i="106"/>
  <c r="I68" i="106"/>
  <c r="M67" i="106"/>
  <c r="J67" i="106"/>
  <c r="I67" i="106"/>
  <c r="M66" i="106"/>
  <c r="J66" i="106"/>
  <c r="I66" i="106"/>
  <c r="M65" i="106"/>
  <c r="J65" i="106"/>
  <c r="I65" i="106"/>
  <c r="M64" i="106"/>
  <c r="J64" i="106"/>
  <c r="I64" i="106"/>
  <c r="M63" i="106"/>
  <c r="J63" i="106"/>
  <c r="I63" i="106"/>
  <c r="M62" i="106"/>
  <c r="J62" i="106"/>
  <c r="I62" i="106"/>
  <c r="M61" i="106"/>
  <c r="J61" i="106"/>
  <c r="I61" i="106"/>
  <c r="M60" i="106"/>
  <c r="J60" i="106"/>
  <c r="I60" i="106"/>
  <c r="M59" i="106"/>
  <c r="J59" i="106"/>
  <c r="I59" i="106"/>
  <c r="M58" i="106"/>
  <c r="J58" i="106"/>
  <c r="I58" i="106"/>
  <c r="M57" i="106"/>
  <c r="J57" i="106"/>
  <c r="I57" i="106"/>
  <c r="M56" i="106"/>
  <c r="J56" i="106"/>
  <c r="I56" i="106"/>
  <c r="M55" i="106"/>
  <c r="J55" i="106"/>
  <c r="I55" i="106"/>
  <c r="M54" i="106"/>
  <c r="J54" i="106"/>
  <c r="I54" i="106"/>
  <c r="M53" i="106"/>
  <c r="J53" i="106"/>
  <c r="I53" i="106"/>
  <c r="M52" i="106"/>
  <c r="J52" i="106"/>
  <c r="I52" i="106"/>
  <c r="M51" i="106"/>
  <c r="J51" i="106"/>
  <c r="I51" i="106"/>
  <c r="M50" i="106"/>
  <c r="J50" i="106"/>
  <c r="I50" i="106"/>
  <c r="M49" i="106"/>
  <c r="J49" i="106"/>
  <c r="I49" i="106"/>
  <c r="M48" i="106"/>
  <c r="J48" i="106"/>
  <c r="I48" i="106"/>
  <c r="M47" i="106"/>
  <c r="J47" i="106"/>
  <c r="I47" i="106"/>
  <c r="M46" i="106"/>
  <c r="J46" i="106"/>
  <c r="I46" i="106"/>
  <c r="M45" i="106"/>
  <c r="J45" i="106"/>
  <c r="I45" i="106"/>
  <c r="M44" i="106"/>
  <c r="J44" i="106"/>
  <c r="I44" i="106"/>
  <c r="M43" i="106"/>
  <c r="J43" i="106"/>
  <c r="I43" i="106"/>
  <c r="M42" i="106"/>
  <c r="J42" i="106"/>
  <c r="I42" i="106"/>
  <c r="M41" i="106"/>
  <c r="J41" i="106"/>
  <c r="I41" i="106"/>
  <c r="M40" i="106"/>
  <c r="J40" i="106"/>
  <c r="I40" i="106"/>
  <c r="M39" i="106"/>
  <c r="J39" i="106"/>
  <c r="I39" i="106"/>
  <c r="M38" i="106"/>
  <c r="J38" i="106"/>
  <c r="I38" i="106"/>
  <c r="M37" i="106"/>
  <c r="J37" i="106"/>
  <c r="I37" i="106"/>
  <c r="M36" i="106"/>
  <c r="J36" i="106"/>
  <c r="I36" i="106"/>
  <c r="M35" i="106"/>
  <c r="J35" i="106"/>
  <c r="I35" i="106"/>
  <c r="M34" i="106"/>
  <c r="J34" i="106"/>
  <c r="I34" i="106"/>
  <c r="M33" i="106"/>
  <c r="J33" i="106"/>
  <c r="I33" i="106"/>
  <c r="M32" i="106"/>
  <c r="J32" i="106"/>
  <c r="I32" i="106"/>
  <c r="M31" i="106"/>
  <c r="J31" i="106"/>
  <c r="I31" i="106"/>
  <c r="M30" i="106"/>
  <c r="J30" i="106"/>
  <c r="I30" i="106"/>
  <c r="M29" i="106"/>
  <c r="J29" i="106"/>
  <c r="I29" i="106"/>
  <c r="M28" i="106"/>
  <c r="J28" i="106"/>
  <c r="I28" i="106"/>
  <c r="M27" i="106"/>
  <c r="J27" i="106"/>
  <c r="I27" i="106"/>
  <c r="M26" i="106"/>
  <c r="J26" i="106"/>
  <c r="I26" i="106"/>
  <c r="M25" i="106"/>
  <c r="J25" i="106"/>
  <c r="I25" i="106"/>
  <c r="M24" i="106"/>
  <c r="J24" i="106"/>
  <c r="I24" i="106"/>
  <c r="M23" i="106"/>
  <c r="J23" i="106"/>
  <c r="I23" i="106"/>
  <c r="M22" i="106"/>
  <c r="J22" i="106"/>
  <c r="I22" i="106"/>
  <c r="M21" i="106"/>
  <c r="J21" i="106"/>
  <c r="I21" i="106"/>
  <c r="M20" i="106"/>
  <c r="J20" i="106"/>
  <c r="I20" i="106"/>
  <c r="M19" i="106"/>
  <c r="J19" i="106"/>
  <c r="I19" i="106"/>
  <c r="M18" i="106"/>
  <c r="J18" i="106"/>
  <c r="I18" i="106"/>
  <c r="M17" i="106"/>
  <c r="J17" i="106"/>
  <c r="I17" i="106"/>
  <c r="M16" i="106"/>
  <c r="J16" i="106"/>
  <c r="I16" i="106"/>
  <c r="M15" i="106"/>
  <c r="J15" i="106"/>
  <c r="I15" i="106"/>
  <c r="M14" i="106"/>
  <c r="J14" i="106"/>
  <c r="I14" i="106"/>
  <c r="M13" i="106"/>
  <c r="J13" i="106"/>
  <c r="I13" i="106"/>
  <c r="M12" i="106"/>
  <c r="J12" i="106"/>
  <c r="I12" i="106"/>
  <c r="M11" i="106"/>
  <c r="J11" i="106"/>
  <c r="I11" i="106"/>
  <c r="M10" i="106"/>
  <c r="J10" i="106"/>
  <c r="I10" i="106"/>
  <c r="M9" i="106"/>
  <c r="J9" i="106"/>
  <c r="I9" i="106"/>
  <c r="M8" i="106"/>
  <c r="J8" i="106"/>
  <c r="I8" i="106"/>
  <c r="M7" i="106"/>
  <c r="J7" i="106"/>
  <c r="I7" i="106"/>
  <c r="M6" i="106"/>
  <c r="J6" i="106"/>
  <c r="I6" i="106"/>
  <c r="M5" i="106"/>
  <c r="J5" i="106"/>
  <c r="I5" i="106"/>
  <c r="M4" i="106"/>
  <c r="J4" i="106"/>
  <c r="I4" i="106"/>
  <c r="M3" i="106"/>
  <c r="J3" i="106"/>
  <c r="I3" i="106"/>
  <c r="M2" i="106"/>
  <c r="J2" i="106"/>
  <c r="I2" i="106"/>
  <c r="B9" i="120"/>
  <c r="H7" i="120"/>
  <c r="G7" i="120"/>
  <c r="F7" i="120"/>
  <c r="D7" i="120"/>
  <c r="C7" i="120"/>
  <c r="C6" i="120"/>
  <c r="D5" i="120"/>
  <c r="I4" i="120"/>
  <c r="I3" i="120"/>
  <c r="R23" i="10"/>
  <c r="O23" i="10"/>
  <c r="N23" i="10"/>
  <c r="M23" i="10"/>
  <c r="L23" i="10"/>
  <c r="K23" i="10"/>
  <c r="J23" i="10"/>
  <c r="D23" i="10"/>
  <c r="C23" i="10"/>
  <c r="R22" i="10"/>
  <c r="O22" i="10"/>
  <c r="N22" i="10"/>
  <c r="M22" i="10"/>
  <c r="L22" i="10"/>
  <c r="K22" i="10"/>
  <c r="J22" i="10"/>
  <c r="D22" i="10"/>
  <c r="C22" i="10"/>
  <c r="R21" i="10"/>
  <c r="O21" i="10"/>
  <c r="N21" i="10"/>
  <c r="M21" i="10"/>
  <c r="L21" i="10"/>
  <c r="K21" i="10"/>
  <c r="J21" i="10"/>
  <c r="D21" i="10"/>
  <c r="C21" i="10"/>
  <c r="R20" i="10"/>
  <c r="O20" i="10"/>
  <c r="N20" i="10"/>
  <c r="M20" i="10"/>
  <c r="L20" i="10"/>
  <c r="K20" i="10"/>
  <c r="J20" i="10"/>
  <c r="D20" i="10"/>
  <c r="C20" i="10"/>
  <c r="R19" i="10"/>
  <c r="O19" i="10"/>
  <c r="N19" i="10"/>
  <c r="M19" i="10"/>
  <c r="L19" i="10"/>
  <c r="K19" i="10"/>
  <c r="J19" i="10"/>
  <c r="D19" i="10"/>
  <c r="C19" i="10"/>
  <c r="R18" i="10"/>
  <c r="O18" i="10"/>
  <c r="N18" i="10"/>
  <c r="M18" i="10"/>
  <c r="L18" i="10"/>
  <c r="K18" i="10"/>
  <c r="J18" i="10"/>
  <c r="D18" i="10"/>
  <c r="C18" i="10"/>
  <c r="R17" i="10"/>
  <c r="O17" i="10"/>
  <c r="N17" i="10"/>
  <c r="M17" i="10"/>
  <c r="L17" i="10"/>
  <c r="K17" i="10"/>
  <c r="J17" i="10"/>
  <c r="D17" i="10"/>
  <c r="C17" i="10"/>
  <c r="R16" i="10"/>
  <c r="O16" i="10"/>
  <c r="N16" i="10"/>
  <c r="M16" i="10"/>
  <c r="L16" i="10"/>
  <c r="K16" i="10"/>
  <c r="J16" i="10"/>
  <c r="D16" i="10"/>
  <c r="C16" i="10"/>
  <c r="P14" i="10"/>
  <c r="U8" i="10"/>
  <c r="B8" i="10"/>
  <c r="U7" i="10"/>
  <c r="B7" i="10"/>
  <c r="U5" i="10"/>
  <c r="B5" i="10"/>
  <c r="U3" i="10"/>
  <c r="B3" i="10"/>
  <c r="U2" i="10"/>
  <c r="B2" i="10"/>
  <c r="U1" i="10"/>
  <c r="B1" i="10"/>
  <c r="D52" i="107"/>
  <c r="D51" i="107"/>
  <c r="D50" i="107"/>
  <c r="D49" i="107"/>
  <c r="D48" i="107"/>
  <c r="D47" i="107"/>
  <c r="D46" i="107"/>
  <c r="D45" i="107"/>
  <c r="C45" i="107"/>
  <c r="E44" i="107"/>
  <c r="F38" i="107"/>
  <c r="J22" i="107"/>
  <c r="G15" i="107"/>
  <c r="J14" i="107"/>
  <c r="B7" i="107"/>
  <c r="B5" i="107"/>
  <c r="B3" i="107"/>
  <c r="B2" i="107"/>
  <c r="B1" i="107"/>
  <c r="AD109" i="15"/>
  <c r="AA109" i="15"/>
  <c r="X109" i="15"/>
  <c r="U109" i="15"/>
  <c r="R109" i="15"/>
  <c r="O109" i="15"/>
  <c r="L109" i="15"/>
  <c r="I109" i="15"/>
  <c r="AF108" i="15"/>
  <c r="AC108" i="15"/>
  <c r="Z108" i="15"/>
  <c r="W108" i="15"/>
  <c r="T108" i="15"/>
  <c r="Q108" i="15"/>
  <c r="N108" i="15"/>
  <c r="K108" i="15"/>
  <c r="AE106" i="15"/>
  <c r="AE108" i="15" s="1"/>
  <c r="AE105" i="15"/>
  <c r="AB105" i="15"/>
  <c r="Y105" i="15"/>
  <c r="V105" i="15"/>
  <c r="S105" i="15"/>
  <c r="P105" i="15"/>
  <c r="M105" i="15"/>
  <c r="J105" i="15"/>
  <c r="AE104" i="15"/>
  <c r="AB104" i="15"/>
  <c r="Y104" i="15"/>
  <c r="V104" i="15"/>
  <c r="S104" i="15"/>
  <c r="P104" i="15"/>
  <c r="M104" i="15"/>
  <c r="J104" i="15"/>
  <c r="AF103" i="15"/>
  <c r="AC103" i="15"/>
  <c r="Z103" i="15"/>
  <c r="W103" i="15"/>
  <c r="T103" i="15"/>
  <c r="Q103" i="15"/>
  <c r="N103" i="15"/>
  <c r="K103" i="15"/>
  <c r="AE102" i="15"/>
  <c r="AB102" i="15"/>
  <c r="Y102" i="15"/>
  <c r="V102" i="15"/>
  <c r="S102" i="15"/>
  <c r="P102" i="15"/>
  <c r="M102" i="15"/>
  <c r="J102" i="15"/>
  <c r="H102" i="15"/>
  <c r="AE101" i="15"/>
  <c r="AB101" i="15"/>
  <c r="Y101" i="15"/>
  <c r="V101" i="15"/>
  <c r="S101" i="15"/>
  <c r="P101" i="15"/>
  <c r="M101" i="15"/>
  <c r="J101" i="15"/>
  <c r="H101" i="15"/>
  <c r="AE100" i="15"/>
  <c r="AB100" i="15"/>
  <c r="Y100" i="15"/>
  <c r="V100" i="15"/>
  <c r="S100" i="15"/>
  <c r="P100" i="15"/>
  <c r="M100" i="15"/>
  <c r="J100" i="15"/>
  <c r="H100" i="15"/>
  <c r="AE98" i="15"/>
  <c r="AB98" i="15"/>
  <c r="Y98" i="15"/>
  <c r="V98" i="15"/>
  <c r="S98" i="15"/>
  <c r="P98" i="15"/>
  <c r="M98" i="15"/>
  <c r="J98" i="15"/>
  <c r="H98" i="15"/>
  <c r="AF97" i="15"/>
  <c r="AC97" i="15"/>
  <c r="Z97" i="15"/>
  <c r="W97" i="15"/>
  <c r="T97" i="15"/>
  <c r="Q97" i="15"/>
  <c r="N97" i="15"/>
  <c r="K97" i="15"/>
  <c r="H97" i="15"/>
  <c r="AE96" i="15"/>
  <c r="AB96" i="15"/>
  <c r="Y96" i="15"/>
  <c r="V96" i="15"/>
  <c r="S96" i="15"/>
  <c r="P96" i="15"/>
  <c r="M96" i="15"/>
  <c r="J96" i="15"/>
  <c r="H96" i="15"/>
  <c r="AF95" i="15"/>
  <c r="AC95" i="15"/>
  <c r="Z95" i="15"/>
  <c r="W95" i="15"/>
  <c r="T95" i="15"/>
  <c r="Q95" i="15"/>
  <c r="N95" i="15"/>
  <c r="K95" i="15"/>
  <c r="H95" i="15"/>
  <c r="AE94" i="15"/>
  <c r="AB94" i="15"/>
  <c r="Y94" i="15"/>
  <c r="V94" i="15"/>
  <c r="S94" i="15"/>
  <c r="P94" i="15"/>
  <c r="M94" i="15"/>
  <c r="J94" i="15"/>
  <c r="H94" i="15"/>
  <c r="AF93" i="15"/>
  <c r="AC93" i="15"/>
  <c r="Z93" i="15"/>
  <c r="W93" i="15"/>
  <c r="T93" i="15"/>
  <c r="Q93" i="15"/>
  <c r="N93" i="15"/>
  <c r="K93" i="15"/>
  <c r="H93" i="15"/>
  <c r="AE92" i="15"/>
  <c r="AB92" i="15"/>
  <c r="Y92" i="15"/>
  <c r="V92" i="15"/>
  <c r="S92" i="15"/>
  <c r="P92" i="15"/>
  <c r="M92" i="15"/>
  <c r="J92" i="15"/>
  <c r="H92" i="15"/>
  <c r="AF91" i="15"/>
  <c r="AC91" i="15"/>
  <c r="Z91" i="15"/>
  <c r="W91" i="15"/>
  <c r="T91" i="15"/>
  <c r="Q91" i="15"/>
  <c r="N91" i="15"/>
  <c r="K91" i="15"/>
  <c r="H91" i="15"/>
  <c r="AF90" i="15"/>
  <c r="AC90" i="15"/>
  <c r="Z90" i="15"/>
  <c r="W90" i="15"/>
  <c r="T90" i="15"/>
  <c r="Q90" i="15"/>
  <c r="N90" i="15"/>
  <c r="K90" i="15"/>
  <c r="H90" i="15"/>
  <c r="AE89" i="15"/>
  <c r="AB89" i="15"/>
  <c r="Y89" i="15"/>
  <c r="V89" i="15"/>
  <c r="S89" i="15"/>
  <c r="P89" i="15"/>
  <c r="M89" i="15"/>
  <c r="J89" i="15"/>
  <c r="H89" i="15"/>
  <c r="AE86" i="15"/>
  <c r="AB86" i="15"/>
  <c r="Y86" i="15"/>
  <c r="V86" i="15"/>
  <c r="S86" i="15"/>
  <c r="P86" i="15"/>
  <c r="M86" i="15"/>
  <c r="J86" i="15"/>
  <c r="H86" i="15"/>
  <c r="AF85" i="15"/>
  <c r="AC85" i="15"/>
  <c r="Z85" i="15"/>
  <c r="W85" i="15"/>
  <c r="T85" i="15"/>
  <c r="Q85" i="15"/>
  <c r="N85" i="15"/>
  <c r="K85" i="15"/>
  <c r="AE84" i="15"/>
  <c r="AB84" i="15"/>
  <c r="Y84" i="15"/>
  <c r="V84" i="15"/>
  <c r="S84" i="15"/>
  <c r="P84" i="15"/>
  <c r="M84" i="15"/>
  <c r="J84" i="15"/>
  <c r="H84" i="15"/>
  <c r="AF83" i="15"/>
  <c r="AE83" i="15"/>
  <c r="AC83" i="15"/>
  <c r="AB83" i="15"/>
  <c r="Z83" i="15"/>
  <c r="Y83" i="15"/>
  <c r="W83" i="15"/>
  <c r="V83" i="15"/>
  <c r="T83" i="15"/>
  <c r="S83" i="15"/>
  <c r="Q83" i="15"/>
  <c r="P83" i="15"/>
  <c r="N83" i="15"/>
  <c r="M83" i="15"/>
  <c r="K83" i="15"/>
  <c r="J83" i="15"/>
  <c r="H83" i="15"/>
  <c r="AF82" i="15"/>
  <c r="AE82" i="15"/>
  <c r="AC82" i="15"/>
  <c r="AB82" i="15"/>
  <c r="Z82" i="15"/>
  <c r="Y82" i="15"/>
  <c r="W82" i="15"/>
  <c r="V82" i="15"/>
  <c r="T82" i="15"/>
  <c r="S82" i="15"/>
  <c r="Q82" i="15"/>
  <c r="P82" i="15"/>
  <c r="N82" i="15"/>
  <c r="M82" i="15"/>
  <c r="K82" i="15"/>
  <c r="J82" i="15"/>
  <c r="H82" i="15"/>
  <c r="AF81" i="15"/>
  <c r="AE81" i="15"/>
  <c r="AC81" i="15"/>
  <c r="AB81" i="15"/>
  <c r="Z81" i="15"/>
  <c r="Y81" i="15"/>
  <c r="W81" i="15"/>
  <c r="V81" i="15"/>
  <c r="T81" i="15"/>
  <c r="S81" i="15"/>
  <c r="Q81" i="15"/>
  <c r="P81" i="15"/>
  <c r="N81" i="15"/>
  <c r="M81" i="15"/>
  <c r="K81" i="15"/>
  <c r="J81" i="15"/>
  <c r="H81" i="15"/>
  <c r="AE80" i="15"/>
  <c r="AB80" i="15"/>
  <c r="Y80" i="15"/>
  <c r="V80" i="15"/>
  <c r="S80" i="15"/>
  <c r="P80" i="15"/>
  <c r="M80" i="15"/>
  <c r="J80" i="15"/>
  <c r="H80" i="15"/>
  <c r="AF79" i="15"/>
  <c r="AE79" i="15"/>
  <c r="AC79" i="15"/>
  <c r="AB79" i="15"/>
  <c r="Z79" i="15"/>
  <c r="Y79" i="15"/>
  <c r="W79" i="15"/>
  <c r="V79" i="15"/>
  <c r="T79" i="15"/>
  <c r="S79" i="15"/>
  <c r="Q79" i="15"/>
  <c r="P79" i="15"/>
  <c r="N79" i="15"/>
  <c r="M79" i="15"/>
  <c r="K79" i="15"/>
  <c r="J79" i="15"/>
  <c r="H79" i="15"/>
  <c r="AE78" i="15"/>
  <c r="AB78" i="15"/>
  <c r="Y78" i="15"/>
  <c r="V78" i="15"/>
  <c r="S78" i="15"/>
  <c r="P78" i="15"/>
  <c r="M78" i="15"/>
  <c r="J78" i="15"/>
  <c r="H78" i="15"/>
  <c r="AF77" i="15"/>
  <c r="AE77" i="15"/>
  <c r="AC77" i="15"/>
  <c r="AB77" i="15"/>
  <c r="Z77" i="15"/>
  <c r="Y77" i="15"/>
  <c r="W77" i="15"/>
  <c r="V77" i="15"/>
  <c r="T77" i="15"/>
  <c r="S77" i="15"/>
  <c r="Q77" i="15"/>
  <c r="P77" i="15"/>
  <c r="N77" i="15"/>
  <c r="M77" i="15"/>
  <c r="K77" i="15"/>
  <c r="J77" i="15"/>
  <c r="H77" i="15"/>
  <c r="AE76" i="15"/>
  <c r="AB76" i="15"/>
  <c r="Y76" i="15"/>
  <c r="V76" i="15"/>
  <c r="S76" i="15"/>
  <c r="P76" i="15"/>
  <c r="M76" i="15"/>
  <c r="J76" i="15"/>
  <c r="H76" i="15"/>
  <c r="AF75" i="15"/>
  <c r="AE75" i="15"/>
  <c r="AC75" i="15"/>
  <c r="AB75" i="15"/>
  <c r="Z75" i="15"/>
  <c r="Y75" i="15"/>
  <c r="W75" i="15"/>
  <c r="V75" i="15"/>
  <c r="T75" i="15"/>
  <c r="S75" i="15"/>
  <c r="Q75" i="15"/>
  <c r="P75" i="15"/>
  <c r="N75" i="15"/>
  <c r="M75" i="15"/>
  <c r="K75" i="15"/>
  <c r="J75" i="15"/>
  <c r="H75" i="15"/>
  <c r="AE74" i="15"/>
  <c r="AB74" i="15"/>
  <c r="Y74" i="15"/>
  <c r="V74" i="15"/>
  <c r="S74" i="15"/>
  <c r="P74" i="15"/>
  <c r="M74" i="15"/>
  <c r="J74" i="15"/>
  <c r="H74" i="15"/>
  <c r="AE71" i="15"/>
  <c r="AB71" i="15"/>
  <c r="Y71" i="15"/>
  <c r="V71" i="15"/>
  <c r="S71" i="15"/>
  <c r="P71" i="15"/>
  <c r="M71" i="15"/>
  <c r="J71" i="15"/>
  <c r="H71" i="15"/>
  <c r="AF70" i="15"/>
  <c r="AC70" i="15"/>
  <c r="Z70" i="15"/>
  <c r="W70" i="15"/>
  <c r="T70" i="15"/>
  <c r="Q70" i="15"/>
  <c r="N70" i="15"/>
  <c r="K70" i="15"/>
  <c r="AE69" i="15"/>
  <c r="AB69" i="15"/>
  <c r="Y69" i="15"/>
  <c r="V69" i="15"/>
  <c r="S69" i="15"/>
  <c r="P69" i="15"/>
  <c r="M69" i="15"/>
  <c r="J69" i="15"/>
  <c r="H69" i="15"/>
  <c r="AF68" i="15"/>
  <c r="AC68" i="15"/>
  <c r="Z68" i="15"/>
  <c r="W68" i="15"/>
  <c r="T68" i="15"/>
  <c r="Q68" i="15"/>
  <c r="N68" i="15"/>
  <c r="K68" i="15"/>
  <c r="AE67" i="15"/>
  <c r="AB67" i="15"/>
  <c r="Y67" i="15"/>
  <c r="V67" i="15"/>
  <c r="S67" i="15"/>
  <c r="P67" i="15"/>
  <c r="M67" i="15"/>
  <c r="J67" i="15"/>
  <c r="H67" i="15"/>
  <c r="AF66" i="15"/>
  <c r="AE66" i="15"/>
  <c r="AC66" i="15"/>
  <c r="AB66" i="15"/>
  <c r="Z66" i="15"/>
  <c r="Y66" i="15"/>
  <c r="W66" i="15"/>
  <c r="V66" i="15"/>
  <c r="T66" i="15"/>
  <c r="S66" i="15"/>
  <c r="Q66" i="15"/>
  <c r="P66" i="15"/>
  <c r="N66" i="15"/>
  <c r="M66" i="15"/>
  <c r="K66" i="15"/>
  <c r="J66" i="15"/>
  <c r="H66" i="15"/>
  <c r="AF65" i="15"/>
  <c r="AE65" i="15"/>
  <c r="AC65" i="15"/>
  <c r="AB65" i="15"/>
  <c r="Z65" i="15"/>
  <c r="Y65" i="15"/>
  <c r="W65" i="15"/>
  <c r="V65" i="15"/>
  <c r="T65" i="15"/>
  <c r="S65" i="15"/>
  <c r="Q65" i="15"/>
  <c r="P65" i="15"/>
  <c r="N65" i="15"/>
  <c r="M65" i="15"/>
  <c r="K65" i="15"/>
  <c r="J65" i="15"/>
  <c r="H65" i="15"/>
  <c r="AF64" i="15"/>
  <c r="AE64" i="15"/>
  <c r="AC64" i="15"/>
  <c r="AB64" i="15"/>
  <c r="Z64" i="15"/>
  <c r="Y64" i="15"/>
  <c r="W64" i="15"/>
  <c r="V64" i="15"/>
  <c r="T64" i="15"/>
  <c r="S64" i="15"/>
  <c r="Q64" i="15"/>
  <c r="P64" i="15"/>
  <c r="N64" i="15"/>
  <c r="M64" i="15"/>
  <c r="K64" i="15"/>
  <c r="J64" i="15"/>
  <c r="H64" i="15"/>
  <c r="AE63" i="15"/>
  <c r="AB63" i="15"/>
  <c r="Y63" i="15"/>
  <c r="V63" i="15"/>
  <c r="S63" i="15"/>
  <c r="P63" i="15"/>
  <c r="M63" i="15"/>
  <c r="J63" i="15"/>
  <c r="H63" i="15"/>
  <c r="AF62" i="15"/>
  <c r="AE62" i="15"/>
  <c r="AC62" i="15"/>
  <c r="AB62" i="15"/>
  <c r="Z62" i="15"/>
  <c r="Y62" i="15"/>
  <c r="W62" i="15"/>
  <c r="V62" i="15"/>
  <c r="T62" i="15"/>
  <c r="S62" i="15"/>
  <c r="Q62" i="15"/>
  <c r="P62" i="15"/>
  <c r="N62" i="15"/>
  <c r="M62" i="15"/>
  <c r="K62" i="15"/>
  <c r="J62" i="15"/>
  <c r="H62" i="15"/>
  <c r="AF61" i="15"/>
  <c r="AE61" i="15"/>
  <c r="AC61" i="15"/>
  <c r="AB61" i="15"/>
  <c r="Z61" i="15"/>
  <c r="Y61" i="15"/>
  <c r="W61" i="15"/>
  <c r="V61" i="15"/>
  <c r="T61" i="15"/>
  <c r="S61" i="15"/>
  <c r="Q61" i="15"/>
  <c r="P61" i="15"/>
  <c r="N61" i="15"/>
  <c r="M61" i="15"/>
  <c r="K61" i="15"/>
  <c r="J61" i="15"/>
  <c r="H61" i="15"/>
  <c r="AF60" i="15"/>
  <c r="AE60" i="15"/>
  <c r="AC60" i="15"/>
  <c r="AB60" i="15"/>
  <c r="Z60" i="15"/>
  <c r="Y60" i="15"/>
  <c r="W60" i="15"/>
  <c r="V60" i="15"/>
  <c r="T60" i="15"/>
  <c r="S60" i="15"/>
  <c r="Q60" i="15"/>
  <c r="P60" i="15"/>
  <c r="N60" i="15"/>
  <c r="M60" i="15"/>
  <c r="K60" i="15"/>
  <c r="J60" i="15"/>
  <c r="H60" i="15"/>
  <c r="AF59" i="15"/>
  <c r="AE59" i="15"/>
  <c r="AC59" i="15"/>
  <c r="AB59" i="15"/>
  <c r="Z59" i="15"/>
  <c r="Y59" i="15"/>
  <c r="W59" i="15"/>
  <c r="V59" i="15"/>
  <c r="T59" i="15"/>
  <c r="S59" i="15"/>
  <c r="Q59" i="15"/>
  <c r="P59" i="15"/>
  <c r="N59" i="15"/>
  <c r="M59" i="15"/>
  <c r="K59" i="15"/>
  <c r="J59" i="15"/>
  <c r="H59" i="15"/>
  <c r="AE58" i="15"/>
  <c r="AB58" i="15"/>
  <c r="Y58" i="15"/>
  <c r="V58" i="15"/>
  <c r="S58" i="15"/>
  <c r="P58" i="15"/>
  <c r="M58" i="15"/>
  <c r="J58" i="15"/>
  <c r="H58" i="15"/>
  <c r="AF57" i="15"/>
  <c r="AE57" i="15"/>
  <c r="AC57" i="15"/>
  <c r="AB57" i="15"/>
  <c r="Z57" i="15"/>
  <c r="Y57" i="15"/>
  <c r="W57" i="15"/>
  <c r="V57" i="15"/>
  <c r="T57" i="15"/>
  <c r="S57" i="15"/>
  <c r="Q57" i="15"/>
  <c r="P57" i="15"/>
  <c r="N57" i="15"/>
  <c r="M57" i="15"/>
  <c r="K57" i="15"/>
  <c r="J57" i="15"/>
  <c r="H57" i="15"/>
  <c r="AF56" i="15"/>
  <c r="AE56" i="15"/>
  <c r="AC56" i="15"/>
  <c r="AB56" i="15"/>
  <c r="Z56" i="15"/>
  <c r="Y56" i="15"/>
  <c r="W56" i="15"/>
  <c r="V56" i="15"/>
  <c r="T56" i="15"/>
  <c r="S56" i="15"/>
  <c r="Q56" i="15"/>
  <c r="P56" i="15"/>
  <c r="N56" i="15"/>
  <c r="M56" i="15"/>
  <c r="K56" i="15"/>
  <c r="J56" i="15"/>
  <c r="H56" i="15"/>
  <c r="AF55" i="15"/>
  <c r="AE55" i="15"/>
  <c r="AC55" i="15"/>
  <c r="AB55" i="15"/>
  <c r="Z55" i="15"/>
  <c r="Y55" i="15"/>
  <c r="W55" i="15"/>
  <c r="V55" i="15"/>
  <c r="T55" i="15"/>
  <c r="S55" i="15"/>
  <c r="Q55" i="15"/>
  <c r="P55" i="15"/>
  <c r="N55" i="15"/>
  <c r="M55" i="15"/>
  <c r="K55" i="15"/>
  <c r="J55" i="15"/>
  <c r="H55" i="15"/>
  <c r="AF54" i="15"/>
  <c r="AE54" i="15"/>
  <c r="AC54" i="15"/>
  <c r="AB54" i="15"/>
  <c r="Z54" i="15"/>
  <c r="Y54" i="15"/>
  <c r="W54" i="15"/>
  <c r="V54" i="15"/>
  <c r="T54" i="15"/>
  <c r="S54" i="15"/>
  <c r="Q54" i="15"/>
  <c r="P54" i="15"/>
  <c r="N54" i="15"/>
  <c r="M54" i="15"/>
  <c r="K54" i="15"/>
  <c r="J54" i="15"/>
  <c r="H54" i="15"/>
  <c r="AF53" i="15"/>
  <c r="AE53" i="15"/>
  <c r="AC53" i="15"/>
  <c r="AB53" i="15"/>
  <c r="Z53" i="15"/>
  <c r="Y53" i="15"/>
  <c r="W53" i="15"/>
  <c r="V53" i="15"/>
  <c r="T53" i="15"/>
  <c r="S53" i="15"/>
  <c r="Q53" i="15"/>
  <c r="P53" i="15"/>
  <c r="N53" i="15"/>
  <c r="M53" i="15"/>
  <c r="K53" i="15"/>
  <c r="J53" i="15"/>
  <c r="H53" i="15"/>
  <c r="AE52" i="15"/>
  <c r="AB52" i="15"/>
  <c r="Y52" i="15"/>
  <c r="V52" i="15"/>
  <c r="S52" i="15"/>
  <c r="P52" i="15"/>
  <c r="M52" i="15"/>
  <c r="J52" i="15"/>
  <c r="H52" i="15"/>
  <c r="AF51" i="15"/>
  <c r="AE51" i="15"/>
  <c r="AC51" i="15"/>
  <c r="AB51" i="15"/>
  <c r="Z51" i="15"/>
  <c r="Y51" i="15"/>
  <c r="W51" i="15"/>
  <c r="V51" i="15"/>
  <c r="T51" i="15"/>
  <c r="S51" i="15"/>
  <c r="Q51" i="15"/>
  <c r="P51" i="15"/>
  <c r="N51" i="15"/>
  <c r="M51" i="15"/>
  <c r="K51" i="15"/>
  <c r="J51" i="15"/>
  <c r="H51" i="15"/>
  <c r="AF50" i="15"/>
  <c r="AE50" i="15"/>
  <c r="AC50" i="15"/>
  <c r="AB50" i="15"/>
  <c r="Z50" i="15"/>
  <c r="Y50" i="15"/>
  <c r="W50" i="15"/>
  <c r="V50" i="15"/>
  <c r="T50" i="15"/>
  <c r="S50" i="15"/>
  <c r="Q50" i="15"/>
  <c r="P50" i="15"/>
  <c r="N50" i="15"/>
  <c r="M50" i="15"/>
  <c r="K50" i="15"/>
  <c r="J50" i="15"/>
  <c r="H50" i="15"/>
  <c r="AE49" i="15"/>
  <c r="AB49" i="15"/>
  <c r="Y49" i="15"/>
  <c r="V49" i="15"/>
  <c r="S49" i="15"/>
  <c r="P49" i="15"/>
  <c r="M49" i="15"/>
  <c r="J49" i="15"/>
  <c r="H49" i="15"/>
  <c r="AF48" i="15"/>
  <c r="AE48" i="15"/>
  <c r="AC48" i="15"/>
  <c r="AB48" i="15"/>
  <c r="Z48" i="15"/>
  <c r="Y48" i="15"/>
  <c r="W48" i="15"/>
  <c r="V48" i="15"/>
  <c r="T48" i="15"/>
  <c r="S48" i="15"/>
  <c r="Q48" i="15"/>
  <c r="P48" i="15"/>
  <c r="N48" i="15"/>
  <c r="M48" i="15"/>
  <c r="K48" i="15"/>
  <c r="J48" i="15"/>
  <c r="H48" i="15"/>
  <c r="AF47" i="15"/>
  <c r="AE47" i="15"/>
  <c r="AC47" i="15"/>
  <c r="AB47" i="15"/>
  <c r="Z47" i="15"/>
  <c r="Y47" i="15"/>
  <c r="W47" i="15"/>
  <c r="V47" i="15"/>
  <c r="T47" i="15"/>
  <c r="S47" i="15"/>
  <c r="Q47" i="15"/>
  <c r="P47" i="15"/>
  <c r="N47" i="15"/>
  <c r="M47" i="15"/>
  <c r="K47" i="15"/>
  <c r="J47" i="15"/>
  <c r="H47" i="15"/>
  <c r="AF46" i="15"/>
  <c r="AE46" i="15"/>
  <c r="AC46" i="15"/>
  <c r="AB46" i="15"/>
  <c r="Z46" i="15"/>
  <c r="Y46" i="15"/>
  <c r="W46" i="15"/>
  <c r="V46" i="15"/>
  <c r="T46" i="15"/>
  <c r="S46" i="15"/>
  <c r="Q46" i="15"/>
  <c r="P46" i="15"/>
  <c r="N46" i="15"/>
  <c r="M46" i="15"/>
  <c r="K46" i="15"/>
  <c r="J46" i="15"/>
  <c r="H46" i="15"/>
  <c r="AF45" i="15"/>
  <c r="AE45" i="15"/>
  <c r="AC45" i="15"/>
  <c r="AB45" i="15"/>
  <c r="Z45" i="15"/>
  <c r="Y45" i="15"/>
  <c r="W45" i="15"/>
  <c r="V45" i="15"/>
  <c r="T45" i="15"/>
  <c r="S45" i="15"/>
  <c r="Q45" i="15"/>
  <c r="P45" i="15"/>
  <c r="N45" i="15"/>
  <c r="M45" i="15"/>
  <c r="K45" i="15"/>
  <c r="J45" i="15"/>
  <c r="H45" i="15"/>
  <c r="AF44" i="15"/>
  <c r="AE44" i="15"/>
  <c r="AC44" i="15"/>
  <c r="AB44" i="15"/>
  <c r="Z44" i="15"/>
  <c r="Y44" i="15"/>
  <c r="W44" i="15"/>
  <c r="V44" i="15"/>
  <c r="T44" i="15"/>
  <c r="S44" i="15"/>
  <c r="Q44" i="15"/>
  <c r="P44" i="15"/>
  <c r="N44" i="15"/>
  <c r="M44" i="15"/>
  <c r="K44" i="15"/>
  <c r="J44" i="15"/>
  <c r="H44" i="15"/>
  <c r="AF43" i="15"/>
  <c r="AE43" i="15"/>
  <c r="AC43" i="15"/>
  <c r="AB43" i="15"/>
  <c r="Z43" i="15"/>
  <c r="Y43" i="15"/>
  <c r="W43" i="15"/>
  <c r="V43" i="15"/>
  <c r="T43" i="15"/>
  <c r="S43" i="15"/>
  <c r="Q43" i="15"/>
  <c r="P43" i="15"/>
  <c r="N43" i="15"/>
  <c r="M43" i="15"/>
  <c r="K43" i="15"/>
  <c r="J43" i="15"/>
  <c r="H43" i="15"/>
  <c r="AF42" i="15"/>
  <c r="AE42" i="15"/>
  <c r="AC42" i="15"/>
  <c r="AB42" i="15"/>
  <c r="Z42" i="15"/>
  <c r="Y42" i="15"/>
  <c r="W42" i="15"/>
  <c r="V42" i="15"/>
  <c r="T42" i="15"/>
  <c r="S42" i="15"/>
  <c r="Q42" i="15"/>
  <c r="P42" i="15"/>
  <c r="N42" i="15"/>
  <c r="M42" i="15"/>
  <c r="K42" i="15"/>
  <c r="J42" i="15"/>
  <c r="H42" i="15"/>
  <c r="AF41" i="15"/>
  <c r="AE41" i="15"/>
  <c r="AC41" i="15"/>
  <c r="AB41" i="15"/>
  <c r="Z41" i="15"/>
  <c r="Y41" i="15"/>
  <c r="W41" i="15"/>
  <c r="V41" i="15"/>
  <c r="T41" i="15"/>
  <c r="S41" i="15"/>
  <c r="Q41" i="15"/>
  <c r="P41" i="15"/>
  <c r="N41" i="15"/>
  <c r="M41" i="15"/>
  <c r="K41" i="15"/>
  <c r="J41" i="15"/>
  <c r="H41" i="15"/>
  <c r="AF40" i="15"/>
  <c r="AE40" i="15"/>
  <c r="AC40" i="15"/>
  <c r="AB40" i="15"/>
  <c r="Z40" i="15"/>
  <c r="Y40" i="15"/>
  <c r="W40" i="15"/>
  <c r="V40" i="15"/>
  <c r="T40" i="15"/>
  <c r="S40" i="15"/>
  <c r="Q40" i="15"/>
  <c r="P40" i="15"/>
  <c r="N40" i="15"/>
  <c r="M40" i="15"/>
  <c r="K40" i="15"/>
  <c r="J40" i="15"/>
  <c r="H40" i="15"/>
  <c r="AF39" i="15"/>
  <c r="AE39" i="15"/>
  <c r="AC39" i="15"/>
  <c r="AB39" i="15"/>
  <c r="Z39" i="15"/>
  <c r="Y39" i="15"/>
  <c r="W39" i="15"/>
  <c r="V39" i="15"/>
  <c r="T39" i="15"/>
  <c r="S39" i="15"/>
  <c r="Q39" i="15"/>
  <c r="P39" i="15"/>
  <c r="N39" i="15"/>
  <c r="M39" i="15"/>
  <c r="K39" i="15"/>
  <c r="J39" i="15"/>
  <c r="H39" i="15"/>
  <c r="AF38" i="15"/>
  <c r="AE38" i="15"/>
  <c r="AC38" i="15"/>
  <c r="AB38" i="15"/>
  <c r="Z38" i="15"/>
  <c r="Y38" i="15"/>
  <c r="W38" i="15"/>
  <c r="V38" i="15"/>
  <c r="T38" i="15"/>
  <c r="S38" i="15"/>
  <c r="Q38" i="15"/>
  <c r="P38" i="15"/>
  <c r="N38" i="15"/>
  <c r="M38" i="15"/>
  <c r="K38" i="15"/>
  <c r="J38" i="15"/>
  <c r="H38" i="15"/>
  <c r="AE37" i="15"/>
  <c r="AB37" i="15"/>
  <c r="Y37" i="15"/>
  <c r="V37" i="15"/>
  <c r="S37" i="15"/>
  <c r="P37" i="15"/>
  <c r="M37" i="15"/>
  <c r="J37" i="15"/>
  <c r="H37" i="15"/>
  <c r="AE34" i="15"/>
  <c r="AB34" i="15"/>
  <c r="AB106" i="15" s="1"/>
  <c r="AB108" i="15" s="1"/>
  <c r="Y34" i="15"/>
  <c r="Y106" i="15" s="1"/>
  <c r="Y108" i="15" s="1"/>
  <c r="V34" i="15"/>
  <c r="V106" i="15" s="1"/>
  <c r="V108" i="15" s="1"/>
  <c r="S34" i="15"/>
  <c r="S106" i="15" s="1"/>
  <c r="S108" i="15" s="1"/>
  <c r="M34" i="15"/>
  <c r="M106" i="15" s="1"/>
  <c r="M108" i="15" s="1"/>
  <c r="J34" i="15"/>
  <c r="J106" i="15" s="1"/>
  <c r="J108" i="15" s="1"/>
  <c r="H34" i="15"/>
  <c r="AE32" i="15"/>
  <c r="AB32" i="15"/>
  <c r="Y32" i="15"/>
  <c r="V32" i="15"/>
  <c r="S32" i="15"/>
  <c r="P32" i="15"/>
  <c r="M32" i="15"/>
  <c r="J32" i="15"/>
  <c r="H32" i="15"/>
  <c r="AF31" i="15"/>
  <c r="AC31" i="15"/>
  <c r="Z31" i="15"/>
  <c r="W31" i="15"/>
  <c r="T31" i="15"/>
  <c r="Q31" i="15"/>
  <c r="N31" i="15"/>
  <c r="K31" i="15"/>
  <c r="H31" i="15"/>
  <c r="AE30" i="15"/>
  <c r="AB30" i="15"/>
  <c r="Y30" i="15"/>
  <c r="V30" i="15"/>
  <c r="S30" i="15"/>
  <c r="P30" i="15"/>
  <c r="M30" i="15"/>
  <c r="J30" i="15"/>
  <c r="H30" i="15"/>
  <c r="AF29" i="15"/>
  <c r="AC29" i="15"/>
  <c r="Z29" i="15"/>
  <c r="W29" i="15"/>
  <c r="T29" i="15"/>
  <c r="Q29" i="15"/>
  <c r="N29" i="15"/>
  <c r="K29" i="15"/>
  <c r="H29" i="15"/>
  <c r="AE28" i="15"/>
  <c r="AB28" i="15"/>
  <c r="Y28" i="15"/>
  <c r="V28" i="15"/>
  <c r="S28" i="15"/>
  <c r="P28" i="15"/>
  <c r="M28" i="15"/>
  <c r="J28" i="15"/>
  <c r="H28" i="15"/>
  <c r="AF27" i="15"/>
  <c r="AC27" i="15"/>
  <c r="Z27" i="15"/>
  <c r="W27" i="15"/>
  <c r="T27" i="15"/>
  <c r="Q27" i="15"/>
  <c r="N27" i="15"/>
  <c r="K27" i="15"/>
  <c r="H27" i="15"/>
  <c r="AE26" i="15"/>
  <c r="AB26" i="15"/>
  <c r="Y26" i="15"/>
  <c r="V26" i="15"/>
  <c r="S26" i="15"/>
  <c r="P26" i="15"/>
  <c r="M26" i="15"/>
  <c r="J26" i="15"/>
  <c r="H26" i="15"/>
  <c r="AF25" i="15"/>
  <c r="AC25" i="15"/>
  <c r="Z25" i="15"/>
  <c r="W25" i="15"/>
  <c r="T25" i="15"/>
  <c r="Q25" i="15"/>
  <c r="N25" i="15"/>
  <c r="K25" i="15"/>
  <c r="H25" i="15"/>
  <c r="AE24" i="15"/>
  <c r="AB24" i="15"/>
  <c r="Y24" i="15"/>
  <c r="V24" i="15"/>
  <c r="S24" i="15"/>
  <c r="P24" i="15"/>
  <c r="M24" i="15"/>
  <c r="J24" i="15"/>
  <c r="H24" i="15"/>
  <c r="AF23" i="15"/>
  <c r="AE23" i="15"/>
  <c r="AC23" i="15"/>
  <c r="AB23" i="15"/>
  <c r="Z23" i="15"/>
  <c r="Y23" i="15"/>
  <c r="W23" i="15"/>
  <c r="V23" i="15"/>
  <c r="T23" i="15"/>
  <c r="S23" i="15"/>
  <c r="Q23" i="15"/>
  <c r="P23" i="15"/>
  <c r="N23" i="15"/>
  <c r="M23" i="15"/>
  <c r="K23" i="15"/>
  <c r="J23" i="15"/>
  <c r="H23" i="15"/>
  <c r="AF22" i="15"/>
  <c r="AC22" i="15"/>
  <c r="Z22" i="15"/>
  <c r="W22" i="15"/>
  <c r="T22" i="15"/>
  <c r="Q22" i="15"/>
  <c r="N22" i="15"/>
  <c r="K22" i="15"/>
  <c r="H22" i="15"/>
  <c r="AF21" i="15"/>
  <c r="AC21" i="15"/>
  <c r="Z21" i="15"/>
  <c r="W21" i="15"/>
  <c r="T21" i="15"/>
  <c r="Q21" i="15"/>
  <c r="N21" i="15"/>
  <c r="K21" i="15"/>
  <c r="H21" i="15"/>
  <c r="AF20" i="15"/>
  <c r="AE20" i="15"/>
  <c r="AC20" i="15"/>
  <c r="AB20" i="15"/>
  <c r="Z20" i="15"/>
  <c r="Y20" i="15"/>
  <c r="W20" i="15"/>
  <c r="V20" i="15"/>
  <c r="T20" i="15"/>
  <c r="S20" i="15"/>
  <c r="Q20" i="15"/>
  <c r="P20" i="15"/>
  <c r="N20" i="15"/>
  <c r="M20" i="15"/>
  <c r="K20" i="15"/>
  <c r="J20" i="15"/>
  <c r="H20" i="15"/>
  <c r="AF19" i="15"/>
  <c r="AE19" i="15"/>
  <c r="AC19" i="15"/>
  <c r="AB19" i="15"/>
  <c r="Z19" i="15"/>
  <c r="Y19" i="15"/>
  <c r="W19" i="15"/>
  <c r="V19" i="15"/>
  <c r="T19" i="15"/>
  <c r="S19" i="15"/>
  <c r="Q19" i="15"/>
  <c r="P19" i="15"/>
  <c r="N19" i="15"/>
  <c r="M19" i="15"/>
  <c r="K19" i="15"/>
  <c r="J19" i="15"/>
  <c r="H19" i="15"/>
  <c r="AF18" i="15"/>
  <c r="AE18" i="15"/>
  <c r="AC18" i="15"/>
  <c r="AB18" i="15"/>
  <c r="Z18" i="15"/>
  <c r="Y18" i="15"/>
  <c r="W18" i="15"/>
  <c r="V18" i="15"/>
  <c r="T18" i="15"/>
  <c r="S18" i="15"/>
  <c r="Q18" i="15"/>
  <c r="P18" i="15"/>
  <c r="N18" i="15"/>
  <c r="M18" i="15"/>
  <c r="K18" i="15"/>
  <c r="J18" i="15"/>
  <c r="H18" i="15"/>
  <c r="AF17" i="15"/>
  <c r="AE17" i="15"/>
  <c r="AC17" i="15"/>
  <c r="AB17" i="15"/>
  <c r="Z17" i="15"/>
  <c r="Y17" i="15"/>
  <c r="W17" i="15"/>
  <c r="V17" i="15"/>
  <c r="T17" i="15"/>
  <c r="S17" i="15"/>
  <c r="Q17" i="15"/>
  <c r="P17" i="15"/>
  <c r="N17" i="15"/>
  <c r="M17" i="15"/>
  <c r="K17" i="15"/>
  <c r="J17" i="15"/>
  <c r="H17" i="15"/>
  <c r="B17" i="15"/>
  <c r="AF16" i="15"/>
  <c r="AE16" i="15"/>
  <c r="AC16" i="15"/>
  <c r="AB16" i="15"/>
  <c r="Z16" i="15"/>
  <c r="Y16" i="15"/>
  <c r="W16" i="15"/>
  <c r="V16" i="15"/>
  <c r="T16" i="15"/>
  <c r="S16" i="15"/>
  <c r="Q16" i="15"/>
  <c r="P16" i="15"/>
  <c r="N16" i="15"/>
  <c r="M16" i="15"/>
  <c r="K16" i="15"/>
  <c r="J16" i="15"/>
  <c r="H16" i="15"/>
  <c r="B16" i="15"/>
  <c r="AE15" i="15"/>
  <c r="AB15" i="15"/>
  <c r="Y15" i="15"/>
  <c r="V15" i="15"/>
  <c r="S15" i="15"/>
  <c r="P15" i="15"/>
  <c r="M15" i="15"/>
  <c r="J15" i="15"/>
  <c r="H15" i="15"/>
  <c r="AD12" i="15"/>
  <c r="AA12" i="15"/>
  <c r="X12" i="15"/>
  <c r="U12" i="15"/>
  <c r="R12" i="15"/>
  <c r="O12" i="15"/>
  <c r="L12" i="15"/>
  <c r="I12" i="15"/>
  <c r="AD11" i="15"/>
  <c r="AA11" i="15"/>
  <c r="X11" i="15"/>
  <c r="U11" i="15"/>
  <c r="R11" i="15"/>
  <c r="O11" i="15"/>
  <c r="L11" i="15"/>
  <c r="I11" i="15"/>
  <c r="AD10" i="15"/>
  <c r="AA10" i="15"/>
  <c r="X10" i="15"/>
  <c r="U10" i="15"/>
  <c r="R10" i="15"/>
  <c r="O10" i="15"/>
  <c r="L10" i="15"/>
  <c r="I10" i="15"/>
  <c r="B7" i="15"/>
  <c r="B5" i="15"/>
  <c r="B3" i="15"/>
  <c r="B2" i="15"/>
  <c r="B1" i="15"/>
  <c r="E27" i="13"/>
  <c r="E26" i="13"/>
  <c r="E25" i="13"/>
  <c r="E24" i="13"/>
  <c r="M15" i="13"/>
  <c r="J70" i="108"/>
  <c r="I70" i="108"/>
  <c r="H70" i="108"/>
  <c r="G70" i="108"/>
  <c r="F70" i="108"/>
  <c r="E70" i="108"/>
  <c r="J69" i="108"/>
  <c r="I69" i="108"/>
  <c r="H69" i="108"/>
  <c r="G69" i="108"/>
  <c r="F69" i="108"/>
  <c r="E69" i="108"/>
  <c r="J68" i="108"/>
  <c r="I68" i="108"/>
  <c r="H68" i="108"/>
  <c r="G68" i="108"/>
  <c r="F68" i="108"/>
  <c r="E68" i="108"/>
  <c r="J67" i="108"/>
  <c r="I67" i="108"/>
  <c r="H67" i="108"/>
  <c r="G67" i="108"/>
  <c r="F67" i="108"/>
  <c r="E67" i="108"/>
  <c r="J66" i="108"/>
  <c r="I66" i="108"/>
  <c r="H66" i="108"/>
  <c r="G66" i="108"/>
  <c r="F66" i="108"/>
  <c r="E66" i="108"/>
  <c r="J65" i="108"/>
  <c r="I65" i="108"/>
  <c r="H65" i="108"/>
  <c r="G65" i="108"/>
  <c r="F65" i="108"/>
  <c r="E65" i="108"/>
  <c r="J64" i="108"/>
  <c r="I64" i="108"/>
  <c r="H64" i="108"/>
  <c r="G64" i="108"/>
  <c r="F64" i="108"/>
  <c r="E64" i="108"/>
  <c r="J63" i="108"/>
  <c r="I63" i="108"/>
  <c r="H63" i="108"/>
  <c r="G63" i="108"/>
  <c r="F63" i="108"/>
  <c r="E63" i="108"/>
  <c r="J62" i="108"/>
  <c r="I62" i="108"/>
  <c r="H62" i="108"/>
  <c r="G62" i="108"/>
  <c r="F62" i="108"/>
  <c r="E62" i="108"/>
  <c r="J61" i="108"/>
  <c r="I61" i="108"/>
  <c r="H61" i="108"/>
  <c r="G61" i="108"/>
  <c r="F61" i="108"/>
  <c r="E61" i="108"/>
  <c r="J60" i="108"/>
  <c r="I60" i="108"/>
  <c r="H60" i="108"/>
  <c r="G60" i="108"/>
  <c r="F60" i="108"/>
  <c r="E60" i="108"/>
  <c r="J59" i="108"/>
  <c r="I59" i="108"/>
  <c r="H59" i="108"/>
  <c r="G59" i="108"/>
  <c r="F59" i="108"/>
  <c r="E59" i="108"/>
  <c r="J58" i="108"/>
  <c r="I58" i="108"/>
  <c r="H58" i="108"/>
  <c r="G58" i="108"/>
  <c r="F58" i="108"/>
  <c r="E58" i="108"/>
  <c r="J57" i="108"/>
  <c r="I57" i="108"/>
  <c r="H57" i="108"/>
  <c r="G57" i="108"/>
  <c r="F57" i="108"/>
  <c r="E57" i="108"/>
  <c r="J56" i="108"/>
  <c r="I56" i="108"/>
  <c r="H56" i="108"/>
  <c r="G56" i="108"/>
  <c r="F56" i="108"/>
  <c r="E56" i="108"/>
  <c r="J55" i="108"/>
  <c r="I55" i="108"/>
  <c r="H55" i="108"/>
  <c r="G55" i="108"/>
  <c r="F55" i="108"/>
  <c r="E55" i="108"/>
  <c r="J54" i="108"/>
  <c r="I54" i="108"/>
  <c r="H54" i="108"/>
  <c r="G54" i="108"/>
  <c r="F54" i="108"/>
  <c r="E54" i="108"/>
  <c r="J53" i="108"/>
  <c r="I53" i="108"/>
  <c r="H53" i="108"/>
  <c r="G53" i="108"/>
  <c r="F53" i="108"/>
  <c r="E53" i="108"/>
  <c r="J52" i="108"/>
  <c r="I52" i="108"/>
  <c r="H52" i="108"/>
  <c r="G52" i="108"/>
  <c r="F52" i="108"/>
  <c r="E52" i="108"/>
  <c r="J51" i="108"/>
  <c r="I51" i="108"/>
  <c r="H51" i="108"/>
  <c r="G51" i="108"/>
  <c r="F51" i="108"/>
  <c r="E51" i="108"/>
  <c r="J50" i="108"/>
  <c r="I50" i="108"/>
  <c r="H50" i="108"/>
  <c r="G50" i="108"/>
  <c r="F50" i="108"/>
  <c r="E50" i="108"/>
  <c r="J49" i="108"/>
  <c r="I49" i="108"/>
  <c r="H49" i="108"/>
  <c r="G49" i="108"/>
  <c r="F49" i="108"/>
  <c r="E49" i="108"/>
  <c r="J48" i="108"/>
  <c r="I48" i="108"/>
  <c r="H48" i="108"/>
  <c r="G48" i="108"/>
  <c r="F48" i="108"/>
  <c r="E48" i="108"/>
  <c r="L47" i="108"/>
  <c r="J47" i="108"/>
  <c r="I47" i="108"/>
  <c r="H47" i="108"/>
  <c r="G47" i="108"/>
  <c r="F47" i="108"/>
  <c r="E47" i="108"/>
  <c r="J46" i="108"/>
  <c r="I46" i="108"/>
  <c r="H46" i="108"/>
  <c r="G46" i="108"/>
  <c r="F46" i="108"/>
  <c r="E46" i="108"/>
  <c r="L45" i="108"/>
  <c r="J45" i="108"/>
  <c r="I45" i="108"/>
  <c r="H45" i="108"/>
  <c r="G45" i="108"/>
  <c r="F45" i="108"/>
  <c r="E45" i="108"/>
  <c r="J44" i="108"/>
  <c r="I44" i="108"/>
  <c r="H44" i="108"/>
  <c r="G44" i="108"/>
  <c r="F44" i="108"/>
  <c r="E44" i="108"/>
  <c r="J43" i="108"/>
  <c r="I43" i="108"/>
  <c r="H43" i="108"/>
  <c r="G43" i="108"/>
  <c r="F43" i="108"/>
  <c r="E43" i="108"/>
  <c r="J42" i="108"/>
  <c r="I42" i="108"/>
  <c r="H42" i="108"/>
  <c r="G42" i="108"/>
  <c r="F42" i="108"/>
  <c r="E42" i="108"/>
  <c r="J41" i="108"/>
  <c r="I41" i="108"/>
  <c r="H41" i="108"/>
  <c r="G41" i="108"/>
  <c r="F41" i="108"/>
  <c r="E41" i="108"/>
  <c r="J40" i="108"/>
  <c r="I40" i="108"/>
  <c r="H40" i="108"/>
  <c r="F40" i="108"/>
  <c r="E40" i="108"/>
  <c r="F39" i="108"/>
  <c r="E39" i="108"/>
  <c r="F38" i="108"/>
  <c r="E38" i="108"/>
  <c r="H37" i="108"/>
  <c r="F37" i="108"/>
  <c r="E37" i="108"/>
  <c r="J36" i="108"/>
  <c r="I36" i="108"/>
  <c r="H36" i="108"/>
  <c r="F36" i="108"/>
  <c r="E36" i="108"/>
  <c r="K35" i="108"/>
  <c r="H35" i="108"/>
  <c r="F35" i="108"/>
  <c r="E35" i="108"/>
  <c r="G34" i="108"/>
  <c r="F34" i="108"/>
  <c r="E34" i="108"/>
  <c r="F33" i="108"/>
  <c r="E33" i="108"/>
  <c r="F32" i="108"/>
  <c r="E32" i="108"/>
  <c r="F31" i="108"/>
  <c r="E31" i="108"/>
  <c r="F30" i="108"/>
  <c r="E30" i="108"/>
  <c r="F29" i="108"/>
  <c r="E29" i="108"/>
  <c r="F28" i="108"/>
  <c r="E28" i="108"/>
  <c r="F27" i="108"/>
  <c r="E27" i="108"/>
  <c r="F26" i="108"/>
  <c r="F25" i="108"/>
  <c r="F24" i="108"/>
  <c r="F23" i="108"/>
  <c r="F22" i="108"/>
  <c r="F21" i="108"/>
  <c r="F20" i="108"/>
  <c r="F19" i="108"/>
  <c r="F18" i="108"/>
  <c r="F17" i="108"/>
  <c r="F16" i="108"/>
  <c r="F15" i="108"/>
  <c r="F14" i="108"/>
  <c r="F13" i="108"/>
  <c r="F12" i="108"/>
  <c r="F11" i="108"/>
  <c r="F10" i="108"/>
  <c r="F9" i="108"/>
  <c r="F8" i="108"/>
  <c r="F7" i="108"/>
  <c r="F6" i="108"/>
  <c r="C28" i="121" l="1"/>
  <c r="C18" i="121"/>
  <c r="C27" i="121"/>
  <c r="C25" i="121"/>
  <c r="C24" i="121"/>
  <c r="C23" i="121"/>
  <c r="C22" i="121"/>
  <c r="H106" i="15"/>
  <c r="F47" i="107"/>
  <c r="E47" i="107"/>
  <c r="E18" i="10" s="1"/>
  <c r="F52" i="107"/>
  <c r="E52" i="107"/>
  <c r="E23" i="10" s="1"/>
  <c r="F51" i="107"/>
  <c r="E51" i="107"/>
  <c r="E22" i="10" s="1"/>
  <c r="F50" i="107"/>
  <c r="E50" i="107"/>
  <c r="E21" i="10" s="1"/>
  <c r="F49" i="107"/>
  <c r="E49" i="107"/>
  <c r="E20" i="10" s="1"/>
  <c r="F48" i="107"/>
  <c r="E48" i="107"/>
  <c r="E19" i="10" s="1"/>
  <c r="F46" i="107"/>
  <c r="E46" i="107"/>
  <c r="E17" i="10" s="1"/>
  <c r="F45" i="107"/>
  <c r="D6" i="120"/>
  <c r="E45" i="107"/>
  <c r="D10" i="121" l="1"/>
  <c r="E7" i="121"/>
  <c r="E6" i="121"/>
  <c r="E5" i="121"/>
  <c r="C31" i="121"/>
  <c r="C32" i="121" s="1"/>
  <c r="C33" i="121" s="1"/>
  <c r="D11" i="121"/>
  <c r="D12" i="121"/>
  <c r="D7" i="121"/>
  <c r="D8" i="121"/>
  <c r="D5" i="121"/>
  <c r="D6" i="121"/>
  <c r="D9" i="121"/>
  <c r="I47" i="107"/>
  <c r="H18" i="10" s="1"/>
  <c r="H47" i="107"/>
  <c r="G47" i="107"/>
  <c r="G18" i="10" s="1"/>
  <c r="F18" i="10"/>
  <c r="H52" i="107"/>
  <c r="G52" i="107"/>
  <c r="G23" i="10" s="1"/>
  <c r="F23" i="10"/>
  <c r="I52" i="107"/>
  <c r="H23" i="10" s="1"/>
  <c r="I51" i="107"/>
  <c r="H22" i="10" s="1"/>
  <c r="H51" i="107"/>
  <c r="G51" i="107"/>
  <c r="G22" i="10" s="1"/>
  <c r="F22" i="10"/>
  <c r="F21" i="10"/>
  <c r="I50" i="107"/>
  <c r="H21" i="10" s="1"/>
  <c r="H50" i="107"/>
  <c r="G50" i="107"/>
  <c r="G21" i="10" s="1"/>
  <c r="I49" i="107"/>
  <c r="H20" i="10" s="1"/>
  <c r="F20" i="10"/>
  <c r="H49" i="107"/>
  <c r="G49" i="107"/>
  <c r="G20" i="10" s="1"/>
  <c r="H48" i="107"/>
  <c r="G48" i="107"/>
  <c r="G19" i="10" s="1"/>
  <c r="F19" i="10"/>
  <c r="I48" i="107"/>
  <c r="H19" i="10" s="1"/>
  <c r="I46" i="107"/>
  <c r="H17" i="10" s="1"/>
  <c r="H46" i="107"/>
  <c r="G46" i="107"/>
  <c r="G17" i="10" s="1"/>
  <c r="F17" i="10"/>
  <c r="U45" i="107"/>
  <c r="E16" i="10"/>
  <c r="G6" i="120"/>
  <c r="F6" i="120"/>
  <c r="H6" i="120"/>
  <c r="G45" i="107"/>
  <c r="G16" i="10" s="1"/>
  <c r="M45" i="107"/>
  <c r="L45" i="107"/>
  <c r="F16" i="10"/>
  <c r="K45" i="107"/>
  <c r="J18" i="107"/>
  <c r="Q45" i="107"/>
  <c r="I45" i="107"/>
  <c r="H16" i="10" s="1"/>
  <c r="P45" i="107"/>
  <c r="H45" i="107"/>
  <c r="J21" i="107" l="1"/>
  <c r="J20" i="107"/>
  <c r="J19" i="107"/>
  <c r="J29" i="107"/>
  <c r="J31" i="107" s="1"/>
  <c r="J26" i="107"/>
  <c r="N45" i="107" l="1"/>
  <c r="V45" i="107"/>
  <c r="W45" i="107" s="1"/>
  <c r="B27" i="107"/>
  <c r="R45" i="107"/>
  <c r="S45" i="107" s="1"/>
  <c r="T45" i="107" s="1"/>
  <c r="J35" i="107"/>
  <c r="O45" i="107" s="1"/>
  <c r="J33" i="107"/>
  <c r="J38" i="107" s="1"/>
  <c r="J58" i="107" l="1"/>
  <c r="J57" i="107"/>
  <c r="J27" i="107"/>
  <c r="X45" i="107"/>
  <c r="J30" i="107" s="1"/>
  <c r="J52" i="107" l="1"/>
  <c r="I23" i="10" s="1"/>
  <c r="P23" i="10" s="1"/>
  <c r="J48" i="107"/>
  <c r="I19" i="10" s="1"/>
  <c r="P19" i="10" s="1"/>
  <c r="J46" i="107"/>
  <c r="I17" i="10" s="1"/>
  <c r="P17" i="10" s="1"/>
  <c r="J47" i="107"/>
  <c r="I18" i="10" s="1"/>
  <c r="P18" i="10" s="1"/>
  <c r="J51" i="107"/>
  <c r="I22" i="10" s="1"/>
  <c r="P22" i="10" s="1"/>
  <c r="J49" i="107"/>
  <c r="I20" i="10" s="1"/>
  <c r="P20" i="10" s="1"/>
  <c r="J50" i="107"/>
  <c r="I21" i="10" s="1"/>
  <c r="P21" i="10" s="1"/>
  <c r="J45" i="107"/>
  <c r="I16" i="10" l="1"/>
  <c r="P16" i="10" s="1"/>
  <c r="T16" i="10" s="1"/>
  <c r="J64" i="107"/>
  <c r="J56" i="107"/>
  <c r="T21" i="10" l="1"/>
  <c r="T18" i="10"/>
  <c r="V18" i="10"/>
  <c r="T17" i="10"/>
  <c r="V17" i="10" s="1"/>
  <c r="T22" i="10"/>
  <c r="J59" i="107"/>
  <c r="J60" i="107"/>
  <c r="J61" i="107"/>
  <c r="T19" i="10"/>
  <c r="T23" i="10"/>
  <c r="T20" i="10"/>
  <c r="V19" i="10" l="1"/>
  <c r="X19" i="10" s="1"/>
  <c r="V22" i="10"/>
  <c r="W22" i="10" s="1"/>
  <c r="X17" i="10"/>
  <c r="W17" i="10"/>
  <c r="V23" i="10"/>
  <c r="V20" i="10"/>
  <c r="V16" i="10"/>
  <c r="W18" i="10"/>
  <c r="X18" i="10"/>
  <c r="V21" i="10"/>
  <c r="W19" i="10" l="1"/>
  <c r="X22" i="10"/>
  <c r="X16" i="10"/>
  <c r="W16" i="10"/>
  <c r="U13" i="10"/>
  <c r="W20" i="10"/>
  <c r="X20" i="10"/>
  <c r="X23" i="10"/>
  <c r="W23" i="10"/>
  <c r="W21" i="10"/>
  <c r="X21"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12" authorId="0" shapeId="0" xr:uid="{00000000-0006-0000-01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O13" authorId="0" shapeId="0" xr:uid="{00000000-0006-0000-04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<sst xmlns="http://schemas.openxmlformats.org/spreadsheetml/2006/main" count="646" uniqueCount="292">
  <si>
    <t>PRESUPUESTO OFICIAL</t>
  </si>
  <si>
    <t>UNIDAD</t>
  </si>
  <si>
    <t>P/UNIT</t>
  </si>
  <si>
    <t>VR PARCIAL</t>
  </si>
  <si>
    <t>PU vs PO</t>
  </si>
  <si>
    <t xml:space="preserve"> </t>
  </si>
  <si>
    <t>PUNTAJE</t>
  </si>
  <si>
    <t>PROPONENTE</t>
  </si>
  <si>
    <t>CANTIDAD</t>
  </si>
  <si>
    <t>NO ADMISIBLE</t>
  </si>
  <si>
    <t>ADMISIBLE</t>
  </si>
  <si>
    <t>JERARQUIA</t>
  </si>
  <si>
    <t>No.</t>
  </si>
  <si>
    <t>PROP. No.</t>
  </si>
  <si>
    <t>RECHAZO</t>
  </si>
  <si>
    <t>Ítem
Pago</t>
  </si>
  <si>
    <t>(%)</t>
  </si>
  <si>
    <t>&lt;0</t>
  </si>
  <si>
    <t>RESULTADO FINAL DEL PROCESO DE EVALUACIÓN</t>
  </si>
  <si>
    <t>CALIFICACIÓN OBTENIDA</t>
  </si>
  <si>
    <t>PUNTAJES OTORGADOS A LOS SIGUIENTES CRITERIOS:</t>
  </si>
  <si>
    <t>TOTALES</t>
  </si>
  <si>
    <t>DIRECCIÓN GENERAL</t>
  </si>
  <si>
    <t>DEPENDENCIAS</t>
  </si>
  <si>
    <t>ID</t>
  </si>
  <si>
    <t>CUADRO No. 1</t>
  </si>
  <si>
    <t>CUADRO No. 3</t>
  </si>
  <si>
    <t>DETERMINACIÓN DEL PUNTAJE POR VALOR DE LA PROPUESTA</t>
  </si>
  <si>
    <t>PROPUESTA ECONÓMICA</t>
  </si>
  <si>
    <t>($)</t>
  </si>
  <si>
    <t>PORCENTAJE DE MEJORA</t>
  </si>
  <si>
    <t>RESULTADO</t>
  </si>
  <si>
    <t>CUADRO No. 4</t>
  </si>
  <si>
    <t>PROPUESTA NUMERO</t>
  </si>
  <si>
    <t>RESÚMEN DE LA PONDERACIÓN OTORGADA</t>
  </si>
  <si>
    <t>Precio</t>
  </si>
  <si>
    <t>PUNTAJE DEFINITIVO</t>
  </si>
  <si>
    <t>CIFRA DE AJUSTE</t>
  </si>
  <si>
    <t>ORDEN DE ELEGIBILIDAD</t>
  </si>
  <si>
    <t>CONSECUTIVO</t>
  </si>
  <si>
    <t>NOTAS ACLARATORIAS PARA RECHAZO DE LA PROPUESTA ECONÓMICA</t>
  </si>
  <si>
    <t>TOTAL</t>
  </si>
  <si>
    <t>VR PARCIAL
(1)</t>
  </si>
  <si>
    <t>Determinación del Método para la Ponderación de la Propuesta Económica</t>
  </si>
  <si>
    <t xml:space="preserve">Valor = </t>
  </si>
  <si>
    <t>CENTESIMAS =</t>
  </si>
  <si>
    <t>Parámetros para la ponderación de la propuesta económica</t>
  </si>
  <si>
    <t>Número de propuestas válidas</t>
  </si>
  <si>
    <t>Puntaje propuesta Económica</t>
  </si>
  <si>
    <t>Mínimo</t>
  </si>
  <si>
    <t>Menor Valor (Vmin)</t>
  </si>
  <si>
    <t>CON RESPECTO A M1</t>
  </si>
  <si>
    <t>CON RESPECTO A M2</t>
  </si>
  <si>
    <t>CON RESPECTO A M3</t>
  </si>
  <si>
    <t>CON RESPECTO A M4</t>
  </si>
  <si>
    <t>CON RESPECTO A PO</t>
  </si>
  <si>
    <t>Mediana= Me</t>
  </si>
  <si>
    <t>Presupuesto Oficial</t>
  </si>
  <si>
    <t>Estadistico usado para ponderar :</t>
  </si>
  <si>
    <t>(Puntos)</t>
  </si>
  <si>
    <t>PONDERACIÓN</t>
  </si>
  <si>
    <t>Estado de la Ponderación</t>
  </si>
  <si>
    <t>Indicador</t>
  </si>
  <si>
    <t>Cantidad</t>
  </si>
  <si>
    <t>Número total de propuestas descartadas</t>
  </si>
  <si>
    <t>Número de propuestas superiores al estadistico de ponderación</t>
  </si>
  <si>
    <t>Número de propuestas inferiores o iguales al estadistico de ponderación</t>
  </si>
  <si>
    <t>Descuento de la propuesta con mayor ponderación</t>
  </si>
  <si>
    <t>Propuesta con mayor ponderación</t>
  </si>
  <si>
    <t>Número propuesta con mayor ponderación</t>
  </si>
  <si>
    <t>Apoyo a la industria nacional</t>
  </si>
  <si>
    <t>MÉTODO DE PONDERACIÓN =</t>
  </si>
  <si>
    <r>
      <t>Producto (1x10</t>
    </r>
    <r>
      <rPr>
        <b/>
        <vertAlign val="superscript"/>
        <sz val="9"/>
        <rFont val="Arial"/>
        <family val="2"/>
      </rPr>
      <t>9</t>
    </r>
    <r>
      <rPr>
        <b/>
        <sz val="10"/>
        <rFont val="Arial"/>
        <family val="2"/>
      </rPr>
      <t>)</t>
    </r>
  </si>
  <si>
    <r>
      <t>($1x10</t>
    </r>
    <r>
      <rPr>
        <b/>
        <vertAlign val="superscript"/>
        <sz val="11"/>
        <rFont val="Arial"/>
        <family val="2"/>
      </rPr>
      <t>9</t>
    </r>
    <r>
      <rPr>
        <b/>
        <sz val="11"/>
        <rFont val="Arial"/>
        <family val="2"/>
      </rPr>
      <t>)</t>
    </r>
  </si>
  <si>
    <t>PROPONENTE NÚMERO</t>
  </si>
  <si>
    <t>NOMBRE PROPONENTE</t>
  </si>
  <si>
    <t>Número Propuesta</t>
  </si>
  <si>
    <t>Orden</t>
  </si>
  <si>
    <t>Factor de Calidad</t>
  </si>
  <si>
    <t>NOTAS ACLARATORIAS DE LA PROPUESTA ECONÓMICA</t>
  </si>
  <si>
    <t>Último Método Utilizado</t>
  </si>
  <si>
    <t>MÉTODOS DE EVALUACIÓN</t>
  </si>
  <si>
    <t>MENOR VALOR</t>
  </si>
  <si>
    <t>No. de Módulos del Proceso</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</si>
  <si>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</si>
  <si>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</si>
  <si>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</si>
  <si>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</si>
  <si>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</si>
  <si>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</si>
  <si>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</si>
  <si>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</si>
  <si>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</si>
  <si>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</si>
  <si>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</si>
  <si>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</si>
  <si>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 - GRUPO TÚNEL DE LA LÍNEA</t>
  </si>
  <si>
    <t>NO APLICA</t>
  </si>
  <si>
    <t>TRM DEL DÍA DE LA INSTALACIÓN DE LA AUDIENCIA DE ASIGNACIÓN DE PUNTAJE</t>
  </si>
  <si>
    <t>DIRECCIÓN OPERATIVA</t>
  </si>
  <si>
    <t>NO MODIFICAR</t>
  </si>
  <si>
    <t>PROPUESTA ECONÓMICA CORREGIDA</t>
  </si>
  <si>
    <t>PROPUESTA ECONÓMICA INICIAL</t>
  </si>
  <si>
    <t>% DE ERROR FRENTE AL VALOR DE LA OFERTA ECONÓMICA INICIAL</t>
  </si>
  <si>
    <t>VALOR INICIAL DE LA PROPUESTA ECONÓMICA SEGÚN FORMULARIO No. 1</t>
  </si>
  <si>
    <t>VALOR IVA (OBRA) (19% SOBRE UTILIDAD OBRA)</t>
  </si>
  <si>
    <t>¿Número de Propuestas Válidas es Par o Impar?</t>
  </si>
  <si>
    <t>Vinculación trabajadores con discapacidad en planta de personal</t>
  </si>
  <si>
    <t>DESCRIPCIÓN</t>
  </si>
  <si>
    <t>MEDIANA CON VALOR ABSOLUTO</t>
  </si>
  <si>
    <t>MEDIA ARITMÉTICA BAJA</t>
  </si>
  <si>
    <t>Media Aritmética = X</t>
  </si>
  <si>
    <t>1. Mediana con Valor Absoluto</t>
  </si>
  <si>
    <t>3. Media Aritmética Baja</t>
  </si>
  <si>
    <r>
      <t>Media artimética baja (X</t>
    </r>
    <r>
      <rPr>
        <b/>
        <sz val="6"/>
        <rFont val="Arial"/>
        <family val="2"/>
      </rPr>
      <t>B</t>
    </r>
    <r>
      <rPr>
        <b/>
        <sz val="8"/>
        <rFont val="Arial"/>
        <family val="2"/>
      </rPr>
      <t>)</t>
    </r>
  </si>
  <si>
    <t>CUADRO No. 2 - VERIFICACIÓN DE LAS PROPUESTAS ECONÓMICAS</t>
  </si>
  <si>
    <t>SUBTOTAL BÁSICO DE OBRA (A)</t>
  </si>
  <si>
    <t>*</t>
  </si>
  <si>
    <t>MOVILIZAR</t>
  </si>
  <si>
    <t>INMOVILIZAR</t>
  </si>
  <si>
    <t>Media geométrica aproximada a números enteros = Mg</t>
  </si>
  <si>
    <t>Valor de la Propuesta más cercana al valor de la Media Geometrica:</t>
  </si>
  <si>
    <t>4. Menor Valor</t>
  </si>
  <si>
    <t xml:space="preserve">2. Media Geométrica </t>
  </si>
  <si>
    <t>SUBTOTAL BÁSICO DE OBRA</t>
  </si>
  <si>
    <t>PROPUESTA</t>
  </si>
  <si>
    <t>CONDICION DE LAS PROPUESTAS FRENTE AL MINIMO ACEPTABLE</t>
  </si>
  <si>
    <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</si>
  <si>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</si>
  <si>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</si>
  <si>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</si>
  <si>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</si>
  <si>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</si>
  <si>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</si>
  <si>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</si>
  <si>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</si>
  <si>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</si>
  <si>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</si>
  <si>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</si>
  <si>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</si>
  <si>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</si>
  <si>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</si>
  <si>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</si>
  <si>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</si>
  <si>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MODULO A EJECUTAR</t>
  </si>
  <si>
    <t>MEDIA GEOMÉTRICA</t>
  </si>
  <si>
    <t>DIFERENCIA ENTRE EL 
P.O y CADA PROPUESTA ECONOMICA
EN ( % )</t>
  </si>
  <si>
    <t>DIFERENCIA ENTRE EL P.O y CADA PROPUESTA ECONOMICA
EN  ( PCO )</t>
  </si>
  <si>
    <t>(P.O. - OFP)/PO.</t>
  </si>
  <si>
    <t>(P.O. - OFP)</t>
  </si>
  <si>
    <t>EN LA COMPARACION ABSOLUTA LA ENTIDAD CONTRASTO EL VALOR DE CADA OFERTA CON EL PRESUPUESTO OFICIAL DEL PROCESO, PARA ESTE CASO SE PRESENTARON MENOS DE CINCO PROPUESTAS (TRES PROPUESTAS) Y NINGUNA OFERTA ES MENOR AL 20%, O UN MAYOR PORCENTAJE, CON RESPECTO AL PRESUPUESTO OFICIAL  PARA ESTE PROCESO.
POR LO TANTO NO SE HACE NECESARIO EL REQUERIMIENTO DE  NINGUN PROPONENTE.</t>
  </si>
  <si>
    <t>NINGUN PROPONENTE ALLEGO UNA OFERTA CON UN VALOR MENOR AL 80% DEL PRESUPUESTO OFICIAL,  O LO QUE ES LO MISMO QUE  CON UN VALOR MAS BAJO QUE EL 20% DEL PRESUPUESTO OFICIAL, POR LO CUAL NINGUNA OFERTA SE CLASIFICA COMO ARTIFICIALMENTE BAJA Y EN CONSECUENCIA NO SE DEBE REQUERIR A NINGUN PROPONENTE PARA JUSTIFICAR TAL SITUACION.</t>
  </si>
  <si>
    <t>0 ó -1</t>
  </si>
  <si>
    <t>ANOTACION EN  RNOCI
SI = MENOS 1 PUNTO
NO = 0 PUNTOS</t>
  </si>
  <si>
    <t>SUBDIRECCION DE PROCESOS DE SELECCIÓN CONTRACTUALES</t>
  </si>
  <si>
    <t>m3</t>
  </si>
  <si>
    <t>m</t>
  </si>
  <si>
    <t>TOTAL MANTENIMIENTO RUTINARIO</t>
  </si>
  <si>
    <t>Global</t>
  </si>
  <si>
    <t>Factor de calidad</t>
  </si>
  <si>
    <t>Emprendimientos y
empresas de mujeres</t>
  </si>
  <si>
    <t>Mipyme</t>
  </si>
  <si>
    <t>CONSORCIO CORREDORES FERREOS SI</t>
  </si>
  <si>
    <t>CONSORCIO FERREO CHIRIGUANA</t>
  </si>
  <si>
    <t>CONSORCIO SAN FELIPE FERREO</t>
  </si>
  <si>
    <t>CONSORCIO FERROVIARIO RYC</t>
  </si>
  <si>
    <t>CONSORCIO INGED</t>
  </si>
  <si>
    <t>CONSORCIO FERROVIARIO DE LOS ANDES</t>
  </si>
  <si>
    <t>CONSORCIO INFRAESTRUCTURA LA DORADA</t>
  </si>
  <si>
    <t>CONSORCIO FERREO CONYRAHS</t>
  </si>
  <si>
    <t>AGENCIA NACIONAL DE INFRAESTRUCTURA</t>
  </si>
  <si>
    <t>VICEPRESIDENCIA JURIDICA</t>
  </si>
  <si>
    <t>GIT DE CONTRATACIÓN</t>
  </si>
  <si>
    <t>LICITACIÓN PÚBLICA VJ-VE-LP-001-2023</t>
  </si>
  <si>
    <t>OBJETO: “EL CONTRATISTA SE OBLIGA CON LA AGENCIA NACIONAL DE INFRAESTRUCTURA A EJECUTAR LAS ACTIVIDADES DE MANTENIMIENTO, CONSERVACIÓN Y MEJORAMIENTO DE LA INFRAESTRUCTURA ENTREGADA Y QUE HACE PARTE DEL CORREDOR LA DORADA (CALDAS) - CHIRIGUANA (CESAR) Y RAMALES INCLUIDOS EN LOS ANEXOS TÉCNICOS, ASÍ COMO EL CONTROL Y MANTENIMIENTO DE MATERIAL RODANTE Y ATENCIÓN DE EMERGENCIAS QUE ALTEREN DE ALGUNA MANERA LAS OPERACIONES FERROVIARIAS EN EL CORREDOR FERROVIARIO, Y DEMÁS ACTIVIDADES CONSAGRADAS EN LOS ANEXOS"</t>
  </si>
  <si>
    <t xml:space="preserve">Soldadura Aluminotérmica </t>
  </si>
  <si>
    <t xml:space="preserve">Suministro e instalación de riel perfil de 90 lbs/yd (incluye sujeciones y transporte) </t>
  </si>
  <si>
    <t>Suministro e instalación de sujeciones</t>
  </si>
  <si>
    <t>Suministro e instalación de balasto (incluye el cargue, transporte y el riego)</t>
  </si>
  <si>
    <t>Suministro e instalación de traviesas de concreto (Incluye sujeciones y placas de asiento)</t>
  </si>
  <si>
    <t>Reparaciones locativas y mantenimiento a las estaciones y bodegas</t>
  </si>
  <si>
    <t>Rehabilitación y reparación de cambiavías existentes</t>
  </si>
  <si>
    <t>Construcción de trinchos / muros guardabalasto</t>
  </si>
  <si>
    <t>Unidad</t>
  </si>
  <si>
    <t>ml-via</t>
  </si>
  <si>
    <t xml:space="preserve">Unidad </t>
  </si>
  <si>
    <t>I - MANTENIMIENTO Y CONSERVACIÓN DEL CORREDOR</t>
  </si>
  <si>
    <t>Puesta a punto, mantenimiento, repuestos, pinturas, servicios contratados para material rodante y carromotores.</t>
  </si>
  <si>
    <t xml:space="preserve">Señales verticales  informativas </t>
  </si>
  <si>
    <t xml:space="preserve">Atención de emergencias. </t>
  </si>
  <si>
    <t>Obras complementarias que surjan en el plazo contractual</t>
  </si>
  <si>
    <t>II - ADMINISTRACIÓN CONSERVACIÓN Y MANTENIMIENTO DEL MATERIAL RODANTE</t>
  </si>
  <si>
    <t>III - SEÑALIZACION</t>
  </si>
  <si>
    <t>IV - ATENCIÓN DE EMERGENCIAS</t>
  </si>
  <si>
    <t xml:space="preserve">V- OBRAS COMPLEMENTARIAS </t>
  </si>
  <si>
    <t>Director de Mantenimiento</t>
  </si>
  <si>
    <t>mes</t>
  </si>
  <si>
    <t xml:space="preserve">Ingeniero Territorial </t>
  </si>
  <si>
    <t>Auxiliar de Infraestructura</t>
  </si>
  <si>
    <t>Operador reguladora y bateadora PLASSER &amp; THEURER</t>
  </si>
  <si>
    <t xml:space="preserve">Operador carromotor </t>
  </si>
  <si>
    <t xml:space="preserve">Caporal </t>
  </si>
  <si>
    <t>Ayudante de vía (20 cuadrillas de 8 personas)</t>
  </si>
  <si>
    <t>Topógrafo</t>
  </si>
  <si>
    <t>Cadenero</t>
  </si>
  <si>
    <t>Profesional SISO</t>
  </si>
  <si>
    <t>Coordinador Comercial y Logístico</t>
  </si>
  <si>
    <t xml:space="preserve">I - GASTOS DE ADMINISTRACIÓN </t>
  </si>
  <si>
    <t>II. TRIPULACIONES</t>
  </si>
  <si>
    <t>Maquinistas</t>
  </si>
  <si>
    <t>Ayudantes</t>
  </si>
  <si>
    <t>III. PERSONAL TALLERES GRECIA</t>
  </si>
  <si>
    <t>Ingeniero Mecánico</t>
  </si>
  <si>
    <t>Almacenista</t>
  </si>
  <si>
    <t xml:space="preserve">Mecánicos </t>
  </si>
  <si>
    <t xml:space="preserve">Ayudantes </t>
  </si>
  <si>
    <t>Soldador</t>
  </si>
  <si>
    <t>IV - CONTROL DE TRÁFICO</t>
  </si>
  <si>
    <t xml:space="preserve">Tecnólogo de operaciones </t>
  </si>
  <si>
    <t xml:space="preserve">Jefes de estación </t>
  </si>
  <si>
    <t xml:space="preserve">Auxiliares de estación </t>
  </si>
  <si>
    <t>Paso a nivel de Barrancabermeja (3 turnos)</t>
  </si>
  <si>
    <t>V - PROGRAMAS Y ACTIVIDADES SOCIO-AMBIENTALES</t>
  </si>
  <si>
    <t xml:space="preserve">Ingeniero Ambiental </t>
  </si>
  <si>
    <t xml:space="preserve">Profesional Social </t>
  </si>
  <si>
    <t xml:space="preserve">Abogados </t>
  </si>
  <si>
    <t>PLAZO EN MESES</t>
  </si>
  <si>
    <t>SUBTOTAL GASTOS DE PERSONAL PARA LA ADMINISTRACIÓN POR EL PLAZO DE 12 MESES</t>
  </si>
  <si>
    <t>FACTOR MULTIPLICADOR</t>
  </si>
  <si>
    <t>SUBTOTAL GASTOS DE PERSONAL PARA LA ADMINISTRACIÓN CON FACTOR MULTIPLICADOR</t>
  </si>
  <si>
    <t>PRESUPUESTO OFICIAL ADMNISTRACIÓN DORADA - CHIRIGUANÁ</t>
  </si>
  <si>
    <t>PRESUPUESTO OFICIAL OBRA PÚBLICA DORADA - CHIRIGUANÁ</t>
  </si>
  <si>
    <t>PRESUPUESTO COSTOS DIRECTOS DORADA - CHIRIGUANÁ</t>
  </si>
  <si>
    <t>Alquiler radios (42). Incluye repetidores, enlaces y mantenimiento. Los 42 radios se distribuyen así: Tecnologo de operaciones (1) + Jefes de estación (30) + Auxiliares de estación (7) + Pasonivelistas (4)</t>
  </si>
  <si>
    <t>Vigilancia del corredor, Incluye IVA</t>
  </si>
  <si>
    <t>mes reembolsable</t>
  </si>
  <si>
    <t>Alquiler mensual de vehículos - Incluye conductor</t>
  </si>
  <si>
    <t>Un</t>
  </si>
  <si>
    <t>Gastos Adm (Computadores, equipos de oficina, servicios públicos, celulares e internet)</t>
  </si>
  <si>
    <t>Gastos de Viaje</t>
  </si>
  <si>
    <t>Equipo de Topografía</t>
  </si>
  <si>
    <t>I. COMUNICACIONES</t>
  </si>
  <si>
    <t>II - VIGILANCIA</t>
  </si>
  <si>
    <t>III. ALQUILERES</t>
  </si>
  <si>
    <t>IV. OTROS GASTOS</t>
  </si>
  <si>
    <t>SUBTOTAL OTROS COSTOS DIRECTOS  (SIN FACTOR MULTIPLICADOR)</t>
  </si>
  <si>
    <t>PLAZO (MESES)</t>
  </si>
  <si>
    <t>SUBTOTAL OTROS COSTOS DIRECTOS  (SIN FACTOR MULTIPLICADOR) POR EL PLAZO DE 12 MESES</t>
  </si>
  <si>
    <t>I. COMBUSTIBLES Y HERRAMIENTA MENOR</t>
  </si>
  <si>
    <t>II. IMPLEMENTACIÓN DE PROGRAMAS SOCIOAMBIENTALES</t>
  </si>
  <si>
    <t>III. - COMBUSTIBLE PARA OPERACIÓN COMERCIAL</t>
  </si>
  <si>
    <t>IV - ESTUDIOS Y DISEÑOS</t>
  </si>
  <si>
    <t xml:space="preserve">ACPM, Gasolina, Aceite, Filtros </t>
  </si>
  <si>
    <t>Global Reembolsable</t>
  </si>
  <si>
    <t xml:space="preserve">Herramienta Menor </t>
  </si>
  <si>
    <t xml:space="preserve">Implementación de Programas Socio - Ambientales. En caso que sea requerido por la autoridad ambiental. </t>
  </si>
  <si>
    <t>Combustible para operación comercial (ACPM)</t>
  </si>
  <si>
    <t>Estudios y diseños de los puntos vulnerables</t>
  </si>
  <si>
    <t xml:space="preserve">SUBTOTAL REEMBOLSABLES </t>
  </si>
  <si>
    <t>SUBTOTAL OTROS COSTOS DIRECTOS POR EL PLAZO DE 12 MESES DE MANTENIMIENTO Y CONSERVACIÓN</t>
  </si>
  <si>
    <t>SEGUROS Y POLIZA TODO RIESGO</t>
  </si>
  <si>
    <t>IVA (19%) SOBRE LA UTILIDAD DE LOS GASTOS DE ADMINISTRACIÓN Y PERSONAL</t>
  </si>
  <si>
    <t>VALOR TOTAL DE LA ADMINISTRACIÓN Y DEL PERSONAL (INCLUIDO IVA) (2)</t>
  </si>
  <si>
    <t>VALOR TOTAL DEL CONTRATO (OBRA + ADMINISTRACIÓN) (1)+(2)</t>
  </si>
  <si>
    <t>1. SE AJUSTA IVA DE UTILIDAD DE OBRA POR CORRECCION ARITMETICA (PRESENTAN EL VALOR DEL PRESUPUESTO)
2. SE AJUSTA IVA DE VIGILANCIA</t>
  </si>
  <si>
    <t>1. IVA DE UTILIDAD DE OBRA LO PRESENTAN CORREGIDO, SE VALIDA FORMULACIÓN Y REDONDEO
2. SE AJUSTA IVA DE VIGILANCIA</t>
  </si>
  <si>
    <t xml:space="preserve">
2. SE AJUSTA IVA DE VIGILANCIA</t>
  </si>
  <si>
    <t>% DE DIF FRENTE AL VALOR DE LA OFERTA ECONÓMICA INICIAL</t>
  </si>
  <si>
    <t>OE</t>
  </si>
  <si>
    <t>1. IVA DE UTILIDAD DE OBRA LO PRESENTAN FORMULADO, SE VALIDA FORMULACIÓN Y REDONDEO
2. SE AJUSTA IVA DE VIGILANCIA</t>
  </si>
  <si>
    <t>PO</t>
  </si>
  <si>
    <t>SIN CORRECCIONES</t>
  </si>
  <si>
    <t>dif</t>
  </si>
  <si>
    <t>P1</t>
  </si>
  <si>
    <t>P2</t>
  </si>
  <si>
    <t>P3</t>
  </si>
  <si>
    <t>P4</t>
  </si>
  <si>
    <t>P5</t>
  </si>
  <si>
    <t>P6</t>
  </si>
  <si>
    <t>P7</t>
  </si>
  <si>
    <t>P8</t>
  </si>
  <si>
    <t>Ofertas Revisadas</t>
  </si>
  <si>
    <t>Mediana</t>
  </si>
  <si>
    <t>Desv. Estandar</t>
  </si>
  <si>
    <t>Presupuesto</t>
  </si>
  <si>
    <t>Desv. Estandar calculada</t>
  </si>
  <si>
    <t>sumatoria</t>
  </si>
  <si>
    <t>div. Por N</t>
  </si>
  <si>
    <t>Raiz</t>
  </si>
  <si>
    <t>Dif. Con Valor Art. Bajo</t>
  </si>
  <si>
    <t>Promedio</t>
  </si>
  <si>
    <t>Valor mínimo aceptable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</si>
</sst>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6">
    <numFmt numFmtId="42" formatCode="_-&quot;$&quot;\ * #,##0_-;\-&quot;$&quot;\ * #,##0_-;_-&quot;$&quot;\ * &quot;-&quot;_-;_-@_-"/>
    <numFmt numFmtId="41" formatCode="_-* #,##0_-;\-* #,##0_-;_-* &quot;-&quot;_-;_-@_-"/>
    <numFmt numFmtId="164" formatCode="_(* #,##0_);_(* \(#,##0\);_(* &quot;-&quot;_);_(@_)"/>
    <numFmt numFmtId="165" formatCode="_(&quot;$&quot;\ * #,##0.00_);_(&quot;$&quot;\ * \(#,##0.00\);_(&quot;$&quot;\ * &quot;-&quot;??_);_(@_)"/>
    <numFmt numFmtId="166" formatCode="_(* #,##0.00_);_(* \(#,##0.00\);_(* &quot;-&quot;??_);_(@_)"/>
    <numFmt numFmtId="167" formatCode="_(&quot;$&quot;* #,##0.00_);_(&quot;$&quot;* \(#,##0.00\);_(&quot;$&quot;* &quot;-&quot;??_);_(@_)"/>
    <numFmt numFmtId="168" formatCode="_-* #,##0.00\ &quot;Pts&quot;_-;\-* #,##0.00\ &quot;Pts&quot;_-;_-* &quot;-&quot;??\ &quot;Pts&quot;_-;_-@_-"/>
    <numFmt numFmtId="169" formatCode="_-* #,##0.00\ _P_t_s_-;\-* #,##0.00\ _P_t_s_-;_-* &quot;-&quot;??\ _P_t_s_-;_-@_-"/>
    <numFmt numFmtId="170" formatCode="#,##0.0"/>
    <numFmt numFmtId="171" formatCode="#,##0.00;[Red]#,##0.00"/>
    <numFmt numFmtId="172" formatCode="&quot;NN&quot;\ 0"/>
    <numFmt numFmtId="173" formatCode="&quot;VALOR PARA EL CONTRATO=$&quot;\ #,##0.00"/>
    <numFmt numFmtId="174" formatCode="#,##0&quot;º&quot;"/>
    <numFmt numFmtId="175" formatCode="0.0000000"/>
    <numFmt numFmtId="176" formatCode="_ [$€-2]\ * #,##0.00_ ;_ [$€-2]\ * \-#,##0.00_ ;_ [$€-2]\ * &quot;-&quot;??_ "/>
    <numFmt numFmtId="177" formatCode="_(* #,##0_);_(* \(#,##0\);_(* &quot;-&quot;??_);_(@_)"/>
    <numFmt numFmtId="178" formatCode="0.0000E+00"/>
    <numFmt numFmtId="179" formatCode="_([$$-240A]\ * #,##0.00_);_([$$-240A]\ * \(#,##0.00\);_([$$-240A]\ * &quot;-&quot;??_);_(@_)"/>
    <numFmt numFmtId="180" formatCode="0.000000000000000E+00"/>
    <numFmt numFmtId="181" formatCode="_-* #,##0\ _P_t_s_-;\-* #,##0\ _P_t_s_-;_-* &quot;-&quot;??\ _P_t_s_-;_-@_-"/>
    <numFmt numFmtId="182" formatCode="0.0000000000000"/>
    <numFmt numFmtId="183" formatCode="0.000E+00"/>
    <numFmt numFmtId="184" formatCode="##0"/>
    <numFmt numFmtId="185" formatCode="0.000"/>
    <numFmt numFmtId="186" formatCode="0.0000"/>
    <numFmt numFmtId="187" formatCode="0.00%;\-0.00%;&quot;&quot;"/>
    <numFmt numFmtId="188" formatCode="&quot;$&quot;#,##0\ ;\(&quot;$&quot;#,##0\)"/>
    <numFmt numFmtId="189" formatCode="\(0%\)"/>
    <numFmt numFmtId="190" formatCode="d\ \d\e\ mmmm\ \d\e\ yyyy"/>
    <numFmt numFmtId="191" formatCode="000\°00&quot;´&quot;00&quot;´´&quot;"/>
    <numFmt numFmtId="192" formatCode="0%;\-0%;&quot;&quot;"/>
    <numFmt numFmtId="193" formatCode="#0&quot;.&quot;000&quot;´&quot;000&quot;.&quot;000"/>
    <numFmt numFmtId="194" formatCode="##0&quot;.&quot;000"/>
    <numFmt numFmtId="195" formatCode="&quot;$&quot;\ #,##0.00"/>
    <numFmt numFmtId="196" formatCode="#,##0.0000"/>
    <numFmt numFmtId="197" formatCode="_-* #,##0.00\ _€_-;\-* #,##0.00\ _€_-;_-* &quot;-&quot;??\ _€_-;_-@_-"/>
    <numFmt numFmtId="198" formatCode="_-* #,##0.00\ _P_t_a_-;\-* #,##0.00\ _P_t_a_-;_-* &quot;-&quot;??\ _P_t_a_-;_-@_-"/>
    <numFmt numFmtId="199" formatCode="_ * #,##0.00_ ;_ * \-#,##0.00_ ;_ * &quot;-&quot;??_ ;_ @_ "/>
    <numFmt numFmtId="200" formatCode="##0&quot;´&quot;000&quot;.&quot;000"/>
    <numFmt numFmtId="201" formatCode="[$$-240A]\ #,##0.00"/>
    <numFmt numFmtId="202" formatCode="_ &quot;$&quot;* #,##0.00_ ;_ &quot;$&quot;* \-#,##0.00_ ;_ &quot;$&quot;* &quot;-&quot;??_ ;_ @_ "/>
    <numFmt numFmtId="203" formatCode="#.##\ \K\g"/>
    <numFmt numFmtId="204" formatCode="_(* #,##0.0_);_(* \(#,##0.0\);_(* &quot;-&quot;??_);_(@_)"/>
    <numFmt numFmtId="205" formatCode="#0&quot;.&quot;"/>
    <numFmt numFmtId="206" formatCode="0.0%;\-0.0%;&quot;&quot;"/>
    <numFmt numFmtId="207" formatCode="_([$€]* #,##0.00_);_([$€]* \(#,##0.00\);_([$€]* &quot;-&quot;??_);_(@_)"/>
    <numFmt numFmtId="208" formatCode="&quot;$&quot;\ #,##0.00;&quot;$&quot;\ \-#,##0.00"/>
    <numFmt numFmtId="209" formatCode="0\+000"/>
    <numFmt numFmtId="210" formatCode="#,##0.0000000"/>
    <numFmt numFmtId="211" formatCode="0.0000%"/>
    <numFmt numFmtId="212" formatCode="#,##0.000"/>
    <numFmt numFmtId="213" formatCode="_([$$-240A]\ * #,##0.0000000_);_([$$-240A]\ * \(#,##0.0000000\);_([$$-240A]\ * &quot;-&quot;??_);_(@_)"/>
    <numFmt numFmtId="214" formatCode="_-&quot;$&quot;\ * #,##0.00_-;\-&quot;$&quot;\ * #,##0.00_-;_-&quot;$&quot;\ * &quot;-&quot;_-;_-@_-"/>
    <numFmt numFmtId="215" formatCode="&quot;$&quot;\ #,##0.000"/>
    <numFmt numFmtId="216" formatCode="0.000%"/>
    <numFmt numFmtId="217" formatCode="&quot;$&quot;\ \ \ #,##0.00"/>
    <numFmt numFmtId="218" formatCode="&quot;(PO-P½  )/PO= &quot;0.000%"/>
    <numFmt numFmtId="219" formatCode="&quot;(PO-½ANA ) = &quot;0\ .000%"/>
    <numFmt numFmtId="220" formatCode="&quot;(PO - MinAC)/PO = &quot;0.000%"/>
    <numFmt numFmtId="221" formatCode="&quot;MODULO No. &quot;0&quot;→→&quot;"/>
    <numFmt numFmtId="222" formatCode="&quot;No. &quot;0"/>
    <numFmt numFmtId="223" formatCode="0&quot; MODULOS&quot;"/>
    <numFmt numFmtId="224" formatCode="&quot;20% * P.O = &quot;&quot;$&quot;\ #,##0.00"/>
    <numFmt numFmtId="225" formatCode="0&quot; Puntos&quot;"/>
    <numFmt numFmtId="226" formatCode="_-[$$-240A]\ * #,##0.00_-;\-[$$-240A]\ * #,##0.00_-;_-[$$-240A]\ * &quot;-&quot;??_-;_-@_-"/>
    <numFmt numFmtId="227" formatCode="_-[$$-240A]\ * #,##0_-;\-[$$-240A]\ * #,##0_-;_-[$$-240A]\ * &quot;-&quot;??_-;_-@_-"/>
  </numFmts>
  <fonts count="89">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i/>
      <sz val="8"/>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sz val="22"/>
      <name val="Arial"/>
      <family val="2"/>
    </font>
    <font>
      <sz val="10"/>
      <color indexed="8"/>
      <name val="Arial"/>
      <family val="2"/>
    </font>
    <font>
      <b/>
      <sz val="8"/>
      <color indexed="12"/>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b/>
      <sz val="11"/>
      <color theme="0"/>
      <name val="Arial"/>
      <family val="2"/>
    </font>
    <font>
      <b/>
      <sz val="10"/>
      <color theme="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b/>
      <sz val="25"/>
      <color rgb="FF0000FF"/>
      <name val="Swis721 BdCnOul BT"/>
      <family val="5"/>
    </font>
    <font>
      <b/>
      <sz val="24"/>
      <name val="Arial"/>
      <family val="2"/>
    </font>
    <font>
      <sz val="5"/>
      <name val="Arial"/>
      <family val="2"/>
    </font>
    <font>
      <b/>
      <u val="double"/>
      <sz val="10"/>
      <name val="Arial"/>
      <family val="2"/>
    </font>
    <font>
      <b/>
      <sz val="12"/>
      <color rgb="FF000000"/>
      <name val="Calibri"/>
      <family val="2"/>
    </font>
    <font>
      <b/>
      <sz val="16"/>
      <name val="Calibri"/>
      <family val="2"/>
      <scheme val="minor"/>
    </font>
    <font>
      <sz val="10"/>
      <color theme="1"/>
      <name val="Calibri"/>
      <family val="2"/>
      <scheme val="minor"/>
    </font>
    <font>
      <b/>
      <sz val="10"/>
      <color indexed="8"/>
      <name val="Calibri"/>
      <family val="2"/>
      <scheme val="minor"/>
    </font>
    <font>
      <b/>
      <sz val="8"/>
      <color indexed="37"/>
      <name val="Tahoma"/>
      <family val="2"/>
    </font>
    <font>
      <b/>
      <sz val="9"/>
      <name val="Calibri"/>
      <family val="2"/>
      <scheme val="minor"/>
    </font>
    <font>
      <b/>
      <sz val="9"/>
      <color theme="0"/>
      <name val="Calibri"/>
      <family val="2"/>
      <scheme val="minor"/>
    </font>
    <font>
      <sz val="10"/>
      <color theme="1"/>
      <name val="Arial"/>
      <family val="2"/>
    </font>
    <font>
      <sz val="8"/>
      <name val="Arial"/>
    </font>
  </fonts>
  <fills count="72">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C8E61E"/>
        <bgColor rgb="FF000000"/>
      </patternFill>
    </fill>
    <fill>
      <patternFill patternType="solid">
        <fgColor rgb="FFC8E61E"/>
        <bgColor indexed="64"/>
      </patternFill>
    </fill>
    <fill>
      <patternFill patternType="solid">
        <fgColor rgb="FFD28660"/>
        <bgColor indexed="64"/>
      </patternFill>
    </fill>
    <fill>
      <patternFill patternType="solid">
        <fgColor rgb="FFF0DCC8"/>
        <bgColor indexed="64"/>
      </patternFill>
    </fill>
    <fill>
      <patternFill patternType="solid">
        <fgColor theme="8" tint="-0.249977111117893"/>
        <bgColor indexed="64"/>
      </patternFill>
    </fill>
    <fill>
      <patternFill patternType="solid">
        <fgColor rgb="FF31869B"/>
        <bgColor indexed="64"/>
      </patternFill>
    </fill>
    <fill>
      <patternFill patternType="solid">
        <fgColor rgb="FFB7DEE8"/>
        <bgColor indexed="64"/>
      </patternFill>
    </fill>
    <fill>
      <patternFill patternType="solid">
        <fgColor rgb="FF78FFFF"/>
        <bgColor indexed="64"/>
      </patternFill>
    </fill>
    <fill>
      <patternFill patternType="solid">
        <fgColor rgb="FF31869B"/>
        <bgColor rgb="FF000000"/>
      </patternFill>
    </fill>
    <fill>
      <patternFill patternType="solid">
        <fgColor rgb="FFB7DEE8"/>
        <bgColor rgb="FF000000"/>
      </patternFill>
    </fill>
    <fill>
      <patternFill patternType="solid">
        <fgColor rgb="FFFF0000"/>
        <bgColor indexed="64"/>
      </patternFill>
    </fill>
  </fills>
  <borders count="149">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double">
        <color indexed="64"/>
      </right>
      <top/>
      <bottom style="thin">
        <color indexed="64"/>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uble">
        <color indexed="64"/>
      </left>
      <right style="double">
        <color indexed="64"/>
      </right>
      <top style="dashed">
        <color indexed="64"/>
      </top>
      <bottom/>
      <diagonal/>
    </border>
    <border>
      <left style="double">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dotted">
        <color indexed="64"/>
      </left>
      <right style="dotted">
        <color indexed="64"/>
      </right>
      <top style="medium">
        <color indexed="64"/>
      </top>
      <bottom/>
      <diagonal/>
    </border>
    <border>
      <left style="medium">
        <color indexed="64"/>
      </left>
      <right style="dotted">
        <color indexed="64"/>
      </right>
      <top style="thin">
        <color indexed="64"/>
      </top>
      <bottom style="medium">
        <color indexed="64"/>
      </bottom>
      <diagonal/>
    </border>
    <border>
      <left style="dotted">
        <color indexed="64"/>
      </left>
      <right style="dotted">
        <color indexed="64"/>
      </right>
      <top/>
      <bottom style="medium">
        <color indexed="64"/>
      </bottom>
      <diagonal/>
    </border>
    <border>
      <left style="thin">
        <color indexed="64"/>
      </left>
      <right/>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medium">
        <color indexed="64"/>
      </right>
      <top style="medium">
        <color indexed="64"/>
      </top>
      <bottom style="medium">
        <color indexed="64"/>
      </bottom>
      <diagonal/>
    </border>
    <border>
      <left/>
      <right style="double">
        <color indexed="64"/>
      </right>
      <top style="double">
        <color indexed="64"/>
      </top>
      <bottom style="double">
        <color indexed="64"/>
      </bottom>
      <diagonal/>
    </border>
    <border>
      <left style="dotted">
        <color indexed="64"/>
      </left>
      <right style="medium">
        <color indexed="64"/>
      </right>
      <top style="thin">
        <color indexed="64"/>
      </top>
      <bottom/>
      <diagonal/>
    </border>
    <border>
      <left style="medium">
        <color indexed="64"/>
      </left>
      <right/>
      <top/>
      <bottom style="thin">
        <color indexed="64"/>
      </bottom>
      <diagonal/>
    </border>
  </borders>
  <cellStyleXfs count="232">
    <xf numFmtId="0" fontId="0" fillId="0" borderId="0"/>
    <xf numFmtId="0" fontId="22" fillId="0" borderId="0">
      <alignment vertical="top"/>
    </xf>
    <xf numFmtId="176" fontId="3" fillId="0" borderId="0" applyFont="0" applyFill="0" applyBorder="0" applyAlignment="0" applyProtection="0"/>
    <xf numFmtId="169" fontId="3" fillId="0" borderId="0" applyFont="0" applyFill="0" applyBorder="0" applyAlignment="0" applyProtection="0"/>
    <xf numFmtId="166" fontId="10" fillId="0" borderId="0" applyFont="0" applyFill="0" applyBorder="0" applyAlignment="0" applyProtection="0"/>
    <xf numFmtId="166" fontId="3" fillId="0" borderId="0" applyFont="0" applyFill="0" applyBorder="0" applyAlignment="0" applyProtection="0"/>
    <xf numFmtId="169" fontId="3" fillId="0" borderId="0" applyFont="0" applyFill="0" applyBorder="0" applyAlignment="0" applyProtection="0"/>
    <xf numFmtId="168"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6" fontId="3" fillId="0" borderId="0" applyFont="0" applyFill="0" applyBorder="0" applyAlignment="0" applyProtection="0"/>
    <xf numFmtId="0" fontId="2" fillId="0" borderId="0"/>
    <xf numFmtId="0" fontId="31" fillId="9" borderId="0" applyNumberFormat="0" applyBorder="0" applyAlignment="0" applyProtection="0"/>
    <xf numFmtId="0" fontId="31" fillId="10" borderId="0" applyNumberFormat="0" applyBorder="0" applyAlignment="0" applyProtection="0"/>
    <xf numFmtId="0" fontId="31" fillId="11" borderId="0" applyNumberFormat="0" applyBorder="0" applyAlignment="0" applyProtection="0"/>
    <xf numFmtId="0" fontId="31" fillId="12"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2" fontId="3" fillId="0" borderId="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2" borderId="0" applyNumberFormat="0" applyBorder="0" applyAlignment="0" applyProtection="0"/>
    <xf numFmtId="0" fontId="31" fillId="15" borderId="0" applyNumberFormat="0" applyBorder="0" applyAlignment="0" applyProtection="0"/>
    <xf numFmtId="0" fontId="31" fillId="18" borderId="0" applyNumberFormat="0" applyBorder="0" applyAlignment="0" applyProtection="0"/>
    <xf numFmtId="0" fontId="32" fillId="1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32" fillId="23" borderId="0" applyNumberFormat="0" applyBorder="0" applyAlignment="0" applyProtection="0"/>
    <xf numFmtId="0" fontId="32" fillId="24" borderId="0" applyNumberFormat="0" applyBorder="0" applyAlignment="0" applyProtection="0"/>
    <xf numFmtId="0" fontId="32" fillId="25"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26" borderId="0" applyNumberFormat="0" applyBorder="0" applyAlignment="0" applyProtection="0"/>
    <xf numFmtId="0" fontId="33" fillId="10" borderId="0" applyNumberFormat="0" applyBorder="0" applyAlignment="0" applyProtection="0"/>
    <xf numFmtId="0" fontId="34" fillId="27" borderId="96" applyNumberFormat="0" applyAlignment="0" applyProtection="0"/>
    <xf numFmtId="0" fontId="35" fillId="28" borderId="97" applyNumberFormat="0" applyAlignment="0" applyProtection="0"/>
    <xf numFmtId="184" fontId="9" fillId="0" borderId="85">
      <alignment horizontal="right"/>
    </xf>
    <xf numFmtId="2" fontId="9" fillId="0" borderId="0"/>
    <xf numFmtId="185" fontId="9" fillId="0" borderId="0"/>
    <xf numFmtId="186" fontId="8" fillId="0" borderId="0"/>
    <xf numFmtId="184" fontId="9" fillId="0" borderId="85">
      <alignment horizontal="right"/>
    </xf>
    <xf numFmtId="181" fontId="3" fillId="0" borderId="0">
      <protection locked="0"/>
    </xf>
    <xf numFmtId="3" fontId="36" fillId="0" borderId="0" applyFont="0" applyFill="0" applyBorder="0" applyAlignment="0" applyProtection="0"/>
    <xf numFmtId="0" fontId="37" fillId="0" borderId="0"/>
    <xf numFmtId="0" fontId="37" fillId="0" borderId="0"/>
    <xf numFmtId="0" fontId="37" fillId="0" borderId="0"/>
    <xf numFmtId="187" fontId="3" fillId="0" borderId="0">
      <protection locked="0"/>
    </xf>
    <xf numFmtId="188" fontId="36" fillId="0" borderId="0" applyFont="0" applyFill="0" applyBorder="0" applyAlignment="0" applyProtection="0"/>
    <xf numFmtId="189" fontId="3" fillId="0" borderId="0">
      <protection locked="0"/>
    </xf>
    <xf numFmtId="0" fontId="38" fillId="29" borderId="0" applyNumberFormat="0" applyBorder="0" applyAlignment="0" applyProtection="0"/>
    <xf numFmtId="0" fontId="38" fillId="30" borderId="0" applyNumberFormat="0" applyBorder="0" applyAlignment="0" applyProtection="0"/>
    <xf numFmtId="0" fontId="38" fillId="31" borderId="0" applyNumberFormat="0" applyBorder="0" applyAlignment="0" applyProtection="0"/>
    <xf numFmtId="0" fontId="31" fillId="32" borderId="0" applyNumberFormat="0" applyBorder="0" applyAlignment="0" applyProtection="0"/>
    <xf numFmtId="0" fontId="31" fillId="32" borderId="0" applyNumberFormat="0" applyBorder="0" applyAlignment="0" applyProtection="0"/>
    <xf numFmtId="0" fontId="32" fillId="33" borderId="0" applyNumberFormat="0" applyBorder="0" applyAlignment="0" applyProtection="0"/>
    <xf numFmtId="0" fontId="31" fillId="34" borderId="0" applyNumberFormat="0" applyBorder="0" applyAlignment="0" applyProtection="0"/>
    <xf numFmtId="0" fontId="31" fillId="35" borderId="0" applyNumberFormat="0" applyBorder="0" applyAlignment="0" applyProtection="0"/>
    <xf numFmtId="0" fontId="32" fillId="36" borderId="0" applyNumberFormat="0" applyBorder="0" applyAlignment="0" applyProtection="0"/>
    <xf numFmtId="0" fontId="31" fillId="34" borderId="0" applyNumberFormat="0" applyBorder="0" applyAlignment="0" applyProtection="0"/>
    <xf numFmtId="0" fontId="31" fillId="37" borderId="0" applyNumberFormat="0" applyBorder="0" applyAlignment="0" applyProtection="0"/>
    <xf numFmtId="0" fontId="32" fillId="35" borderId="0" applyNumberFormat="0" applyBorder="0" applyAlignment="0" applyProtection="0"/>
    <xf numFmtId="0" fontId="31" fillId="32" borderId="0" applyNumberFormat="0" applyBorder="0" applyAlignment="0" applyProtection="0"/>
    <xf numFmtId="0" fontId="31" fillId="35" borderId="0" applyNumberFormat="0" applyBorder="0" applyAlignment="0" applyProtection="0"/>
    <xf numFmtId="0" fontId="32" fillId="35" borderId="0" applyNumberFormat="0" applyBorder="0" applyAlignment="0" applyProtection="0"/>
    <xf numFmtId="0" fontId="31" fillId="38" borderId="0" applyNumberFormat="0" applyBorder="0" applyAlignment="0" applyProtection="0"/>
    <xf numFmtId="0" fontId="31" fillId="32" borderId="0" applyNumberFormat="0" applyBorder="0" applyAlignment="0" applyProtection="0"/>
    <xf numFmtId="0" fontId="32" fillId="33" borderId="0" applyNumberFormat="0" applyBorder="0" applyAlignment="0" applyProtection="0"/>
    <xf numFmtId="0" fontId="31" fillId="34" borderId="0" applyNumberFormat="0" applyBorder="0" applyAlignment="0" applyProtection="0"/>
    <xf numFmtId="0" fontId="31" fillId="39" borderId="0" applyNumberFormat="0" applyBorder="0" applyAlignment="0" applyProtection="0"/>
    <xf numFmtId="0" fontId="32" fillId="39" borderId="0" applyNumberFormat="0" applyBorder="0" applyAlignment="0" applyProtection="0"/>
    <xf numFmtId="1" fontId="3" fillId="0" borderId="0"/>
    <xf numFmtId="0" fontId="3" fillId="0" borderId="0" applyFont="0" applyFill="0" applyBorder="0" applyAlignment="0" applyProtection="0"/>
    <xf numFmtId="0" fontId="39" fillId="0" borderId="0" applyNumberFormat="0" applyFill="0" applyBorder="0" applyAlignment="0" applyProtection="0"/>
    <xf numFmtId="4" fontId="40" fillId="0" borderId="0">
      <protection locked="0"/>
    </xf>
    <xf numFmtId="4" fontId="40" fillId="0" borderId="0">
      <protection locked="0"/>
    </xf>
    <xf numFmtId="4" fontId="41" fillId="0" borderId="0">
      <protection locked="0"/>
    </xf>
    <xf numFmtId="4" fontId="40" fillId="0" borderId="0">
      <protection locked="0"/>
    </xf>
    <xf numFmtId="4" fontId="40" fillId="0" borderId="0">
      <protection locked="0"/>
    </xf>
    <xf numFmtId="4" fontId="40" fillId="0" borderId="0">
      <protection locked="0"/>
    </xf>
    <xf numFmtId="4" fontId="41" fillId="0" borderId="0">
      <protection locked="0"/>
    </xf>
    <xf numFmtId="190" fontId="3" fillId="0" borderId="0">
      <protection locked="0"/>
    </xf>
    <xf numFmtId="0" fontId="42" fillId="11" borderId="0" applyNumberFormat="0" applyBorder="0" applyAlignment="0" applyProtection="0"/>
    <xf numFmtId="191" fontId="3" fillId="0" borderId="0"/>
    <xf numFmtId="0" fontId="43" fillId="0" borderId="0" applyNumberFormat="0" applyFill="0" applyBorder="0" applyAlignment="0" applyProtection="0"/>
    <xf numFmtId="0" fontId="44" fillId="0" borderId="0" applyNumberFormat="0" applyFill="0" applyBorder="0" applyAlignment="0" applyProtection="0"/>
    <xf numFmtId="0" fontId="45" fillId="0" borderId="98" applyNumberFormat="0" applyFill="0" applyAlignment="0" applyProtection="0"/>
    <xf numFmtId="0" fontId="45" fillId="0" borderId="0" applyNumberFormat="0" applyFill="0" applyBorder="0" applyAlignment="0" applyProtection="0"/>
    <xf numFmtId="192" fontId="3" fillId="0" borderId="0">
      <protection locked="0"/>
    </xf>
    <xf numFmtId="192" fontId="3" fillId="0" borderId="0">
      <protection locked="0"/>
    </xf>
    <xf numFmtId="0" fontId="46" fillId="0" borderId="0" applyNumberFormat="0" applyFill="0" applyBorder="0" applyAlignment="0" applyProtection="0">
      <alignment vertical="top"/>
      <protection locked="0"/>
    </xf>
    <xf numFmtId="0" fontId="47" fillId="14" borderId="96" applyNumberFormat="0" applyAlignment="0" applyProtection="0"/>
    <xf numFmtId="0" fontId="48" fillId="0" borderId="99" applyNumberFormat="0" applyFill="0" applyAlignment="0" applyProtection="0"/>
    <xf numFmtId="193" fontId="9" fillId="0" borderId="0">
      <alignment horizontal="right"/>
    </xf>
    <xf numFmtId="194" fontId="9" fillId="0" borderId="0" applyFont="0" applyFill="0" applyBorder="0" applyAlignment="0">
      <alignment horizontal="center"/>
    </xf>
    <xf numFmtId="164" fontId="2" fillId="0" borderId="0" applyFont="0" applyFill="0" applyBorder="0" applyAlignment="0" applyProtection="0"/>
    <xf numFmtId="170"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6" fontId="3" fillId="0" borderId="0" applyFont="0" applyFill="0" applyBorder="0" applyAlignment="0" applyProtection="0"/>
    <xf numFmtId="166"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6" fontId="3" fillId="0" borderId="0" applyFont="0" applyFill="0" applyBorder="0" applyAlignment="0" applyProtection="0"/>
    <xf numFmtId="197" fontId="49"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8" fontId="3" fillId="0" borderId="0" applyFont="0" applyFill="0" applyBorder="0" applyAlignment="0" applyProtection="0"/>
    <xf numFmtId="166" fontId="3" fillId="0" borderId="0" applyFont="0" applyFill="0" applyBorder="0" applyAlignment="0" applyProtection="0"/>
    <xf numFmtId="196" fontId="3" fillId="0" borderId="0" applyFont="0" applyFill="0" applyBorder="0" applyAlignment="0" applyProtection="0"/>
    <xf numFmtId="166" fontId="3" fillId="0" borderId="0" applyFont="0" applyFill="0" applyBorder="0" applyAlignment="0" applyProtection="0"/>
    <xf numFmtId="195" fontId="3" fillId="0" borderId="0" applyFont="0" applyFill="0" applyBorder="0" applyAlignment="0" applyProtection="0"/>
    <xf numFmtId="166" fontId="3" fillId="0" borderId="0" applyFont="0" applyFill="0" applyBorder="0" applyAlignment="0" applyProtection="0"/>
    <xf numFmtId="196" fontId="3" fillId="0" borderId="0" applyFont="0" applyFill="0" applyBorder="0" applyAlignment="0" applyProtection="0"/>
    <xf numFmtId="166" fontId="3" fillId="0" borderId="0" applyFont="0" applyFill="0" applyBorder="0" applyAlignment="0" applyProtection="0"/>
    <xf numFmtId="196" fontId="3" fillId="0" borderId="0" applyFont="0" applyFill="0" applyBorder="0" applyAlignment="0" applyProtection="0"/>
    <xf numFmtId="195" fontId="3" fillId="0" borderId="0" applyFont="0" applyFill="0" applyBorder="0" applyAlignment="0" applyProtection="0"/>
    <xf numFmtId="166" fontId="2"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195" fontId="3" fillId="0" borderId="0" applyFont="0" applyFill="0" applyBorder="0" applyAlignment="0" applyProtection="0"/>
    <xf numFmtId="200" fontId="9" fillId="0" borderId="0">
      <alignment horizontal="right"/>
    </xf>
    <xf numFmtId="201" fontId="9" fillId="0" borderId="52"/>
    <xf numFmtId="202" fontId="3" fillId="0" borderId="0"/>
    <xf numFmtId="203" fontId="3" fillId="0" borderId="0" applyFont="0" applyFill="0" applyBorder="0" applyAlignment="0" applyProtection="0"/>
    <xf numFmtId="203" fontId="3" fillId="0" borderId="0" applyFont="0" applyFill="0" applyBorder="0" applyAlignment="0" applyProtection="0"/>
    <xf numFmtId="165" fontId="31" fillId="0" borderId="0" applyFont="0" applyFill="0" applyBorder="0" applyAlignment="0" applyProtection="0"/>
    <xf numFmtId="204" fontId="3" fillId="0" borderId="0" applyFont="0" applyFill="0" applyBorder="0" applyAlignment="0" applyProtection="0"/>
    <xf numFmtId="165" fontId="3" fillId="0" borderId="0" applyFont="0" applyFill="0" applyBorder="0" applyAlignment="0" applyProtection="0"/>
    <xf numFmtId="205"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5" fontId="2" fillId="0" borderId="0" applyFont="0" applyFill="0" applyBorder="0" applyAlignment="0" applyProtection="0"/>
    <xf numFmtId="0" fontId="3" fillId="0" borderId="0"/>
    <xf numFmtId="166" fontId="2" fillId="0" borderId="0" applyFont="0" applyFill="0" applyBorder="0" applyAlignment="0" applyProtection="0"/>
    <xf numFmtId="0" fontId="3" fillId="0" borderId="0"/>
    <xf numFmtId="0" fontId="3" fillId="0" borderId="0"/>
    <xf numFmtId="0" fontId="31" fillId="0" borderId="0"/>
    <xf numFmtId="0" fontId="31" fillId="40" borderId="100" applyNumberFormat="0" applyFont="0" applyAlignment="0" applyProtection="0"/>
    <xf numFmtId="0" fontId="50" fillId="27" borderId="101" applyNumberFormat="0" applyAlignment="0" applyProtection="0"/>
    <xf numFmtId="0" fontId="37" fillId="0" borderId="0"/>
    <xf numFmtId="206"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51" fillId="0" borderId="0" applyNumberFormat="0" applyFill="0" applyBorder="0" applyAlignment="0" applyProtection="0"/>
    <xf numFmtId="49" fontId="6" fillId="0" borderId="0">
      <alignment horizontal="center" vertical="center"/>
    </xf>
    <xf numFmtId="0" fontId="52" fillId="0" borderId="0" applyNumberFormat="0" applyFill="0" applyBorder="0" applyAlignment="0" applyProtection="0"/>
    <xf numFmtId="0" fontId="53" fillId="0" borderId="0" applyNumberFormat="0" applyFill="0" applyBorder="0" applyAlignment="0" applyProtection="0"/>
    <xf numFmtId="165" fontId="2" fillId="0" borderId="0" applyFont="0" applyFill="0" applyBorder="0" applyAlignment="0" applyProtection="0"/>
    <xf numFmtId="207" fontId="3" fillId="0" borderId="0" applyFont="0" applyFill="0" applyBorder="0" applyAlignment="0" applyProtection="0"/>
    <xf numFmtId="166" fontId="2" fillId="0" borderId="0" applyFont="0" applyFill="0" applyBorder="0" applyAlignment="0" applyProtection="0"/>
    <xf numFmtId="164" fontId="3" fillId="0" borderId="0" applyFont="0" applyFill="0" applyBorder="0" applyAlignment="0" applyProtection="0"/>
    <xf numFmtId="166" fontId="2" fillId="0" borderId="0" applyFont="0" applyFill="0" applyBorder="0" applyAlignment="0" applyProtection="0"/>
    <xf numFmtId="199" fontId="3" fillId="0" borderId="0" applyFont="0" applyFill="0" applyBorder="0" applyAlignment="0" applyProtection="0"/>
    <xf numFmtId="166" fontId="3" fillId="0" borderId="0" applyFont="0" applyFill="0" applyBorder="0" applyAlignment="0" applyProtection="0"/>
    <xf numFmtId="176" fontId="3" fillId="0" borderId="0" applyFont="0" applyFill="0" applyBorder="0" applyAlignment="0" applyProtection="0"/>
    <xf numFmtId="165" fontId="2" fillId="0" borderId="0" applyFont="0" applyFill="0" applyBorder="0" applyAlignment="0" applyProtection="0"/>
    <xf numFmtId="209" fontId="3" fillId="0" borderId="0" applyFont="0" applyFill="0" applyBorder="0" applyAlignment="0" applyProtection="0"/>
    <xf numFmtId="0" fontId="31" fillId="0" borderId="0"/>
    <xf numFmtId="165" fontId="2" fillId="0" borderId="0" applyFont="0" applyFill="0" applyBorder="0" applyAlignment="0" applyProtection="0"/>
    <xf numFmtId="166" fontId="2" fillId="0" borderId="0" applyFont="0" applyFill="0" applyBorder="0" applyAlignment="0" applyProtection="0"/>
    <xf numFmtId="0" fontId="2" fillId="0" borderId="0"/>
    <xf numFmtId="208" fontId="3" fillId="0" borderId="0" applyFont="0" applyFill="0" applyBorder="0" applyAlignment="0" applyProtection="0"/>
    <xf numFmtId="0" fontId="2" fillId="0" borderId="0"/>
    <xf numFmtId="0" fontId="2" fillId="0" borderId="0"/>
    <xf numFmtId="9" fontId="55" fillId="0" borderId="0" applyFont="0" applyFill="0" applyBorder="0" applyAlignment="0" applyProtection="0"/>
    <xf numFmtId="41" fontId="60" fillId="0" borderId="0" applyFont="0" applyFill="0" applyBorder="0" applyAlignment="0" applyProtection="0"/>
    <xf numFmtId="42" fontId="3" fillId="0" borderId="0" applyFont="0" applyFill="0" applyBorder="0" applyAlignment="0" applyProtection="0"/>
    <xf numFmtId="0" fontId="1" fillId="0" borderId="0"/>
  </cellStyleXfs>
  <cellXfs count="581">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5" fillId="0" borderId="0" xfId="0" applyFont="1" applyAlignment="1" applyProtection="1">
      <alignment horizontal="centerContinuous" vertical="center" wrapText="1"/>
      <protection hidden="1"/>
    </xf>
    <xf numFmtId="0" fontId="6" fillId="0" borderId="0" xfId="0" applyFont="1" applyAlignment="1" applyProtection="1">
      <alignment horizontal="centerContinuous" vertical="center" wrapText="1"/>
      <protection hidden="1"/>
    </xf>
    <xf numFmtId="0" fontId="7" fillId="0" borderId="0" xfId="0" applyFont="1" applyAlignment="1" applyProtection="1">
      <alignment horizontal="centerContinuous" vertical="center" wrapText="1"/>
      <protection hidden="1"/>
    </xf>
    <xf numFmtId="0" fontId="10" fillId="0" borderId="0" xfId="0" applyFont="1" applyAlignment="1" applyProtection="1">
      <alignment horizontal="centerContinuous" vertical="center" wrapText="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9" fillId="0" borderId="0" xfId="0" applyFont="1" applyProtection="1">
      <protection hidden="1"/>
    </xf>
    <xf numFmtId="0" fontId="17" fillId="0" borderId="0" xfId="0" applyFont="1" applyAlignment="1" applyProtection="1">
      <alignment horizontal="centerContinuous" vertical="center" wrapText="1"/>
      <protection hidden="1"/>
    </xf>
    <xf numFmtId="0" fontId="13" fillId="0" borderId="0" xfId="0" applyFont="1" applyAlignment="1" applyProtection="1">
      <alignment horizontal="centerContinuous" vertical="center" wrapText="1"/>
      <protection hidden="1"/>
    </xf>
    <xf numFmtId="0" fontId="14" fillId="0" borderId="0" xfId="0" applyFont="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18" fillId="0" borderId="0" xfId="0" applyFont="1" applyAlignment="1" applyProtection="1">
      <alignment horizontal="centerContinuous" vertical="center" wrapText="1"/>
      <protection hidden="1"/>
    </xf>
    <xf numFmtId="0" fontId="9" fillId="0" borderId="0" xfId="0" applyFont="1" applyAlignment="1" applyProtection="1">
      <alignment horizontal="centerContinuous" vertical="center" wrapText="1"/>
      <protection hidden="1"/>
    </xf>
    <xf numFmtId="0" fontId="9" fillId="0" borderId="0" xfId="0" quotePrefix="1" applyFont="1" applyAlignment="1" applyProtection="1">
      <alignment horizontal="center" vertical="center"/>
      <protection hidden="1"/>
    </xf>
    <xf numFmtId="0" fontId="4" fillId="0" borderId="0" xfId="0" applyFont="1" applyAlignment="1" applyProtection="1">
      <alignment horizontal="centerContinuous" vertical="center"/>
      <protection hidden="1"/>
    </xf>
    <xf numFmtId="0" fontId="19" fillId="0" borderId="0" xfId="0" applyFont="1" applyProtection="1">
      <protection hidden="1"/>
    </xf>
    <xf numFmtId="0" fontId="19" fillId="0" borderId="0" xfId="0" quotePrefix="1" applyFont="1" applyAlignment="1" applyProtection="1">
      <alignment vertical="center"/>
      <protection hidden="1"/>
    </xf>
    <xf numFmtId="0" fontId="19" fillId="0" borderId="0" xfId="0" applyFont="1" applyAlignment="1" applyProtection="1">
      <alignment horizontal="center"/>
      <protection hidden="1"/>
    </xf>
    <xf numFmtId="0" fontId="20" fillId="0" borderId="0" xfId="0" applyFont="1" applyAlignment="1" applyProtection="1">
      <alignment horizontal="centerContinuous" vertical="center" wrapText="1"/>
      <protection locked="0"/>
    </xf>
    <xf numFmtId="0" fontId="3" fillId="0" borderId="0" xfId="0" applyFont="1" applyProtection="1">
      <protection hidden="1"/>
    </xf>
    <xf numFmtId="0" fontId="3" fillId="2" borderId="0" xfId="12" applyFill="1" applyAlignment="1">
      <alignment horizontal="left" vertical="top" wrapText="1"/>
    </xf>
    <xf numFmtId="0" fontId="3" fillId="2" borderId="0" xfId="12" applyFill="1" applyAlignment="1">
      <alignment wrapText="1"/>
    </xf>
    <xf numFmtId="0" fontId="3" fillId="2" borderId="0" xfId="12" applyFill="1"/>
    <xf numFmtId="0" fontId="5" fillId="2" borderId="0" xfId="12" applyFont="1" applyFill="1" applyAlignment="1">
      <alignment horizontal="centerContinuous" vertical="center" wrapText="1"/>
    </xf>
    <xf numFmtId="0" fontId="3" fillId="2" borderId="0" xfId="12" applyFill="1" applyAlignment="1">
      <alignment horizontal="center" vertical="center"/>
    </xf>
    <xf numFmtId="0" fontId="8" fillId="2" borderId="2" xfId="12" applyFont="1" applyFill="1" applyBorder="1" applyAlignment="1">
      <alignment horizontal="center" vertical="center"/>
    </xf>
    <xf numFmtId="1" fontId="16" fillId="0" borderId="0" xfId="12" applyNumberFormat="1" applyFont="1" applyAlignment="1">
      <alignment horizontal="centerContinuous" vertical="center" wrapText="1"/>
    </xf>
    <xf numFmtId="1" fontId="6" fillId="0" borderId="0" xfId="12" applyNumberFormat="1" applyFont="1" applyAlignment="1">
      <alignment horizontal="centerContinuous" vertical="center" wrapText="1"/>
    </xf>
    <xf numFmtId="0" fontId="6" fillId="0" borderId="0" xfId="12" applyFont="1" applyAlignment="1">
      <alignment horizontal="centerContinuous" vertical="center"/>
    </xf>
    <xf numFmtId="0" fontId="8" fillId="0" borderId="3" xfId="0" applyFont="1" applyBorder="1" applyAlignment="1" applyProtection="1">
      <alignment horizontal="centerContinuous"/>
      <protection hidden="1"/>
    </xf>
    <xf numFmtId="0" fontId="8" fillId="0" borderId="4" xfId="0" applyFont="1" applyBorder="1" applyAlignment="1" applyProtection="1">
      <alignment horizontal="center" vertical="center"/>
      <protection hidden="1"/>
    </xf>
    <xf numFmtId="0" fontId="10" fillId="0" borderId="8" xfId="0" applyFont="1" applyBorder="1" applyAlignment="1" applyProtection="1">
      <alignment horizontal="center"/>
      <protection hidden="1"/>
    </xf>
    <xf numFmtId="0" fontId="10" fillId="0" borderId="10" xfId="0" applyFont="1" applyBorder="1" applyAlignment="1" applyProtection="1">
      <alignment horizontal="center"/>
      <protection hidden="1"/>
    </xf>
    <xf numFmtId="0" fontId="10" fillId="0" borderId="11" xfId="0" applyFont="1" applyBorder="1" applyAlignment="1" applyProtection="1">
      <alignment horizontal="center"/>
      <protection hidden="1"/>
    </xf>
    <xf numFmtId="0" fontId="10" fillId="0" borderId="9" xfId="0" applyFont="1" applyBorder="1" applyAlignment="1" applyProtection="1">
      <alignment horizontal="center"/>
      <protection hidden="1"/>
    </xf>
    <xf numFmtId="0" fontId="28" fillId="3" borderId="13" xfId="13" applyFont="1" applyFill="1" applyBorder="1" applyAlignment="1">
      <alignment horizontal="center" vertical="center"/>
    </xf>
    <xf numFmtId="0" fontId="24" fillId="4" borderId="14" xfId="11" applyFont="1" applyFill="1" applyBorder="1"/>
    <xf numFmtId="0" fontId="24" fillId="4" borderId="15" xfId="11" applyFont="1" applyFill="1" applyBorder="1"/>
    <xf numFmtId="0" fontId="3" fillId="0" borderId="16" xfId="11" applyBorder="1"/>
    <xf numFmtId="0" fontId="24" fillId="4" borderId="17" xfId="11" applyFont="1" applyFill="1" applyBorder="1"/>
    <xf numFmtId="0" fontId="3" fillId="0" borderId="18" xfId="11" applyBorder="1"/>
    <xf numFmtId="0" fontId="24" fillId="4" borderId="19" xfId="11" applyFont="1" applyFill="1" applyBorder="1"/>
    <xf numFmtId="0" fontId="3" fillId="0" borderId="20" xfId="11" applyBorder="1"/>
    <xf numFmtId="0" fontId="3" fillId="0" borderId="21" xfId="11" applyBorder="1"/>
    <xf numFmtId="0" fontId="10" fillId="0" borderId="22" xfId="0" applyFont="1" applyBorder="1" applyAlignment="1" applyProtection="1">
      <alignment horizontal="center"/>
      <protection hidden="1"/>
    </xf>
    <xf numFmtId="0" fontId="10" fillId="0" borderId="23" xfId="0" applyFont="1" applyBorder="1" applyAlignment="1" applyProtection="1">
      <alignment horizontal="center"/>
      <protection hidden="1"/>
    </xf>
    <xf numFmtId="0" fontId="6" fillId="0" borderId="0" xfId="0" applyFont="1" applyAlignment="1" applyProtection="1">
      <alignment horizontal="center" vertical="center"/>
      <protection hidden="1"/>
    </xf>
    <xf numFmtId="0" fontId="3" fillId="0" borderId="25" xfId="11" applyBorder="1"/>
    <xf numFmtId="0" fontId="3" fillId="0" borderId="26" xfId="11" applyBorder="1"/>
    <xf numFmtId="0" fontId="3" fillId="0" borderId="27" xfId="11" applyBorder="1"/>
    <xf numFmtId="0" fontId="8" fillId="0" borderId="4" xfId="0" applyFont="1" applyBorder="1" applyAlignment="1" applyProtection="1">
      <alignment horizontal="centerContinuous"/>
      <protection hidden="1"/>
    </xf>
    <xf numFmtId="0" fontId="8" fillId="2" borderId="0" xfId="12" applyFont="1" applyFill="1" applyAlignment="1">
      <alignment vertical="center"/>
    </xf>
    <xf numFmtId="179" fontId="15" fillId="2" borderId="0" xfId="7" applyNumberFormat="1" applyFont="1" applyFill="1" applyBorder="1" applyAlignment="1"/>
    <xf numFmtId="10" fontId="6" fillId="2" borderId="35" xfId="12" applyNumberFormat="1" applyFont="1" applyFill="1" applyBorder="1" applyAlignment="1">
      <alignment horizontal="center" vertical="center" wrapText="1"/>
    </xf>
    <xf numFmtId="10" fontId="6" fillId="2" borderId="57" xfId="12" applyNumberFormat="1" applyFont="1" applyFill="1" applyBorder="1" applyAlignment="1">
      <alignment horizontal="center" vertical="center" wrapText="1"/>
    </xf>
    <xf numFmtId="0" fontId="3" fillId="2" borderId="50" xfId="12" applyFill="1" applyBorder="1"/>
    <xf numFmtId="0" fontId="3" fillId="2" borderId="51" xfId="12" applyFill="1" applyBorder="1"/>
    <xf numFmtId="0" fontId="3" fillId="0" borderId="51" xfId="12" applyBorder="1"/>
    <xf numFmtId="0" fontId="3" fillId="2" borderId="54" xfId="12" applyFill="1" applyBorder="1"/>
    <xf numFmtId="0" fontId="3" fillId="0" borderId="54" xfId="12" applyBorder="1"/>
    <xf numFmtId="0" fontId="6" fillId="0" borderId="51" xfId="12" applyFont="1" applyBorder="1" applyAlignment="1">
      <alignment horizontal="right" vertical="center"/>
    </xf>
    <xf numFmtId="0" fontId="6" fillId="0" borderId="50" xfId="12" applyFont="1" applyBorder="1" applyAlignment="1">
      <alignment horizontal="left" vertical="center"/>
    </xf>
    <xf numFmtId="0" fontId="6" fillId="0" borderId="51" xfId="12" applyFont="1" applyBorder="1" applyAlignment="1">
      <alignment vertical="center"/>
    </xf>
    <xf numFmtId="0" fontId="6" fillId="0" borderId="50" xfId="12" applyFont="1" applyBorder="1" applyAlignment="1">
      <alignment horizontal="center" vertical="center" wrapText="1"/>
    </xf>
    <xf numFmtId="0" fontId="6" fillId="0" borderId="51" xfId="12" applyFont="1" applyBorder="1" applyAlignment="1">
      <alignment horizontal="center" vertical="center" wrapText="1"/>
    </xf>
    <xf numFmtId="0" fontId="6" fillId="0" borderId="53" xfId="12" applyFont="1" applyBorder="1" applyAlignment="1">
      <alignment horizontal="center" vertical="center" wrapText="1"/>
    </xf>
    <xf numFmtId="0" fontId="6" fillId="0" borderId="54" xfId="12" applyFont="1" applyBorder="1" applyAlignment="1">
      <alignment horizontal="center" vertical="center" wrapText="1"/>
    </xf>
    <xf numFmtId="0" fontId="6" fillId="0" borderId="54" xfId="12" applyFont="1" applyBorder="1" applyAlignment="1">
      <alignment horizontal="right" vertical="center"/>
    </xf>
    <xf numFmtId="177" fontId="6" fillId="0" borderId="46" xfId="6" applyNumberFormat="1" applyFont="1" applyFill="1" applyBorder="1" applyAlignment="1" applyProtection="1">
      <alignment vertical="center"/>
      <protection locked="0"/>
    </xf>
    <xf numFmtId="166" fontId="6" fillId="0" borderId="58" xfId="6" applyNumberFormat="1" applyFont="1" applyFill="1" applyBorder="1" applyAlignment="1" applyProtection="1">
      <alignment vertical="center"/>
      <protection locked="0"/>
    </xf>
    <xf numFmtId="179" fontId="6" fillId="2" borderId="52" xfId="7" applyNumberFormat="1" applyFont="1" applyFill="1" applyBorder="1" applyAlignment="1"/>
    <xf numFmtId="179" fontId="6" fillId="2" borderId="46" xfId="7" applyNumberFormat="1" applyFont="1" applyFill="1" applyBorder="1" applyAlignment="1"/>
    <xf numFmtId="180" fontId="6" fillId="2" borderId="52" xfId="7" applyNumberFormat="1" applyFont="1" applyFill="1" applyBorder="1" applyAlignment="1"/>
    <xf numFmtId="179" fontId="6" fillId="2" borderId="55" xfId="7" applyNumberFormat="1" applyFont="1" applyFill="1" applyBorder="1" applyAlignment="1"/>
    <xf numFmtId="1" fontId="8" fillId="2" borderId="33" xfId="12" applyNumberFormat="1" applyFont="1" applyFill="1" applyBorder="1" applyAlignment="1">
      <alignment horizontal="left" vertical="center" wrapText="1"/>
    </xf>
    <xf numFmtId="0" fontId="6" fillId="0" borderId="52" xfId="0" applyFont="1" applyBorder="1" applyAlignment="1">
      <alignment horizontal="center" vertical="center"/>
    </xf>
    <xf numFmtId="0" fontId="6" fillId="2" borderId="52" xfId="12" applyFont="1" applyFill="1" applyBorder="1" applyAlignment="1">
      <alignment horizontal="center"/>
    </xf>
    <xf numFmtId="10" fontId="6" fillId="2" borderId="52" xfId="12" applyNumberFormat="1" applyFont="1" applyFill="1" applyBorder="1" applyAlignment="1">
      <alignment horizontal="center" vertical="center" wrapText="1"/>
    </xf>
    <xf numFmtId="10" fontId="6" fillId="2" borderId="55" xfId="12" applyNumberFormat="1" applyFont="1" applyFill="1" applyBorder="1" applyAlignment="1">
      <alignment horizontal="center" vertical="center" wrapText="1"/>
    </xf>
    <xf numFmtId="0" fontId="8" fillId="2" borderId="4" xfId="12" applyFont="1" applyFill="1" applyBorder="1" applyAlignment="1">
      <alignment horizontal="center" vertical="center" wrapText="1"/>
    </xf>
    <xf numFmtId="4" fontId="8" fillId="2" borderId="2" xfId="12" applyNumberFormat="1" applyFont="1" applyFill="1" applyBorder="1" applyAlignment="1">
      <alignment horizontal="center" vertical="center"/>
    </xf>
    <xf numFmtId="1" fontId="6" fillId="2" borderId="52" xfId="12" applyNumberFormat="1" applyFont="1" applyFill="1" applyBorder="1" applyAlignment="1">
      <alignment horizontal="center" vertical="center" wrapText="1"/>
    </xf>
    <xf numFmtId="169" fontId="6" fillId="0" borderId="62" xfId="3" applyFont="1" applyFill="1" applyBorder="1" applyAlignment="1" applyProtection="1">
      <alignment horizontal="center" vertical="center" wrapText="1"/>
    </xf>
    <xf numFmtId="0" fontId="6" fillId="2" borderId="0" xfId="12" applyFont="1" applyFill="1" applyAlignment="1">
      <alignment horizontal="right" vertical="center"/>
    </xf>
    <xf numFmtId="179" fontId="6" fillId="2" borderId="0" xfId="7" applyNumberFormat="1" applyFont="1" applyFill="1" applyBorder="1" applyAlignment="1"/>
    <xf numFmtId="0" fontId="10" fillId="0" borderId="0" xfId="0" applyFont="1" applyAlignment="1" applyProtection="1">
      <alignment horizontal="center" vertical="center" wrapText="1"/>
      <protection hidden="1"/>
    </xf>
    <xf numFmtId="0" fontId="8" fillId="2" borderId="0" xfId="0" applyFont="1" applyFill="1" applyAlignment="1" applyProtection="1">
      <alignment horizontal="center"/>
      <protection hidden="1"/>
    </xf>
    <xf numFmtId="0" fontId="11" fillId="2" borderId="0" xfId="0" applyFont="1" applyFill="1" applyAlignment="1" applyProtection="1">
      <alignment horizontal="center" vertical="center"/>
      <protection hidden="1"/>
    </xf>
    <xf numFmtId="3" fontId="8" fillId="0" borderId="0" xfId="0" applyNumberFormat="1" applyFont="1" applyAlignment="1" applyProtection="1">
      <alignment horizontal="center" vertical="center"/>
      <protection hidden="1"/>
    </xf>
    <xf numFmtId="170" fontId="8" fillId="0" borderId="0" xfId="0" applyNumberFormat="1" applyFont="1" applyProtection="1">
      <protection hidden="1"/>
    </xf>
    <xf numFmtId="0" fontId="8" fillId="0" borderId="0" xfId="0" applyFont="1" applyAlignment="1" applyProtection="1">
      <alignment horizontal="center" vertical="center"/>
      <protection hidden="1"/>
    </xf>
    <xf numFmtId="0" fontId="8" fillId="2" borderId="8" xfId="0" applyFont="1" applyFill="1" applyBorder="1" applyAlignment="1" applyProtection="1">
      <alignment horizontal="center"/>
      <protection hidden="1"/>
    </xf>
    <xf numFmtId="0" fontId="8" fillId="0" borderId="9" xfId="0" applyFont="1" applyBorder="1" applyAlignment="1" applyProtection="1">
      <alignment horizontal="center" vertical="center"/>
      <protection hidden="1"/>
    </xf>
    <xf numFmtId="1" fontId="8" fillId="0" borderId="32" xfId="0" applyNumberFormat="1" applyFont="1" applyBorder="1" applyAlignment="1" applyProtection="1">
      <alignment horizontal="center" vertical="center"/>
      <protection hidden="1"/>
    </xf>
    <xf numFmtId="1" fontId="8" fillId="0" borderId="33" xfId="0" applyNumberFormat="1" applyFont="1" applyBorder="1" applyAlignment="1" applyProtection="1">
      <alignment horizontal="center" vertical="center"/>
      <protection hidden="1"/>
    </xf>
    <xf numFmtId="3" fontId="8" fillId="0" borderId="33" xfId="0" applyNumberFormat="1" applyFont="1" applyBorder="1" applyAlignment="1" applyProtection="1">
      <alignment horizontal="center" vertical="center"/>
      <protection hidden="1"/>
    </xf>
    <xf numFmtId="4" fontId="23" fillId="0" borderId="33" xfId="0" applyNumberFormat="1" applyFont="1" applyBorder="1" applyAlignment="1" applyProtection="1">
      <alignment horizontal="center" vertical="center"/>
      <protection locked="0"/>
    </xf>
    <xf numFmtId="178" fontId="8" fillId="0" borderId="66" xfId="0" applyNumberFormat="1" applyFont="1" applyBorder="1" applyAlignment="1" applyProtection="1">
      <alignment horizontal="center" vertical="center"/>
      <protection hidden="1"/>
    </xf>
    <xf numFmtId="0" fontId="6" fillId="0" borderId="0" xfId="0" applyFont="1" applyAlignment="1" applyProtection="1">
      <alignment horizontal="center"/>
      <protection hidden="1"/>
    </xf>
    <xf numFmtId="0" fontId="6" fillId="0" borderId="8" xfId="0" applyFont="1" applyBorder="1" applyAlignment="1" applyProtection="1">
      <alignment horizontal="center"/>
      <protection hidden="1"/>
    </xf>
    <xf numFmtId="0" fontId="6" fillId="0" borderId="9" xfId="0" applyFont="1" applyBorder="1" applyAlignment="1" applyProtection="1">
      <alignment horizontal="center"/>
      <protection hidden="1"/>
    </xf>
    <xf numFmtId="174" fontId="4" fillId="0" borderId="32" xfId="0" applyNumberFormat="1" applyFont="1" applyBorder="1" applyAlignment="1" applyProtection="1">
      <alignment horizontal="center" vertical="center"/>
      <protection hidden="1"/>
    </xf>
    <xf numFmtId="0" fontId="4" fillId="0" borderId="33" xfId="0" applyFont="1" applyBorder="1" applyAlignment="1" applyProtection="1">
      <alignment horizontal="left" vertical="center" wrapText="1"/>
      <protection hidden="1"/>
    </xf>
    <xf numFmtId="0" fontId="0" fillId="0" borderId="0" xfId="0" applyAlignment="1">
      <alignment wrapText="1"/>
    </xf>
    <xf numFmtId="180" fontId="0" fillId="0" borderId="0" xfId="0" applyNumberFormat="1"/>
    <xf numFmtId="179" fontId="0" fillId="0" borderId="0" xfId="7" applyNumberFormat="1" applyFont="1"/>
    <xf numFmtId="1" fontId="7" fillId="0" borderId="32" xfId="0" applyNumberFormat="1" applyFont="1" applyBorder="1" applyAlignment="1" applyProtection="1">
      <alignment horizontal="center" vertical="center"/>
      <protection hidden="1"/>
    </xf>
    <xf numFmtId="3" fontId="7" fillId="0" borderId="33" xfId="0" applyNumberFormat="1" applyFont="1" applyBorder="1" applyAlignment="1">
      <alignment horizontal="center" vertical="center"/>
    </xf>
    <xf numFmtId="0" fontId="7" fillId="0" borderId="33" xfId="0" applyFont="1" applyBorder="1" applyAlignment="1" applyProtection="1">
      <alignment horizontal="center" vertical="center"/>
      <protection hidden="1"/>
    </xf>
    <xf numFmtId="3" fontId="6" fillId="5" borderId="28" xfId="11" applyNumberFormat="1" applyFont="1" applyFill="1" applyBorder="1" applyAlignment="1" applyProtection="1">
      <alignment horizontal="right"/>
      <protection hidden="1"/>
    </xf>
    <xf numFmtId="3" fontId="6" fillId="7" borderId="35" xfId="11" applyNumberFormat="1" applyFont="1" applyFill="1" applyBorder="1" applyAlignment="1" applyProtection="1">
      <alignment horizontal="right"/>
      <protection hidden="1"/>
    </xf>
    <xf numFmtId="3" fontId="6" fillId="6" borderId="29" xfId="11" applyNumberFormat="1" applyFont="1" applyFill="1" applyBorder="1" applyAlignment="1" applyProtection="1">
      <alignment horizontal="right"/>
      <protection hidden="1"/>
    </xf>
    <xf numFmtId="0" fontId="12" fillId="8" borderId="43" xfId="0" applyFont="1" applyFill="1" applyBorder="1" applyAlignment="1" applyProtection="1">
      <alignment horizontal="centerContinuous"/>
      <protection hidden="1"/>
    </xf>
    <xf numFmtId="0" fontId="30" fillId="0" borderId="0" xfId="0" applyFont="1" applyAlignment="1" applyProtection="1">
      <alignment horizontal="center" vertical="center"/>
      <protection hidden="1"/>
    </xf>
    <xf numFmtId="1" fontId="10" fillId="0" borderId="0" xfId="0" applyNumberFormat="1" applyFont="1" applyProtection="1">
      <protection hidden="1"/>
    </xf>
    <xf numFmtId="0" fontId="4" fillId="0" borderId="103" xfId="0" applyFont="1" applyBorder="1" applyAlignment="1" applyProtection="1">
      <alignment horizontal="center" vertical="center" wrapText="1"/>
      <protection hidden="1"/>
    </xf>
    <xf numFmtId="0" fontId="10" fillId="0" borderId="8" xfId="0" applyFont="1" applyBorder="1" applyProtection="1">
      <protection hidden="1"/>
    </xf>
    <xf numFmtId="210" fontId="4" fillId="0" borderId="34" xfId="0" applyNumberFormat="1" applyFont="1" applyBorder="1" applyAlignment="1" applyProtection="1">
      <alignment horizontal="right" vertical="center"/>
      <protection hidden="1"/>
    </xf>
    <xf numFmtId="210" fontId="8" fillId="0" borderId="33" xfId="0" applyNumberFormat="1" applyFont="1" applyBorder="1" applyAlignment="1" applyProtection="1">
      <alignment horizontal="center" vertical="center"/>
      <protection hidden="1"/>
    </xf>
    <xf numFmtId="171" fontId="19" fillId="0" borderId="0" xfId="0" applyNumberFormat="1" applyFont="1" applyProtection="1">
      <protection hidden="1"/>
    </xf>
    <xf numFmtId="171" fontId="3" fillId="0" borderId="0" xfId="0" applyNumberFormat="1" applyFont="1" applyProtection="1">
      <protection hidden="1"/>
    </xf>
    <xf numFmtId="0" fontId="6" fillId="0" borderId="105" xfId="0" applyFont="1" applyBorder="1" applyAlignment="1" applyProtection="1">
      <alignment horizontal="center" vertical="center"/>
      <protection hidden="1"/>
    </xf>
    <xf numFmtId="0" fontId="6" fillId="0" borderId="105" xfId="0" quotePrefix="1" applyFont="1" applyBorder="1" applyAlignment="1" applyProtection="1">
      <alignment horizontal="center" vertical="center"/>
      <protection hidden="1"/>
    </xf>
    <xf numFmtId="0" fontId="6" fillId="0" borderId="106" xfId="0" applyFont="1" applyBorder="1" applyAlignment="1" applyProtection="1">
      <alignment horizontal="center" vertical="center" wrapText="1"/>
      <protection hidden="1"/>
    </xf>
    <xf numFmtId="0" fontId="6" fillId="0" borderId="104" xfId="0" quotePrefix="1" applyFont="1" applyBorder="1" applyAlignment="1" applyProtection="1">
      <alignment horizontal="center" vertical="center"/>
      <protection hidden="1"/>
    </xf>
    <xf numFmtId="0" fontId="56" fillId="0" borderId="0" xfId="0" applyFont="1"/>
    <xf numFmtId="0" fontId="56" fillId="2" borderId="0" xfId="12" applyFont="1" applyFill="1"/>
    <xf numFmtId="0" fontId="56" fillId="2" borderId="0" xfId="12" applyFont="1" applyFill="1" applyAlignment="1">
      <alignment wrapText="1"/>
    </xf>
    <xf numFmtId="0" fontId="0" fillId="42" borderId="0" xfId="0" applyFill="1"/>
    <xf numFmtId="211" fontId="8" fillId="0" borderId="33" xfId="0" applyNumberFormat="1" applyFont="1" applyBorder="1" applyAlignment="1" applyProtection="1">
      <alignment horizontal="center" vertical="center"/>
      <protection hidden="1"/>
    </xf>
    <xf numFmtId="0" fontId="7" fillId="0" borderId="107" xfId="0" applyFont="1" applyBorder="1" applyAlignment="1" applyProtection="1">
      <alignment horizontal="center" vertical="center"/>
      <protection hidden="1"/>
    </xf>
    <xf numFmtId="0" fontId="10" fillId="0" borderId="24" xfId="0" applyFont="1" applyBorder="1" applyAlignment="1" applyProtection="1">
      <alignment horizontal="center"/>
      <protection hidden="1"/>
    </xf>
    <xf numFmtId="0" fontId="10" fillId="0" borderId="1" xfId="0" applyFont="1" applyBorder="1" applyAlignment="1" applyProtection="1">
      <alignment horizontal="center"/>
      <protection hidden="1"/>
    </xf>
    <xf numFmtId="181" fontId="10" fillId="0" borderId="0" xfId="3" applyNumberFormat="1" applyFont="1" applyAlignment="1" applyProtection="1">
      <alignment horizontal="center" vertical="center"/>
      <protection hidden="1"/>
    </xf>
    <xf numFmtId="172" fontId="7" fillId="0" borderId="33" xfId="0" applyNumberFormat="1" applyFont="1" applyBorder="1" applyAlignment="1" applyProtection="1">
      <alignment horizontal="center" vertical="center" wrapText="1"/>
      <protection locked="0"/>
    </xf>
    <xf numFmtId="4" fontId="8" fillId="0" borderId="9" xfId="0" applyNumberFormat="1" applyFont="1" applyBorder="1" applyAlignment="1" applyProtection="1">
      <alignment horizontal="center" vertical="center"/>
      <protection hidden="1"/>
    </xf>
    <xf numFmtId="0" fontId="3" fillId="0" borderId="110" xfId="11" applyBorder="1"/>
    <xf numFmtId="0" fontId="3" fillId="0" borderId="111" xfId="11" applyBorder="1"/>
    <xf numFmtId="0" fontId="3" fillId="0" borderId="112" xfId="11" applyBorder="1"/>
    <xf numFmtId="0" fontId="28" fillId="3" borderId="5" xfId="13" applyFont="1" applyFill="1" applyBorder="1" applyAlignment="1">
      <alignment horizontal="center" vertical="center"/>
    </xf>
    <xf numFmtId="179" fontId="6" fillId="2" borderId="62" xfId="7" applyNumberFormat="1" applyFont="1" applyFill="1" applyBorder="1" applyAlignment="1">
      <alignment horizontal="center" vertical="center"/>
    </xf>
    <xf numFmtId="0" fontId="56" fillId="2" borderId="0" xfId="12" applyFont="1" applyFill="1" applyAlignment="1">
      <alignment horizontal="center" vertical="center"/>
    </xf>
    <xf numFmtId="0" fontId="58" fillId="42" borderId="39" xfId="12" applyFont="1" applyFill="1" applyBorder="1" applyAlignment="1">
      <alignment horizontal="center" vertical="center" wrapText="1"/>
    </xf>
    <xf numFmtId="0" fontId="59" fillId="42" borderId="39" xfId="12" applyFont="1" applyFill="1" applyBorder="1" applyAlignment="1">
      <alignment horizontal="center" vertical="center"/>
    </xf>
    <xf numFmtId="0" fontId="56" fillId="42" borderId="0" xfId="12" applyFont="1" applyFill="1" applyAlignment="1">
      <alignment horizontal="center" vertical="center"/>
    </xf>
    <xf numFmtId="182" fontId="56" fillId="2" borderId="0" xfId="12" applyNumberFormat="1" applyFont="1" applyFill="1" applyAlignment="1">
      <alignment horizontal="right" vertical="center"/>
    </xf>
    <xf numFmtId="169" fontId="56" fillId="2" borderId="0" xfId="3" applyFont="1" applyFill="1" applyAlignment="1">
      <alignment horizontal="center" vertical="center"/>
    </xf>
    <xf numFmtId="210" fontId="8" fillId="0" borderId="34" xfId="0" applyNumberFormat="1" applyFont="1" applyBorder="1" applyAlignment="1" applyProtection="1">
      <alignment horizontal="center" vertical="center"/>
      <protection hidden="1"/>
    </xf>
    <xf numFmtId="0" fontId="3" fillId="42" borderId="0" xfId="0" applyFont="1" applyFill="1"/>
    <xf numFmtId="0" fontId="56" fillId="0" borderId="0" xfId="0" applyFont="1" applyAlignment="1">
      <alignment horizontal="center" vertical="center"/>
    </xf>
    <xf numFmtId="0" fontId="56" fillId="2" borderId="0" xfId="12" applyFont="1" applyFill="1" applyAlignment="1">
      <alignment horizontal="center" vertical="center" wrapText="1"/>
    </xf>
    <xf numFmtId="182" fontId="56" fillId="0" borderId="0" xfId="0" applyNumberFormat="1" applyFont="1"/>
    <xf numFmtId="3" fontId="56" fillId="2" borderId="0" xfId="12" applyNumberFormat="1" applyFont="1" applyFill="1" applyAlignment="1">
      <alignment horizontal="center" vertical="center"/>
    </xf>
    <xf numFmtId="0" fontId="56" fillId="0" borderId="0" xfId="0" applyFont="1" applyAlignment="1">
      <alignment wrapText="1"/>
    </xf>
    <xf numFmtId="0" fontId="6" fillId="0" borderId="0" xfId="12" applyFont="1" applyAlignment="1" applyProtection="1">
      <alignment horizontal="centerContinuous" vertical="center"/>
      <protection hidden="1"/>
    </xf>
    <xf numFmtId="0" fontId="6" fillId="0" borderId="104" xfId="0" applyFont="1" applyBorder="1" applyAlignment="1" applyProtection="1">
      <alignment horizontal="center" vertical="center"/>
      <protection hidden="1"/>
    </xf>
    <xf numFmtId="0" fontId="6" fillId="0" borderId="105" xfId="0" applyFont="1" applyBorder="1" applyAlignment="1" applyProtection="1">
      <alignment horizontal="center" vertical="center" wrapText="1"/>
      <protection hidden="1"/>
    </xf>
    <xf numFmtId="0" fontId="3" fillId="0" borderId="45" xfId="0" applyFont="1" applyBorder="1" applyAlignment="1" applyProtection="1">
      <alignment horizontal="center" vertical="center" wrapText="1"/>
      <protection hidden="1"/>
    </xf>
    <xf numFmtId="0" fontId="3" fillId="0" borderId="33" xfId="0" applyFont="1" applyBorder="1" applyAlignment="1" applyProtection="1">
      <alignment horizontal="center" vertical="center" wrapText="1"/>
      <protection hidden="1"/>
    </xf>
    <xf numFmtId="0" fontId="3" fillId="0" borderId="33" xfId="0" applyFont="1" applyBorder="1" applyAlignment="1" applyProtection="1">
      <alignment horizontal="justify" vertical="center" wrapText="1"/>
      <protection hidden="1"/>
    </xf>
    <xf numFmtId="170" fontId="3" fillId="0" borderId="33" xfId="0" applyNumberFormat="1" applyFont="1" applyBorder="1" applyAlignment="1" applyProtection="1">
      <alignment horizontal="right" vertical="center"/>
      <protection hidden="1"/>
    </xf>
    <xf numFmtId="4" fontId="3" fillId="0" borderId="33" xfId="0" applyNumberFormat="1" applyFont="1" applyBorder="1" applyAlignment="1" applyProtection="1">
      <alignment horizontal="right" vertical="center"/>
      <protection hidden="1"/>
    </xf>
    <xf numFmtId="4" fontId="3" fillId="0" borderId="46" xfId="7" applyNumberFormat="1" applyFont="1" applyFill="1" applyBorder="1" applyAlignment="1" applyProtection="1">
      <alignment vertical="center"/>
      <protection hidden="1"/>
    </xf>
    <xf numFmtId="4" fontId="3" fillId="0" borderId="45" xfId="0" applyNumberFormat="1" applyFont="1" applyBorder="1" applyAlignment="1" applyProtection="1">
      <alignment horizontal="right" vertical="center"/>
      <protection hidden="1"/>
    </xf>
    <xf numFmtId="171" fontId="3" fillId="0" borderId="33" xfId="0" applyNumberFormat="1" applyFont="1" applyBorder="1" applyAlignment="1" applyProtection="1">
      <alignment horizontal="right" vertical="center"/>
      <protection hidden="1"/>
    </xf>
    <xf numFmtId="3" fontId="3" fillId="0" borderId="44" xfId="0" applyNumberFormat="1" applyFont="1" applyBorder="1" applyAlignment="1" applyProtection="1">
      <alignment horizontal="centerContinuous" vertical="center"/>
      <protection hidden="1"/>
    </xf>
    <xf numFmtId="3" fontId="3" fillId="0" borderId="38" xfId="0" applyNumberFormat="1" applyFont="1" applyBorder="1" applyAlignment="1" applyProtection="1">
      <alignment horizontal="centerContinuous" vertical="center"/>
      <protection hidden="1"/>
    </xf>
    <xf numFmtId="0" fontId="15" fillId="8" borderId="40" xfId="0" applyFont="1" applyFill="1" applyBorder="1" applyAlignment="1" applyProtection="1">
      <alignment horizontal="centerContinuous" vertical="center"/>
      <protection hidden="1"/>
    </xf>
    <xf numFmtId="0" fontId="12" fillId="8" borderId="41" xfId="0" applyFont="1" applyFill="1" applyBorder="1" applyAlignment="1" applyProtection="1">
      <alignment horizontal="centerContinuous"/>
      <protection hidden="1"/>
    </xf>
    <xf numFmtId="0" fontId="15" fillId="8" borderId="42" xfId="0" applyFont="1" applyFill="1" applyBorder="1" applyAlignment="1" applyProtection="1">
      <alignment horizontal="centerContinuous" vertical="center"/>
      <protection hidden="1"/>
    </xf>
    <xf numFmtId="3" fontId="12" fillId="8" borderId="41" xfId="0" applyNumberFormat="1" applyFont="1" applyFill="1" applyBorder="1" applyAlignment="1" applyProtection="1">
      <alignment horizontal="centerContinuous" vertical="center"/>
      <protection hidden="1"/>
    </xf>
    <xf numFmtId="0" fontId="56" fillId="0" borderId="0" xfId="0" applyFont="1" applyProtection="1">
      <protection hidden="1"/>
    </xf>
    <xf numFmtId="0" fontId="3" fillId="0" borderId="0" xfId="0" applyFont="1" applyAlignment="1" applyProtection="1">
      <alignment horizontal="center" vertical="center"/>
      <protection hidden="1"/>
    </xf>
    <xf numFmtId="0" fontId="6" fillId="47" borderId="6" xfId="11" applyFont="1" applyFill="1" applyBorder="1" applyAlignment="1" applyProtection="1">
      <alignment horizontal="center"/>
      <protection hidden="1"/>
    </xf>
    <xf numFmtId="0" fontId="54" fillId="46" borderId="30" xfId="11" applyFont="1" applyFill="1" applyBorder="1" applyAlignment="1" applyProtection="1">
      <alignment horizontal="center"/>
      <protection hidden="1"/>
    </xf>
    <xf numFmtId="0" fontId="8" fillId="48" borderId="0" xfId="0" applyFont="1" applyFill="1" applyAlignment="1" applyProtection="1">
      <alignment horizontal="center" vertical="center"/>
      <protection hidden="1"/>
    </xf>
    <xf numFmtId="0" fontId="8" fillId="49" borderId="0" xfId="0" applyFont="1" applyFill="1" applyAlignment="1" applyProtection="1">
      <alignment horizontal="center" vertical="center"/>
      <protection hidden="1"/>
    </xf>
    <xf numFmtId="4" fontId="5" fillId="2" borderId="0" xfId="12" applyNumberFormat="1" applyFont="1" applyFill="1" applyAlignment="1">
      <alignment horizontal="centerContinuous" vertical="center" wrapText="1"/>
    </xf>
    <xf numFmtId="41" fontId="3" fillId="2" borderId="0" xfId="229" applyFont="1" applyFill="1" applyBorder="1"/>
    <xf numFmtId="0" fontId="61" fillId="2" borderId="0" xfId="12" applyFont="1" applyFill="1"/>
    <xf numFmtId="0" fontId="61" fillId="0" borderId="0" xfId="0" applyFont="1"/>
    <xf numFmtId="0" fontId="61" fillId="2" borderId="0" xfId="12" applyFont="1" applyFill="1" applyAlignment="1">
      <alignment wrapText="1"/>
    </xf>
    <xf numFmtId="0" fontId="3" fillId="0" borderId="0" xfId="0" applyFont="1"/>
    <xf numFmtId="2" fontId="6" fillId="2" borderId="52" xfId="7" applyNumberFormat="1" applyFont="1" applyFill="1" applyBorder="1" applyAlignment="1"/>
    <xf numFmtId="0" fontId="13" fillId="2" borderId="85" xfId="12" applyFont="1" applyFill="1" applyBorder="1" applyAlignment="1">
      <alignment horizontal="center" vertical="center" wrapText="1"/>
    </xf>
    <xf numFmtId="0" fontId="13" fillId="2" borderId="84" xfId="12" applyFont="1" applyFill="1" applyBorder="1" applyAlignment="1">
      <alignment horizontal="center" vertical="center" wrapText="1"/>
    </xf>
    <xf numFmtId="0" fontId="3" fillId="0" borderId="10" xfId="0" applyFont="1" applyBorder="1" applyProtection="1">
      <protection hidden="1"/>
    </xf>
    <xf numFmtId="1" fontId="6" fillId="2" borderId="114" xfId="12" applyNumberFormat="1" applyFont="1" applyFill="1" applyBorder="1" applyAlignment="1">
      <alignment horizontal="center" vertical="center" wrapText="1"/>
    </xf>
    <xf numFmtId="1" fontId="6" fillId="2" borderId="115" xfId="12" applyNumberFormat="1" applyFont="1" applyFill="1" applyBorder="1" applyAlignment="1">
      <alignment horizontal="center" vertical="center" wrapText="1"/>
    </xf>
    <xf numFmtId="1" fontId="6" fillId="2" borderId="115" xfId="12" applyNumberFormat="1" applyFont="1" applyFill="1" applyBorder="1" applyAlignment="1">
      <alignment horizontal="left" vertical="center" wrapText="1"/>
    </xf>
    <xf numFmtId="3" fontId="6" fillId="0" borderId="115" xfId="12" applyNumberFormat="1" applyFont="1" applyBorder="1" applyAlignment="1">
      <alignment horizontal="center" vertical="center" wrapText="1"/>
    </xf>
    <xf numFmtId="211" fontId="6" fillId="0" borderId="115" xfId="228" applyNumberFormat="1" applyFont="1" applyFill="1" applyBorder="1" applyAlignment="1">
      <alignment horizontal="center" vertical="center" wrapText="1"/>
    </xf>
    <xf numFmtId="183" fontId="6" fillId="0" borderId="115" xfId="12" applyNumberFormat="1" applyFont="1" applyBorder="1" applyAlignment="1">
      <alignment horizontal="center" vertical="center" wrapText="1"/>
    </xf>
    <xf numFmtId="211" fontId="6" fillId="2" borderId="115" xfId="12" applyNumberFormat="1" applyFont="1" applyFill="1" applyBorder="1" applyAlignment="1">
      <alignment horizontal="center" vertical="center" wrapText="1"/>
    </xf>
    <xf numFmtId="210" fontId="6" fillId="0" borderId="116" xfId="12" applyNumberFormat="1" applyFont="1" applyBorder="1" applyAlignment="1">
      <alignment horizontal="center" vertical="center" wrapText="1"/>
    </xf>
    <xf numFmtId="0" fontId="15" fillId="50" borderId="40" xfId="12" applyFont="1" applyFill="1" applyBorder="1" applyAlignment="1">
      <alignment horizontal="center" vertical="center" wrapText="1"/>
    </xf>
    <xf numFmtId="0" fontId="15" fillId="50" borderId="41" xfId="12" applyFont="1" applyFill="1" applyBorder="1" applyAlignment="1">
      <alignment horizontal="center" vertical="center" wrapText="1"/>
    </xf>
    <xf numFmtId="0" fontId="15" fillId="50" borderId="41" xfId="12" applyFont="1" applyFill="1" applyBorder="1" applyAlignment="1">
      <alignment horizontal="center" vertical="center"/>
    </xf>
    <xf numFmtId="0" fontId="15" fillId="50" borderId="68" xfId="12" applyFont="1" applyFill="1" applyBorder="1" applyAlignment="1">
      <alignment horizontal="center" vertical="center"/>
    </xf>
    <xf numFmtId="171" fontId="15" fillId="0" borderId="39" xfId="9" applyNumberFormat="1" applyFont="1" applyFill="1" applyBorder="1" applyAlignment="1" applyProtection="1">
      <alignment horizontal="center" vertical="center"/>
      <protection hidden="1"/>
    </xf>
    <xf numFmtId="0" fontId="6" fillId="0" borderId="106" xfId="0" applyFont="1" applyBorder="1" applyAlignment="1" applyProtection="1">
      <alignment horizontal="center" vertical="center"/>
      <protection hidden="1"/>
    </xf>
    <xf numFmtId="3" fontId="3" fillId="0" borderId="103" xfId="7" applyNumberFormat="1" applyFont="1" applyFill="1" applyBorder="1" applyAlignment="1" applyProtection="1">
      <alignment horizontal="center" vertical="center"/>
      <protection hidden="1"/>
    </xf>
    <xf numFmtId="3" fontId="3" fillId="0" borderId="4" xfId="0" applyNumberFormat="1" applyFont="1" applyBorder="1" applyAlignment="1" applyProtection="1">
      <alignment horizontal="center" vertical="center"/>
      <protection hidden="1"/>
    </xf>
    <xf numFmtId="3" fontId="3" fillId="0" borderId="0" xfId="0" applyNumberFormat="1" applyFont="1" applyAlignment="1" applyProtection="1">
      <alignment horizontal="center" vertical="center"/>
      <protection hidden="1"/>
    </xf>
    <xf numFmtId="0" fontId="12" fillId="0" borderId="119" xfId="0" applyFont="1" applyBorder="1" applyProtection="1">
      <protection hidden="1"/>
    </xf>
    <xf numFmtId="171" fontId="15" fillId="0" borderId="118" xfId="9" applyNumberFormat="1" applyFont="1" applyFill="1" applyBorder="1" applyAlignment="1" applyProtection="1">
      <alignment horizontal="center" vertical="center"/>
      <protection hidden="1"/>
    </xf>
    <xf numFmtId="3" fontId="3" fillId="0" borderId="120" xfId="7" applyNumberFormat="1" applyFont="1" applyFill="1" applyBorder="1" applyAlignment="1" applyProtection="1">
      <alignment horizontal="center" vertical="center"/>
      <protection hidden="1"/>
    </xf>
    <xf numFmtId="0" fontId="3" fillId="51" borderId="0" xfId="0" applyFont="1" applyFill="1"/>
    <xf numFmtId="0" fontId="3" fillId="51" borderId="0" xfId="0" applyFont="1" applyFill="1" applyAlignment="1">
      <alignment horizontal="center"/>
    </xf>
    <xf numFmtId="0" fontId="15" fillId="53" borderId="49" xfId="12" applyFont="1" applyFill="1" applyBorder="1" applyAlignment="1">
      <alignment horizontal="center" vertical="center" wrapText="1"/>
    </xf>
    <xf numFmtId="0" fontId="15" fillId="0" borderId="0" xfId="12" applyFont="1" applyAlignment="1">
      <alignment horizontal="center" vertical="center" wrapText="1"/>
    </xf>
    <xf numFmtId="167" fontId="62" fillId="45" borderId="64" xfId="175" applyNumberFormat="1" applyFont="1" applyFill="1" applyBorder="1" applyAlignment="1">
      <alignment horizontal="center" vertical="center" wrapText="1"/>
    </xf>
    <xf numFmtId="167" fontId="62" fillId="45" borderId="56" xfId="175" applyNumberFormat="1" applyFont="1" applyFill="1" applyBorder="1" applyAlignment="1">
      <alignment horizontal="center" vertical="center" wrapText="1"/>
    </xf>
    <xf numFmtId="0" fontId="15" fillId="0" borderId="0" xfId="12" applyFont="1" applyAlignment="1">
      <alignment horizontal="center" vertical="center"/>
    </xf>
    <xf numFmtId="0" fontId="15" fillId="54" borderId="68" xfId="12" applyFont="1" applyFill="1" applyBorder="1" applyAlignment="1">
      <alignment horizontal="center" vertical="center" wrapText="1"/>
    </xf>
    <xf numFmtId="1" fontId="6" fillId="0" borderId="0" xfId="12" applyNumberFormat="1" applyFont="1" applyAlignment="1">
      <alignment horizontal="center" vertical="center" wrapText="1"/>
    </xf>
    <xf numFmtId="1" fontId="6" fillId="0" borderId="0" xfId="12" applyNumberFormat="1" applyFont="1" applyAlignment="1">
      <alignment horizontal="left" vertical="center" wrapText="1"/>
    </xf>
    <xf numFmtId="3" fontId="6" fillId="0" borderId="0" xfId="12" applyNumberFormat="1" applyFont="1" applyAlignment="1">
      <alignment horizontal="center" vertical="center" wrapText="1"/>
    </xf>
    <xf numFmtId="167" fontId="62" fillId="0" borderId="57" xfId="175" applyNumberFormat="1" applyFont="1" applyBorder="1" applyAlignment="1">
      <alignment horizontal="center" vertical="center"/>
    </xf>
    <xf numFmtId="0" fontId="63" fillId="51" borderId="0" xfId="12" applyFont="1" applyFill="1" applyAlignment="1">
      <alignment horizontal="center" vertical="center"/>
    </xf>
    <xf numFmtId="0" fontId="63" fillId="51" borderId="0" xfId="12" applyFont="1" applyFill="1"/>
    <xf numFmtId="214" fontId="57" fillId="51" borderId="38" xfId="230" applyNumberFormat="1" applyFont="1" applyFill="1" applyBorder="1" applyAlignment="1">
      <alignment vertical="center"/>
    </xf>
    <xf numFmtId="169" fontId="63" fillId="51" borderId="0" xfId="3" applyFont="1" applyFill="1" applyBorder="1" applyAlignment="1">
      <alignment horizontal="center" vertical="center"/>
    </xf>
    <xf numFmtId="214" fontId="25" fillId="55" borderId="121" xfId="230" applyNumberFormat="1" applyFont="1" applyFill="1" applyBorder="1" applyAlignment="1">
      <alignment vertical="center"/>
    </xf>
    <xf numFmtId="215" fontId="64" fillId="51" borderId="0" xfId="12" applyNumberFormat="1" applyFont="1" applyFill="1" applyAlignment="1">
      <alignment horizontal="center" vertical="center"/>
    </xf>
    <xf numFmtId="216" fontId="64" fillId="51" borderId="0" xfId="192" applyNumberFormat="1" applyFont="1" applyFill="1" applyBorder="1"/>
    <xf numFmtId="0" fontId="64" fillId="51" borderId="0" xfId="12" applyFont="1" applyFill="1"/>
    <xf numFmtId="217" fontId="57" fillId="55" borderId="122" xfId="230" applyNumberFormat="1" applyFont="1" applyFill="1" applyBorder="1" applyAlignment="1">
      <alignment horizontal="center" vertical="center"/>
    </xf>
    <xf numFmtId="0" fontId="64" fillId="51" borderId="0" xfId="12" applyFont="1" applyFill="1" applyAlignment="1">
      <alignment horizontal="center" vertical="center"/>
    </xf>
    <xf numFmtId="169" fontId="25" fillId="51" borderId="86" xfId="3" applyFont="1" applyFill="1" applyBorder="1" applyAlignment="1">
      <alignment horizontal="right" vertical="center"/>
    </xf>
    <xf numFmtId="214" fontId="57" fillId="51" borderId="121" xfId="230" applyNumberFormat="1" applyFont="1" applyFill="1" applyBorder="1" applyAlignment="1">
      <alignment horizontal="center" vertical="center"/>
    </xf>
    <xf numFmtId="0" fontId="5" fillId="56" borderId="86" xfId="12" applyFont="1" applyFill="1" applyBorder="1" applyAlignment="1">
      <alignment horizontal="center" vertical="center"/>
    </xf>
    <xf numFmtId="0" fontId="5" fillId="56" borderId="49" xfId="12" applyFont="1" applyFill="1" applyBorder="1" applyAlignment="1">
      <alignment horizontal="center" vertical="center"/>
    </xf>
    <xf numFmtId="169" fontId="65" fillId="57" borderId="44" xfId="3" applyFont="1" applyFill="1" applyBorder="1" applyAlignment="1">
      <alignment horizontal="center" vertical="center" wrapText="1"/>
    </xf>
    <xf numFmtId="169" fontId="65" fillId="57" borderId="37" xfId="3" applyFont="1" applyFill="1" applyBorder="1" applyAlignment="1">
      <alignment horizontal="center" vertical="center" wrapText="1"/>
    </xf>
    <xf numFmtId="169" fontId="25" fillId="51" borderId="82" xfId="3" applyFont="1" applyFill="1" applyBorder="1" applyAlignment="1">
      <alignment horizontal="right" vertical="center"/>
    </xf>
    <xf numFmtId="3" fontId="57" fillId="58" borderId="123" xfId="12" applyNumberFormat="1" applyFont="1" applyFill="1" applyBorder="1" applyAlignment="1">
      <alignment horizontal="center" vertical="center"/>
    </xf>
    <xf numFmtId="216" fontId="57" fillId="58" borderId="64" xfId="192" applyNumberFormat="1" applyFont="1" applyFill="1" applyBorder="1" applyAlignment="1">
      <alignment horizontal="center" vertical="center"/>
    </xf>
    <xf numFmtId="169" fontId="65" fillId="57" borderId="38" xfId="3" applyFont="1" applyFill="1" applyBorder="1" applyAlignment="1">
      <alignment horizontal="center" vertical="center" wrapText="1"/>
    </xf>
    <xf numFmtId="169" fontId="65" fillId="57" borderId="124" xfId="3" applyFont="1" applyFill="1" applyBorder="1" applyAlignment="1">
      <alignment horizontal="center" vertical="center" wrapText="1"/>
    </xf>
    <xf numFmtId="169" fontId="25" fillId="51" borderId="83" xfId="3" applyFont="1" applyFill="1" applyBorder="1" applyAlignment="1">
      <alignment horizontal="right" vertical="center"/>
    </xf>
    <xf numFmtId="214" fontId="57" fillId="51" borderId="39" xfId="230" applyNumberFormat="1" applyFont="1" applyFill="1" applyBorder="1" applyAlignment="1">
      <alignment horizontal="center" vertical="center"/>
    </xf>
    <xf numFmtId="3" fontId="57" fillId="58" borderId="125" xfId="12" applyNumberFormat="1" applyFont="1" applyFill="1" applyBorder="1" applyAlignment="1">
      <alignment horizontal="center" vertical="center"/>
    </xf>
    <xf numFmtId="216" fontId="57" fillId="58" borderId="56" xfId="192" applyNumberFormat="1" applyFont="1" applyFill="1" applyBorder="1" applyAlignment="1">
      <alignment horizontal="center" vertical="center"/>
    </xf>
    <xf numFmtId="169" fontId="65" fillId="57" borderId="126" xfId="3" applyFont="1" applyFill="1" applyBorder="1" applyAlignment="1">
      <alignment horizontal="center" vertical="center" wrapText="1"/>
    </xf>
    <xf numFmtId="169" fontId="65" fillId="57" borderId="127" xfId="3" applyFont="1" applyFill="1" applyBorder="1" applyAlignment="1">
      <alignment horizontal="center" vertical="center" wrapText="1"/>
    </xf>
    <xf numFmtId="167" fontId="66" fillId="59" borderId="128" xfId="175" applyNumberFormat="1" applyFont="1" applyFill="1" applyBorder="1" applyAlignment="1">
      <alignment horizontal="center"/>
    </xf>
    <xf numFmtId="167" fontId="66" fillId="59" borderId="129" xfId="175" applyNumberFormat="1" applyFont="1" applyFill="1" applyBorder="1" applyAlignment="1">
      <alignment horizontal="center"/>
    </xf>
    <xf numFmtId="167" fontId="66" fillId="59" borderId="130" xfId="175" applyNumberFormat="1" applyFont="1" applyFill="1" applyBorder="1" applyAlignment="1">
      <alignment horizontal="center"/>
    </xf>
    <xf numFmtId="0" fontId="62" fillId="59" borderId="121" xfId="175" applyFont="1" applyFill="1" applyBorder="1" applyAlignment="1">
      <alignment horizontal="center" vertical="center" wrapText="1"/>
    </xf>
    <xf numFmtId="167" fontId="67" fillId="60" borderId="86" xfId="175" applyNumberFormat="1" applyFont="1" applyFill="1" applyBorder="1"/>
    <xf numFmtId="0" fontId="62" fillId="60" borderId="87" xfId="175" applyFont="1" applyFill="1" applyBorder="1" applyAlignment="1">
      <alignment horizontal="center" vertical="center"/>
    </xf>
    <xf numFmtId="0" fontId="62" fillId="60" borderId="49" xfId="175" applyFont="1" applyFill="1" applyBorder="1" applyAlignment="1">
      <alignment horizontal="center" vertical="center" wrapText="1"/>
    </xf>
    <xf numFmtId="0" fontId="62" fillId="59" borderId="108" xfId="175" applyFont="1" applyFill="1" applyBorder="1" applyAlignment="1">
      <alignment horizontal="center" vertical="center" wrapText="1"/>
    </xf>
    <xf numFmtId="0" fontId="66" fillId="60" borderId="82" xfId="175" applyFont="1" applyFill="1" applyBorder="1" applyAlignment="1">
      <alignment horizontal="center" vertical="center"/>
    </xf>
    <xf numFmtId="218" fontId="66" fillId="60" borderId="57" xfId="192" applyNumberFormat="1" applyFont="1" applyFill="1" applyBorder="1" applyAlignment="1">
      <alignment horizontal="center" vertical="center"/>
    </xf>
    <xf numFmtId="219" fontId="66" fillId="60" borderId="57" xfId="192" applyNumberFormat="1" applyFont="1" applyFill="1" applyBorder="1" applyAlignment="1">
      <alignment horizontal="center" vertical="center"/>
    </xf>
    <xf numFmtId="220" fontId="68" fillId="60" borderId="57" xfId="192" applyNumberFormat="1" applyFont="1" applyFill="1" applyBorder="1" applyAlignment="1">
      <alignment horizontal="center" vertical="center"/>
    </xf>
    <xf numFmtId="0" fontId="62" fillId="60" borderId="52" xfId="175" applyFont="1" applyFill="1" applyBorder="1" applyAlignment="1">
      <alignment horizontal="center" vertical="center" wrapText="1"/>
    </xf>
    <xf numFmtId="0" fontId="62" fillId="60" borderId="55" xfId="175" applyFont="1" applyFill="1" applyBorder="1" applyAlignment="1">
      <alignment horizontal="center" vertical="center" wrapText="1"/>
    </xf>
    <xf numFmtId="0" fontId="62" fillId="59" borderId="122" xfId="175" applyFont="1" applyFill="1" applyBorder="1" applyAlignment="1">
      <alignment horizontal="center" vertical="center" wrapText="1"/>
    </xf>
    <xf numFmtId="216" fontId="62" fillId="0" borderId="131" xfId="192" applyNumberFormat="1" applyFont="1" applyFill="1" applyBorder="1" applyAlignment="1">
      <alignment horizontal="center" vertical="center"/>
    </xf>
    <xf numFmtId="216" fontId="62" fillId="0" borderId="65" xfId="192" applyNumberFormat="1" applyFont="1" applyFill="1" applyBorder="1" applyAlignment="1">
      <alignment horizontal="center" vertical="center"/>
    </xf>
    <xf numFmtId="216" fontId="67" fillId="0" borderId="65" xfId="192" applyNumberFormat="1" applyFont="1" applyFill="1" applyBorder="1" applyAlignment="1">
      <alignment horizontal="center" vertical="center"/>
    </xf>
    <xf numFmtId="0" fontId="68" fillId="0" borderId="132" xfId="175" applyFont="1" applyBorder="1" applyAlignment="1">
      <alignment horizontal="center" vertical="center"/>
    </xf>
    <xf numFmtId="0" fontId="69" fillId="60" borderId="121" xfId="175" applyFont="1" applyFill="1" applyBorder="1" applyAlignment="1">
      <alignment horizontal="center" vertical="center" wrapText="1"/>
    </xf>
    <xf numFmtId="216" fontId="68" fillId="0" borderId="52" xfId="192" applyNumberFormat="1" applyFont="1" applyFill="1" applyBorder="1" applyAlignment="1">
      <alignment horizontal="center" vertical="center"/>
    </xf>
    <xf numFmtId="10" fontId="70" fillId="60" borderId="122" xfId="192" applyNumberFormat="1" applyFont="1" applyFill="1" applyBorder="1" applyAlignment="1">
      <alignment horizontal="center" vertical="center"/>
    </xf>
    <xf numFmtId="0" fontId="68" fillId="0" borderId="52" xfId="175" applyFont="1" applyBorder="1" applyAlignment="1">
      <alignment horizontal="center" vertical="center"/>
    </xf>
    <xf numFmtId="0" fontId="71" fillId="60" borderId="108" xfId="175" applyFont="1" applyFill="1" applyBorder="1" applyAlignment="1">
      <alignment horizontal="center" vertical="center" wrapText="1"/>
    </xf>
    <xf numFmtId="216" fontId="72" fillId="60" borderId="108" xfId="175" applyNumberFormat="1" applyFont="1" applyFill="1" applyBorder="1" applyAlignment="1">
      <alignment horizontal="center" vertical="center"/>
    </xf>
    <xf numFmtId="216" fontId="73" fillId="56" borderId="121" xfId="175" applyNumberFormat="1" applyFont="1" applyFill="1" applyBorder="1" applyAlignment="1">
      <alignment horizontal="center" vertical="center"/>
    </xf>
    <xf numFmtId="216" fontId="74" fillId="56" borderId="122" xfId="175" applyNumberFormat="1" applyFont="1" applyFill="1" applyBorder="1" applyAlignment="1">
      <alignment horizontal="center" vertical="center"/>
    </xf>
    <xf numFmtId="0" fontId="3" fillId="0" borderId="0" xfId="175"/>
    <xf numFmtId="0" fontId="3" fillId="0" borderId="0" xfId="12"/>
    <xf numFmtId="0" fontId="75" fillId="50" borderId="41" xfId="12" applyFont="1" applyFill="1" applyBorder="1" applyAlignment="1">
      <alignment horizontal="center" vertical="center" wrapText="1"/>
    </xf>
    <xf numFmtId="3" fontId="54" fillId="41" borderId="50" xfId="0" applyNumberFormat="1" applyFont="1" applyFill="1" applyBorder="1" applyAlignment="1" applyProtection="1">
      <alignment horizontal="centerContinuous" vertical="center"/>
      <protection hidden="1"/>
    </xf>
    <xf numFmtId="3" fontId="3" fillId="0" borderId="51" xfId="7" applyNumberFormat="1" applyFont="1" applyFill="1" applyBorder="1" applyAlignment="1" applyProtection="1">
      <alignment horizontal="center" vertical="center"/>
      <protection hidden="1"/>
    </xf>
    <xf numFmtId="171" fontId="6" fillId="43" borderId="33" xfId="0" applyNumberFormat="1" applyFont="1" applyFill="1" applyBorder="1" applyAlignment="1" applyProtection="1">
      <alignment horizontal="right" vertical="center"/>
      <protection hidden="1"/>
    </xf>
    <xf numFmtId="0" fontId="3" fillId="0" borderId="133" xfId="11" applyBorder="1"/>
    <xf numFmtId="0" fontId="78" fillId="0" borderId="0" xfId="0" applyFont="1" applyAlignment="1" applyProtection="1">
      <alignment horizontal="center" vertical="center"/>
      <protection hidden="1"/>
    </xf>
    <xf numFmtId="1" fontId="7" fillId="0" borderId="134" xfId="0" applyNumberFormat="1" applyFont="1" applyBorder="1" applyAlignment="1" applyProtection="1">
      <alignment horizontal="center" vertical="center"/>
      <protection hidden="1"/>
    </xf>
    <xf numFmtId="1" fontId="79" fillId="0" borderId="0" xfId="12" applyNumberFormat="1" applyFont="1" applyAlignment="1">
      <alignment horizontal="centerContinuous" vertical="center" wrapText="1"/>
    </xf>
    <xf numFmtId="214" fontId="25" fillId="61" borderId="121" xfId="230" applyNumberFormat="1" applyFont="1" applyFill="1" applyBorder="1" applyAlignment="1">
      <alignment horizontal="center" vertical="center"/>
    </xf>
    <xf numFmtId="217" fontId="57" fillId="61" borderId="122" xfId="230" applyNumberFormat="1" applyFont="1" applyFill="1" applyBorder="1" applyAlignment="1">
      <alignment horizontal="center" vertical="center"/>
    </xf>
    <xf numFmtId="224" fontId="4" fillId="62" borderId="39" xfId="12" applyNumberFormat="1" applyFont="1" applyFill="1" applyBorder="1" applyAlignment="1">
      <alignment horizontal="center" vertical="center"/>
    </xf>
    <xf numFmtId="0" fontId="15" fillId="50" borderId="4" xfId="12" applyFont="1" applyFill="1" applyBorder="1" applyAlignment="1">
      <alignment horizontal="center" vertical="center" wrapText="1"/>
    </xf>
    <xf numFmtId="0" fontId="15" fillId="50" borderId="4" xfId="12" applyFont="1" applyFill="1" applyBorder="1" applyAlignment="1">
      <alignment horizontal="center" vertical="center"/>
    </xf>
    <xf numFmtId="0" fontId="75" fillId="50" borderId="4" xfId="12" applyFont="1" applyFill="1" applyBorder="1" applyAlignment="1">
      <alignment horizontal="center" vertical="center" wrapText="1"/>
    </xf>
    <xf numFmtId="0" fontId="15" fillId="54" borderId="37" xfId="12" applyFont="1" applyFill="1" applyBorder="1" applyAlignment="1">
      <alignment horizontal="center" vertical="center" wrapText="1"/>
    </xf>
    <xf numFmtId="0" fontId="15" fillId="54" borderId="0" xfId="12" applyFont="1" applyFill="1" applyAlignment="1">
      <alignment horizontal="center" vertical="center" wrapText="1"/>
    </xf>
    <xf numFmtId="1" fontId="6" fillId="2" borderId="59" xfId="12" applyNumberFormat="1" applyFont="1" applyFill="1" applyBorder="1" applyAlignment="1">
      <alignment horizontal="center" vertical="center" wrapText="1"/>
    </xf>
    <xf numFmtId="1" fontId="6" fillId="2" borderId="137" xfId="12" applyNumberFormat="1" applyFont="1" applyFill="1" applyBorder="1" applyAlignment="1">
      <alignment horizontal="left" vertical="center" wrapText="1"/>
    </xf>
    <xf numFmtId="3" fontId="6" fillId="0" borderId="61" xfId="12" applyNumberFormat="1" applyFont="1" applyBorder="1" applyAlignment="1">
      <alignment horizontal="center" vertical="center" wrapText="1"/>
    </xf>
    <xf numFmtId="167" fontId="62" fillId="0" borderId="86" xfId="175" applyNumberFormat="1" applyFont="1" applyBorder="1" applyAlignment="1">
      <alignment horizontal="center" vertical="center"/>
    </xf>
    <xf numFmtId="9" fontId="80" fillId="0" borderId="87" xfId="192" applyFont="1" applyFill="1" applyBorder="1" applyAlignment="1">
      <alignment horizontal="center" vertical="center"/>
    </xf>
    <xf numFmtId="195" fontId="68" fillId="0" borderId="49" xfId="7" applyNumberFormat="1" applyFont="1" applyFill="1" applyBorder="1" applyAlignment="1">
      <alignment horizontal="center" vertical="center"/>
    </xf>
    <xf numFmtId="10" fontId="3" fillId="2" borderId="0" xfId="192" applyNumberFormat="1" applyFont="1" applyFill="1"/>
    <xf numFmtId="1" fontId="6" fillId="2" borderId="138" xfId="12" applyNumberFormat="1" applyFont="1" applyFill="1" applyBorder="1" applyAlignment="1">
      <alignment horizontal="center" vertical="center" wrapText="1"/>
    </xf>
    <xf numFmtId="1" fontId="6" fillId="2" borderId="139" xfId="12" applyNumberFormat="1" applyFont="1" applyFill="1" applyBorder="1" applyAlignment="1">
      <alignment horizontal="left" vertical="center" wrapText="1"/>
    </xf>
    <xf numFmtId="3" fontId="6" fillId="0" borderId="58" xfId="12" applyNumberFormat="1" applyFont="1" applyBorder="1" applyAlignment="1">
      <alignment horizontal="center" vertical="center" wrapText="1"/>
    </xf>
    <xf numFmtId="167" fontId="62" fillId="0" borderId="83" xfId="175" applyNumberFormat="1" applyFont="1" applyBorder="1" applyAlignment="1">
      <alignment horizontal="center" vertical="center"/>
    </xf>
    <xf numFmtId="9" fontId="80" fillId="0" borderId="12" xfId="192" applyFont="1" applyFill="1" applyBorder="1" applyAlignment="1">
      <alignment horizontal="center" vertical="center"/>
    </xf>
    <xf numFmtId="195" fontId="68" fillId="0" borderId="55" xfId="7" applyNumberFormat="1" applyFont="1" applyFill="1" applyBorder="1" applyAlignment="1">
      <alignment horizontal="center" vertical="center"/>
    </xf>
    <xf numFmtId="0" fontId="56" fillId="2" borderId="0" xfId="12" applyFont="1" applyFill="1" applyAlignment="1">
      <alignment horizontal="left" vertical="center"/>
    </xf>
    <xf numFmtId="0" fontId="3" fillId="2" borderId="0" xfId="12" applyFill="1" applyAlignment="1">
      <alignment horizontal="left" vertical="center"/>
    </xf>
    <xf numFmtId="3" fontId="3" fillId="0" borderId="38" xfId="0" applyNumberFormat="1" applyFont="1" applyBorder="1" applyAlignment="1" applyProtection="1">
      <alignment horizontal="centerContinuous" vertical="center" wrapText="1"/>
      <protection hidden="1"/>
    </xf>
    <xf numFmtId="0" fontId="10" fillId="0" borderId="113" xfId="0" applyFont="1" applyBorder="1" applyAlignment="1" applyProtection="1">
      <alignment horizontal="center"/>
      <protection hidden="1"/>
    </xf>
    <xf numFmtId="0" fontId="3" fillId="0" borderId="0" xfId="175" applyAlignment="1">
      <alignment horizontal="centerContinuous"/>
    </xf>
    <xf numFmtId="0" fontId="1" fillId="0" borderId="0" xfId="231"/>
    <xf numFmtId="0" fontId="82" fillId="0" borderId="141" xfId="231" applyFont="1" applyBorder="1"/>
    <xf numFmtId="212" fontId="83" fillId="0" borderId="142" xfId="231" applyNumberFormat="1" applyFont="1" applyBorder="1" applyAlignment="1">
      <alignment horizontal="center" vertical="center" wrapText="1"/>
    </xf>
    <xf numFmtId="0" fontId="1" fillId="0" borderId="11" xfId="231" applyBorder="1"/>
    <xf numFmtId="0" fontId="10" fillId="0" borderId="141" xfId="0" applyFont="1" applyBorder="1" applyAlignment="1" applyProtection="1">
      <alignment horizontal="center"/>
      <protection hidden="1"/>
    </xf>
    <xf numFmtId="1" fontId="83" fillId="0" borderId="142" xfId="231" applyNumberFormat="1" applyFont="1" applyBorder="1" applyAlignment="1">
      <alignment horizontal="center" vertical="center" wrapText="1"/>
    </xf>
    <xf numFmtId="3" fontId="7" fillId="5" borderId="33" xfId="0" applyNumberFormat="1" applyFont="1" applyFill="1" applyBorder="1" applyAlignment="1">
      <alignment horizontal="center" vertical="center"/>
    </xf>
    <xf numFmtId="4" fontId="6" fillId="64" borderId="60" xfId="7" applyNumberFormat="1" applyFont="1" applyFill="1" applyBorder="1" applyAlignment="1" applyProtection="1">
      <alignment horizontal="right" vertical="center"/>
      <protection hidden="1"/>
    </xf>
    <xf numFmtId="0" fontId="6" fillId="63" borderId="52" xfId="12" applyFont="1" applyFill="1" applyBorder="1" applyAlignment="1">
      <alignment horizontal="center" vertical="center"/>
    </xf>
    <xf numFmtId="0" fontId="15" fillId="63" borderId="67" xfId="0" applyFont="1" applyFill="1" applyBorder="1" applyAlignment="1" applyProtection="1">
      <alignment horizontal="center"/>
      <protection hidden="1"/>
    </xf>
    <xf numFmtId="0" fontId="15" fillId="63" borderId="57" xfId="0" applyFont="1" applyFill="1" applyBorder="1" applyAlignment="1" applyProtection="1">
      <alignment horizontal="center"/>
      <protection hidden="1"/>
    </xf>
    <xf numFmtId="0" fontId="15" fillId="63" borderId="102" xfId="0" applyFont="1" applyFill="1" applyBorder="1" applyAlignment="1" applyProtection="1">
      <alignment horizontal="center"/>
      <protection hidden="1"/>
    </xf>
    <xf numFmtId="0" fontId="15" fillId="63" borderId="6" xfId="0" applyFont="1" applyFill="1" applyBorder="1" applyAlignment="1" applyProtection="1">
      <alignment horizontal="center"/>
      <protection hidden="1"/>
    </xf>
    <xf numFmtId="0" fontId="15" fillId="63" borderId="56" xfId="12" applyFont="1" applyFill="1" applyBorder="1" applyAlignment="1">
      <alignment horizontal="center" vertical="center" wrapText="1"/>
    </xf>
    <xf numFmtId="167" fontId="62" fillId="63" borderId="122" xfId="175" applyNumberFormat="1" applyFont="1" applyFill="1" applyBorder="1" applyAlignment="1">
      <alignment horizontal="center" vertical="center" wrapText="1"/>
    </xf>
    <xf numFmtId="167" fontId="62" fillId="63" borderId="127" xfId="175" applyNumberFormat="1" applyFont="1" applyFill="1" applyBorder="1" applyAlignment="1">
      <alignment horizontal="center" vertical="center" wrapText="1"/>
    </xf>
    <xf numFmtId="225" fontId="81" fillId="67" borderId="7" xfId="175" applyNumberFormat="1" applyFont="1" applyFill="1" applyBorder="1" applyAlignment="1">
      <alignment horizontal="center" vertical="center" wrapText="1"/>
    </xf>
    <xf numFmtId="0" fontId="86" fillId="65" borderId="6" xfId="175" applyFont="1" applyFill="1" applyBorder="1" applyAlignment="1">
      <alignment vertical="center" wrapText="1"/>
    </xf>
    <xf numFmtId="0" fontId="6" fillId="66" borderId="44" xfId="0" applyFont="1" applyFill="1" applyBorder="1" applyAlignment="1" applyProtection="1">
      <alignment horizontal="centerContinuous" vertical="center" wrapText="1"/>
      <protection hidden="1"/>
    </xf>
    <xf numFmtId="0" fontId="6" fillId="66" borderId="4" xfId="0" applyFont="1" applyFill="1" applyBorder="1" applyAlignment="1" applyProtection="1">
      <alignment horizontal="centerContinuous" vertical="center" wrapText="1"/>
      <protection hidden="1"/>
    </xf>
    <xf numFmtId="170" fontId="6" fillId="66" borderId="4" xfId="0" applyNumberFormat="1" applyFont="1" applyFill="1" applyBorder="1" applyAlignment="1" applyProtection="1">
      <alignment horizontal="centerContinuous" vertical="center" wrapText="1"/>
      <protection hidden="1"/>
    </xf>
    <xf numFmtId="179" fontId="6" fillId="66" borderId="37" xfId="7" applyNumberFormat="1" applyFont="1" applyFill="1" applyBorder="1" applyAlignment="1" applyProtection="1">
      <alignment vertical="center" wrapText="1"/>
      <protection hidden="1"/>
    </xf>
    <xf numFmtId="0" fontId="6" fillId="66" borderId="47" xfId="0" applyFont="1" applyFill="1" applyBorder="1" applyAlignment="1" applyProtection="1">
      <alignment horizontal="right" vertical="center"/>
      <protection hidden="1"/>
    </xf>
    <xf numFmtId="0" fontId="6" fillId="66" borderId="48" xfId="0" applyFont="1" applyFill="1" applyBorder="1" applyAlignment="1" applyProtection="1">
      <alignment horizontal="right" vertical="center"/>
      <protection hidden="1"/>
    </xf>
    <xf numFmtId="0" fontId="6" fillId="66" borderId="48" xfId="0" quotePrefix="1" applyFont="1" applyFill="1" applyBorder="1" applyAlignment="1" applyProtection="1">
      <alignment horizontal="right" vertical="center"/>
      <protection hidden="1"/>
    </xf>
    <xf numFmtId="4" fontId="54" fillId="66" borderId="48" xfId="0" applyNumberFormat="1" applyFont="1" applyFill="1" applyBorder="1" applyAlignment="1" applyProtection="1">
      <alignment horizontal="right" vertical="center"/>
      <protection hidden="1"/>
    </xf>
    <xf numFmtId="4" fontId="6" fillId="66" borderId="48" xfId="0" applyNumberFormat="1" applyFont="1" applyFill="1" applyBorder="1" applyAlignment="1" applyProtection="1">
      <alignment horizontal="right" vertical="center"/>
      <protection hidden="1"/>
    </xf>
    <xf numFmtId="4" fontId="6" fillId="66" borderId="49" xfId="7" applyNumberFormat="1" applyFont="1" applyFill="1" applyBorder="1" applyAlignment="1" applyProtection="1">
      <alignment horizontal="right" vertical="center"/>
      <protection hidden="1"/>
    </xf>
    <xf numFmtId="0" fontId="6" fillId="66" borderId="50" xfId="0" applyFont="1" applyFill="1" applyBorder="1" applyAlignment="1" applyProtection="1">
      <alignment horizontal="right" vertical="center"/>
      <protection hidden="1"/>
    </xf>
    <xf numFmtId="0" fontId="6" fillId="66" borderId="51" xfId="0" applyFont="1" applyFill="1" applyBorder="1" applyAlignment="1" applyProtection="1">
      <alignment horizontal="right" vertical="center"/>
      <protection hidden="1"/>
    </xf>
    <xf numFmtId="0" fontId="6" fillId="66" borderId="51" xfId="0" quotePrefix="1" applyFont="1" applyFill="1" applyBorder="1" applyAlignment="1" applyProtection="1">
      <alignment horizontal="right" vertical="center"/>
      <protection hidden="1"/>
    </xf>
    <xf numFmtId="4" fontId="6" fillId="66" borderId="51" xfId="0" applyNumberFormat="1" applyFont="1" applyFill="1" applyBorder="1" applyAlignment="1" applyProtection="1">
      <alignment horizontal="right" vertical="center"/>
      <protection hidden="1"/>
    </xf>
    <xf numFmtId="4" fontId="6" fillId="66" borderId="52" xfId="7" applyNumberFormat="1" applyFont="1" applyFill="1" applyBorder="1" applyAlignment="1" applyProtection="1">
      <alignment horizontal="right" vertical="center"/>
      <protection hidden="1"/>
    </xf>
    <xf numFmtId="0" fontId="6" fillId="67" borderId="59" xfId="0" applyFont="1" applyFill="1" applyBorder="1" applyAlignment="1" applyProtection="1">
      <alignment horizontal="centerContinuous" vertical="center" wrapText="1"/>
      <protection hidden="1"/>
    </xf>
    <xf numFmtId="179" fontId="6" fillId="67" borderId="60" xfId="7" applyNumberFormat="1" applyFont="1" applyFill="1" applyBorder="1" applyAlignment="1" applyProtection="1">
      <alignment vertical="center" wrapText="1"/>
      <protection hidden="1"/>
    </xf>
    <xf numFmtId="0" fontId="6" fillId="67" borderId="117" xfId="0" applyFont="1" applyFill="1" applyBorder="1" applyAlignment="1" applyProtection="1">
      <alignment horizontal="centerContinuous" vertical="center" wrapText="1"/>
      <protection hidden="1"/>
    </xf>
    <xf numFmtId="0" fontId="15" fillId="69" borderId="89" xfId="12" applyFont="1" applyFill="1" applyBorder="1" applyAlignment="1">
      <alignment horizontal="center" vertical="center" wrapText="1"/>
    </xf>
    <xf numFmtId="221" fontId="7" fillId="69" borderId="62" xfId="12" applyNumberFormat="1" applyFont="1" applyFill="1" applyBorder="1" applyAlignment="1">
      <alignment horizontal="center"/>
    </xf>
    <xf numFmtId="0" fontId="15" fillId="66" borderId="41" xfId="12" applyFont="1" applyFill="1" applyBorder="1" applyAlignment="1">
      <alignment horizontal="center" vertical="center" wrapText="1"/>
    </xf>
    <xf numFmtId="0" fontId="15" fillId="66" borderId="63" xfId="12" applyFont="1" applyFill="1" applyBorder="1" applyAlignment="1">
      <alignment horizontal="center" vertical="center" wrapText="1"/>
    </xf>
    <xf numFmtId="0" fontId="15" fillId="66" borderId="64" xfId="12" applyFont="1" applyFill="1" applyBorder="1" applyAlignment="1">
      <alignment horizontal="center" vertical="center" wrapText="1"/>
    </xf>
    <xf numFmtId="0" fontId="15" fillId="66" borderId="36" xfId="12" applyFont="1" applyFill="1" applyBorder="1" applyAlignment="1">
      <alignment horizontal="center" vertical="center" wrapText="1"/>
    </xf>
    <xf numFmtId="0" fontId="15" fillId="66" borderId="36" xfId="12" applyFont="1" applyFill="1" applyBorder="1" applyAlignment="1">
      <alignment horizontal="center" vertical="center"/>
    </xf>
    <xf numFmtId="0" fontId="15" fillId="66" borderId="56" xfId="12" applyFont="1" applyFill="1" applyBorder="1" applyAlignment="1">
      <alignment horizontal="center" vertical="center"/>
    </xf>
    <xf numFmtId="223" fontId="25" fillId="70" borderId="62" xfId="12" applyNumberFormat="1" applyFont="1" applyFill="1" applyBorder="1" applyAlignment="1">
      <alignment horizontal="center"/>
    </xf>
    <xf numFmtId="0" fontId="6" fillId="70" borderId="90" xfId="12" applyFont="1" applyFill="1" applyBorder="1" applyAlignment="1">
      <alignment horizontal="center" vertical="center"/>
    </xf>
    <xf numFmtId="181" fontId="6" fillId="67" borderId="62" xfId="3" applyNumberFormat="1" applyFont="1" applyFill="1" applyBorder="1" applyAlignment="1" applyProtection="1">
      <alignment horizontal="center" vertical="center" wrapText="1"/>
    </xf>
    <xf numFmtId="0" fontId="7" fillId="66" borderId="63" xfId="0" applyFont="1" applyFill="1" applyBorder="1" applyAlignment="1" applyProtection="1">
      <alignment horizontal="center" vertical="center" wrapText="1"/>
      <protection hidden="1"/>
    </xf>
    <xf numFmtId="0" fontId="7" fillId="66" borderId="63" xfId="0" applyFont="1" applyFill="1" applyBorder="1" applyAlignment="1" applyProtection="1">
      <alignment horizontal="center" vertical="center" wrapText="1"/>
      <protection locked="0"/>
    </xf>
    <xf numFmtId="0" fontId="85" fillId="66" borderId="63" xfId="175" applyFont="1" applyFill="1" applyBorder="1" applyAlignment="1">
      <alignment horizontal="center" vertical="center" wrapText="1"/>
    </xf>
    <xf numFmtId="0" fontId="7" fillId="66" borderId="65" xfId="0" applyFont="1" applyFill="1" applyBorder="1" applyAlignment="1" applyProtection="1">
      <alignment horizontal="center" vertical="center" wrapText="1"/>
      <protection hidden="1"/>
    </xf>
    <xf numFmtId="0" fontId="7" fillId="66" borderId="65" xfId="12" applyFont="1" applyFill="1" applyBorder="1" applyAlignment="1">
      <alignment horizontal="center" vertical="center" wrapText="1"/>
    </xf>
    <xf numFmtId="2" fontId="7" fillId="66" borderId="65" xfId="3" applyNumberFormat="1" applyFont="1" applyFill="1" applyBorder="1" applyAlignment="1" applyProtection="1">
      <alignment horizontal="center" vertical="center"/>
      <protection locked="0"/>
    </xf>
    <xf numFmtId="2" fontId="7" fillId="66" borderId="65" xfId="0" applyNumberFormat="1" applyFont="1" applyFill="1" applyBorder="1" applyAlignment="1" applyProtection="1">
      <alignment horizontal="center" vertical="center"/>
      <protection hidden="1"/>
    </xf>
    <xf numFmtId="4" fontId="7" fillId="66" borderId="69" xfId="0" applyNumberFormat="1" applyFont="1" applyFill="1" applyBorder="1" applyAlignment="1" applyProtection="1">
      <alignment horizontal="center" vertical="center"/>
      <protection hidden="1"/>
    </xf>
    <xf numFmtId="3" fontId="6" fillId="66" borderId="31" xfId="11" applyNumberFormat="1" applyFont="1" applyFill="1" applyBorder="1" applyAlignment="1" applyProtection="1">
      <alignment horizontal="right"/>
      <protection hidden="1"/>
    </xf>
    <xf numFmtId="0" fontId="6" fillId="0" borderId="145" xfId="0" applyFont="1" applyBorder="1" applyAlignment="1" applyProtection="1">
      <alignment horizontal="center" vertical="center"/>
      <protection hidden="1"/>
    </xf>
    <xf numFmtId="0" fontId="6" fillId="67" borderId="61" xfId="0" applyFont="1" applyFill="1" applyBorder="1" applyAlignment="1" applyProtection="1">
      <alignment horizontal="centerContinuous" vertical="center" wrapText="1"/>
      <protection hidden="1"/>
    </xf>
    <xf numFmtId="3" fontId="3" fillId="0" borderId="46" xfId="7" applyNumberFormat="1" applyFont="1" applyFill="1" applyBorder="1" applyAlignment="1" applyProtection="1">
      <alignment horizontal="center" vertical="center"/>
      <protection hidden="1"/>
    </xf>
    <xf numFmtId="3" fontId="3" fillId="0" borderId="37" xfId="0" applyNumberFormat="1" applyFont="1" applyBorder="1" applyAlignment="1" applyProtection="1">
      <alignment horizontal="center" vertical="center"/>
      <protection hidden="1"/>
    </xf>
    <xf numFmtId="3" fontId="3" fillId="0" borderId="124" xfId="0" applyNumberFormat="1" applyFont="1" applyBorder="1" applyAlignment="1" applyProtection="1">
      <alignment horizontal="center" vertical="center"/>
      <protection hidden="1"/>
    </xf>
    <xf numFmtId="0" fontId="12" fillId="0" borderId="38" xfId="0" applyFont="1" applyBorder="1" applyProtection="1">
      <protection hidden="1"/>
    </xf>
    <xf numFmtId="171" fontId="15" fillId="0" borderId="121" xfId="9" applyNumberFormat="1" applyFont="1" applyFill="1" applyBorder="1" applyAlignment="1" applyProtection="1">
      <alignment horizontal="center" vertical="center"/>
      <protection hidden="1"/>
    </xf>
    <xf numFmtId="3" fontId="3" fillId="0" borderId="147" xfId="7" applyNumberFormat="1" applyFont="1" applyFill="1" applyBorder="1" applyAlignment="1" applyProtection="1">
      <alignment horizontal="center" vertical="center"/>
      <protection hidden="1"/>
    </xf>
    <xf numFmtId="0" fontId="9" fillId="0" borderId="23" xfId="0" applyFont="1" applyBorder="1" applyAlignment="1" applyProtection="1">
      <alignment horizontal="justify" vertical="center" wrapText="1"/>
      <protection hidden="1"/>
    </xf>
    <xf numFmtId="0" fontId="9" fillId="0" borderId="0" xfId="0" applyFont="1" applyAlignment="1" applyProtection="1">
      <alignment horizontal="justify" vertical="center" wrapText="1"/>
      <protection hidden="1"/>
    </xf>
    <xf numFmtId="0" fontId="9" fillId="0" borderId="11" xfId="0" applyFont="1" applyBorder="1" applyAlignment="1" applyProtection="1">
      <alignment horizontal="justify" vertical="center" wrapText="1"/>
      <protection hidden="1"/>
    </xf>
    <xf numFmtId="3" fontId="6" fillId="66" borderId="7" xfId="11" applyNumberFormat="1" applyFont="1" applyFill="1" applyBorder="1" applyAlignment="1" applyProtection="1">
      <alignment horizontal="center"/>
      <protection hidden="1"/>
    </xf>
    <xf numFmtId="213" fontId="15" fillId="41" borderId="68" xfId="7" applyNumberFormat="1" applyFont="1" applyFill="1" applyBorder="1" applyAlignment="1">
      <alignment horizontal="center" vertical="center" wrapText="1"/>
    </xf>
    <xf numFmtId="4" fontId="3" fillId="71" borderId="33" xfId="0" applyNumberFormat="1" applyFont="1" applyFill="1" applyBorder="1" applyAlignment="1" applyProtection="1">
      <alignment horizontal="right" vertical="center"/>
      <protection hidden="1"/>
    </xf>
    <xf numFmtId="0" fontId="6" fillId="66" borderId="148" xfId="0" applyFont="1" applyFill="1" applyBorder="1" applyAlignment="1" applyProtection="1">
      <alignment horizontal="right" vertical="center"/>
      <protection hidden="1"/>
    </xf>
    <xf numFmtId="0" fontId="6" fillId="66" borderId="141" xfId="0" applyFont="1" applyFill="1" applyBorder="1" applyAlignment="1" applyProtection="1">
      <alignment horizontal="right" vertical="center"/>
      <protection hidden="1"/>
    </xf>
    <xf numFmtId="0" fontId="6" fillId="66" borderId="141" xfId="0" quotePrefix="1" applyFont="1" applyFill="1" applyBorder="1" applyAlignment="1" applyProtection="1">
      <alignment horizontal="right" vertical="center"/>
      <protection hidden="1"/>
    </xf>
    <xf numFmtId="4" fontId="54" fillId="66" borderId="141" xfId="0" applyNumberFormat="1" applyFont="1" applyFill="1" applyBorder="1" applyAlignment="1" applyProtection="1">
      <alignment horizontal="right" vertical="center"/>
      <protection hidden="1"/>
    </xf>
    <xf numFmtId="4" fontId="6" fillId="66" borderId="141" xfId="0" applyNumberFormat="1" applyFont="1" applyFill="1" applyBorder="1" applyAlignment="1" applyProtection="1">
      <alignment horizontal="right" vertical="center"/>
      <protection hidden="1"/>
    </xf>
    <xf numFmtId="4" fontId="6" fillId="66" borderId="132" xfId="7" applyNumberFormat="1" applyFont="1" applyFill="1" applyBorder="1" applyAlignment="1" applyProtection="1">
      <alignment horizontal="right" vertical="center"/>
      <protection hidden="1"/>
    </xf>
    <xf numFmtId="4" fontId="6" fillId="64" borderId="141" xfId="7" applyNumberFormat="1" applyFont="1" applyFill="1" applyBorder="1" applyAlignment="1" applyProtection="1">
      <alignment horizontal="right" vertical="center"/>
      <protection hidden="1"/>
    </xf>
    <xf numFmtId="0" fontId="10" fillId="68" borderId="0" xfId="0" applyFont="1" applyFill="1" applyProtection="1">
      <protection hidden="1"/>
    </xf>
    <xf numFmtId="0" fontId="6" fillId="68" borderId="148" xfId="0" applyFont="1" applyFill="1" applyBorder="1" applyAlignment="1" applyProtection="1">
      <alignment horizontal="right" vertical="center"/>
      <protection hidden="1"/>
    </xf>
    <xf numFmtId="0" fontId="6" fillId="68" borderId="141" xfId="0" applyFont="1" applyFill="1" applyBorder="1" applyAlignment="1" applyProtection="1">
      <alignment horizontal="right" vertical="center"/>
      <protection hidden="1"/>
    </xf>
    <xf numFmtId="0" fontId="6" fillId="68" borderId="141" xfId="0" quotePrefix="1" applyFont="1" applyFill="1" applyBorder="1" applyAlignment="1" applyProtection="1">
      <alignment horizontal="right" vertical="center"/>
      <protection hidden="1"/>
    </xf>
    <xf numFmtId="4" fontId="54" fillId="68" borderId="141" xfId="0" applyNumberFormat="1" applyFont="1" applyFill="1" applyBorder="1" applyAlignment="1" applyProtection="1">
      <alignment horizontal="right" vertical="center"/>
      <protection hidden="1"/>
    </xf>
    <xf numFmtId="4" fontId="6" fillId="68" borderId="141" xfId="0" applyNumberFormat="1" applyFont="1" applyFill="1" applyBorder="1" applyAlignment="1" applyProtection="1">
      <alignment horizontal="right" vertical="center"/>
      <protection hidden="1"/>
    </xf>
    <xf numFmtId="4" fontId="6" fillId="68" borderId="132" xfId="7" applyNumberFormat="1" applyFont="1" applyFill="1" applyBorder="1" applyAlignment="1" applyProtection="1">
      <alignment horizontal="right" vertical="center"/>
      <protection hidden="1"/>
    </xf>
    <xf numFmtId="3" fontId="3" fillId="68" borderId="38" xfId="0" applyNumberFormat="1" applyFont="1" applyFill="1" applyBorder="1" applyAlignment="1" applyProtection="1">
      <alignment horizontal="centerContinuous" vertical="center"/>
      <protection hidden="1"/>
    </xf>
    <xf numFmtId="4" fontId="6" fillId="68" borderId="141" xfId="7" applyNumberFormat="1" applyFont="1" applyFill="1" applyBorder="1" applyAlignment="1" applyProtection="1">
      <alignment horizontal="right" vertical="center"/>
      <protection hidden="1"/>
    </xf>
    <xf numFmtId="3" fontId="3" fillId="68" borderId="0" xfId="0" applyNumberFormat="1" applyFont="1" applyFill="1" applyAlignment="1" applyProtection="1">
      <alignment horizontal="center" vertical="center"/>
      <protection hidden="1"/>
    </xf>
    <xf numFmtId="3" fontId="3" fillId="68" borderId="124" xfId="0" applyNumberFormat="1" applyFont="1" applyFill="1" applyBorder="1" applyAlignment="1" applyProtection="1">
      <alignment horizontal="center" vertical="center"/>
      <protection hidden="1"/>
    </xf>
    <xf numFmtId="4" fontId="54" fillId="64" borderId="60" xfId="7" applyNumberFormat="1" applyFont="1" applyFill="1" applyBorder="1" applyAlignment="1" applyProtection="1">
      <alignment horizontal="right" vertical="center"/>
      <protection hidden="1"/>
    </xf>
    <xf numFmtId="169" fontId="87" fillId="2" borderId="0" xfId="3" applyFont="1" applyFill="1" applyAlignment="1">
      <alignment horizontal="center" vertical="center"/>
    </xf>
    <xf numFmtId="3" fontId="87" fillId="2" borderId="0" xfId="12" applyNumberFormat="1" applyFont="1" applyFill="1"/>
    <xf numFmtId="171" fontId="9" fillId="0" borderId="0" xfId="0" applyNumberFormat="1" applyFont="1" applyAlignment="1" applyProtection="1">
      <alignment horizontal="center"/>
      <protection hidden="1"/>
    </xf>
    <xf numFmtId="4" fontId="4" fillId="0" borderId="0" xfId="0" applyNumberFormat="1" applyFont="1" applyAlignment="1" applyProtection="1">
      <alignment horizontal="centerContinuous" vertical="center"/>
      <protection hidden="1"/>
    </xf>
    <xf numFmtId="226" fontId="0" fillId="0" borderId="0" xfId="7" applyNumberFormat="1" applyFont="1"/>
    <xf numFmtId="226" fontId="0" fillId="0" borderId="0" xfId="0" applyNumberFormat="1"/>
    <xf numFmtId="0" fontId="0" fillId="0" borderId="0" xfId="0" applyAlignment="1">
      <alignment horizontal="right"/>
    </xf>
    <xf numFmtId="227" fontId="0" fillId="0" borderId="0" xfId="7" applyNumberFormat="1" applyFont="1"/>
    <xf numFmtId="227" fontId="0" fillId="0" borderId="0" xfId="0" applyNumberFormat="1"/>
    <xf numFmtId="0" fontId="15" fillId="0" borderId="0" xfId="12" applyFont="1" applyAlignment="1">
      <alignment horizontal="center" vertical="center" wrapText="1"/>
    </xf>
    <xf numFmtId="0" fontId="15" fillId="0" borderId="0" xfId="12" applyFont="1" applyAlignment="1">
      <alignment horizontal="center" vertical="center"/>
    </xf>
    <xf numFmtId="0" fontId="6" fillId="66" borderId="22" xfId="11" applyFont="1" applyFill="1" applyBorder="1" applyAlignment="1" applyProtection="1">
      <alignment horizontal="center" vertical="center" wrapText="1"/>
      <protection hidden="1"/>
    </xf>
    <xf numFmtId="0" fontId="6" fillId="66" borderId="24" xfId="11" applyFont="1" applyFill="1" applyBorder="1" applyAlignment="1" applyProtection="1">
      <alignment horizontal="center" vertical="center" wrapText="1"/>
      <protection hidden="1"/>
    </xf>
    <xf numFmtId="0" fontId="6" fillId="66" borderId="8" xfId="11" applyFont="1" applyFill="1" applyBorder="1" applyAlignment="1" applyProtection="1">
      <alignment horizontal="center" vertical="center" wrapText="1"/>
      <protection hidden="1"/>
    </xf>
    <xf numFmtId="0" fontId="6" fillId="66" borderId="9" xfId="11" applyFont="1" applyFill="1" applyBorder="1" applyAlignment="1" applyProtection="1">
      <alignment horizontal="center" vertical="center" wrapText="1"/>
      <protection hidden="1"/>
    </xf>
    <xf numFmtId="0" fontId="6" fillId="66" borderId="10" xfId="11" applyFont="1" applyFill="1" applyBorder="1" applyAlignment="1" applyProtection="1">
      <alignment horizontal="center" vertical="center" wrapText="1"/>
      <protection hidden="1"/>
    </xf>
    <xf numFmtId="0" fontId="6" fillId="66" borderId="1" xfId="11" applyFont="1" applyFill="1" applyBorder="1" applyAlignment="1" applyProtection="1">
      <alignment horizontal="center" vertical="center" wrapText="1"/>
      <protection hidden="1"/>
    </xf>
    <xf numFmtId="0" fontId="59" fillId="66" borderId="72" xfId="0" applyFont="1" applyFill="1" applyBorder="1" applyAlignment="1" applyProtection="1">
      <alignment horizontal="center" vertical="center" wrapText="1"/>
      <protection hidden="1"/>
    </xf>
    <xf numFmtId="0" fontId="59" fillId="66" borderId="140" xfId="0" applyFont="1" applyFill="1" applyBorder="1" applyAlignment="1" applyProtection="1">
      <alignment horizontal="center" vertical="center" wrapText="1"/>
      <protection hidden="1"/>
    </xf>
    <xf numFmtId="0" fontId="59" fillId="66" borderId="73" xfId="0" applyFont="1" applyFill="1" applyBorder="1" applyAlignment="1" applyProtection="1">
      <alignment horizontal="center" vertical="center" wrapText="1"/>
      <protection hidden="1"/>
    </xf>
    <xf numFmtId="0" fontId="6" fillId="66" borderId="75" xfId="0" applyFont="1" applyFill="1" applyBorder="1" applyAlignment="1" applyProtection="1">
      <alignment horizontal="center" vertical="center" textRotation="90" wrapText="1"/>
      <protection hidden="1"/>
    </xf>
    <xf numFmtId="0" fontId="6" fillId="66" borderId="93" xfId="0" applyFont="1" applyFill="1" applyBorder="1" applyAlignment="1" applyProtection="1">
      <alignment horizontal="center" vertical="center" textRotation="90" wrapText="1"/>
      <protection hidden="1"/>
    </xf>
    <xf numFmtId="0" fontId="6" fillId="66" borderId="76" xfId="0" applyFont="1" applyFill="1" applyBorder="1" applyAlignment="1" applyProtection="1">
      <alignment horizontal="center" vertical="center" textRotation="90" wrapText="1"/>
      <protection hidden="1"/>
    </xf>
    <xf numFmtId="0" fontId="59" fillId="65" borderId="72" xfId="0" applyFont="1" applyFill="1" applyBorder="1" applyAlignment="1" applyProtection="1">
      <alignment horizontal="center" vertical="center" wrapText="1"/>
      <protection hidden="1"/>
    </xf>
    <xf numFmtId="0" fontId="59" fillId="65" borderId="140" xfId="0" applyFont="1" applyFill="1" applyBorder="1" applyAlignment="1" applyProtection="1">
      <alignment horizontal="center" vertical="center" wrapText="1"/>
      <protection hidden="1"/>
    </xf>
    <xf numFmtId="0" fontId="59" fillId="65" borderId="73" xfId="0" applyFont="1" applyFill="1" applyBorder="1" applyAlignment="1" applyProtection="1">
      <alignment horizontal="center" vertical="center" wrapText="1"/>
      <protection hidden="1"/>
    </xf>
    <xf numFmtId="0" fontId="59" fillId="66" borderId="71" xfId="0" applyFont="1" applyFill="1" applyBorder="1" applyAlignment="1" applyProtection="1">
      <alignment horizontal="center" vertical="center" textRotation="90" wrapText="1"/>
      <protection hidden="1"/>
    </xf>
    <xf numFmtId="0" fontId="59" fillId="66" borderId="85" xfId="0" applyFont="1" applyFill="1" applyBorder="1" applyAlignment="1" applyProtection="1">
      <alignment horizontal="center" vertical="center" textRotation="90" wrapText="1"/>
      <protection hidden="1"/>
    </xf>
    <xf numFmtId="0" fontId="59" fillId="66" borderId="36" xfId="0" applyFont="1" applyFill="1" applyBorder="1" applyAlignment="1" applyProtection="1">
      <alignment horizontal="center" vertical="center" textRotation="90" wrapText="1"/>
      <protection hidden="1"/>
    </xf>
    <xf numFmtId="0" fontId="59" fillId="65" borderId="13" xfId="0" applyFont="1" applyFill="1" applyBorder="1" applyAlignment="1" applyProtection="1">
      <alignment horizontal="center" vertical="center" wrapText="1"/>
      <protection locked="0"/>
    </xf>
    <xf numFmtId="0" fontId="59" fillId="65" borderId="95" xfId="0" applyFont="1" applyFill="1" applyBorder="1" applyAlignment="1" applyProtection="1">
      <alignment horizontal="center" vertical="center" wrapText="1"/>
      <protection locked="0"/>
    </xf>
    <xf numFmtId="0" fontId="59" fillId="65" borderId="70" xfId="0" applyFont="1" applyFill="1" applyBorder="1" applyAlignment="1" applyProtection="1">
      <alignment horizontal="center" vertical="center" wrapText="1"/>
      <protection locked="0"/>
    </xf>
    <xf numFmtId="0" fontId="59" fillId="65" borderId="5" xfId="0" applyFont="1" applyFill="1" applyBorder="1" applyAlignment="1" applyProtection="1">
      <alignment horizontal="center" vertical="center" wrapText="1"/>
      <protection locked="0"/>
    </xf>
    <xf numFmtId="0" fontId="6" fillId="0" borderId="0" xfId="12" applyFont="1" applyAlignment="1">
      <alignment horizontal="center" vertical="center"/>
    </xf>
    <xf numFmtId="0" fontId="6" fillId="0" borderId="11" xfId="12" applyFont="1" applyBorder="1" applyAlignment="1">
      <alignment horizontal="center" vertical="center"/>
    </xf>
    <xf numFmtId="0" fontId="59" fillId="66" borderId="67" xfId="0" applyFont="1" applyFill="1" applyBorder="1" applyAlignment="1" applyProtection="1">
      <alignment horizontal="center" vertical="center" wrapText="1"/>
      <protection locked="0"/>
    </xf>
    <xf numFmtId="0" fontId="59" fillId="66" borderId="143" xfId="0" applyFont="1" applyFill="1" applyBorder="1" applyAlignment="1" applyProtection="1">
      <alignment horizontal="center" vertical="center" wrapText="1"/>
      <protection locked="0"/>
    </xf>
    <xf numFmtId="0" fontId="59" fillId="65" borderId="57" xfId="0" applyFont="1" applyFill="1" applyBorder="1" applyAlignment="1" applyProtection="1">
      <alignment horizontal="center" vertical="center" wrapText="1"/>
      <protection hidden="1"/>
    </xf>
    <xf numFmtId="0" fontId="59" fillId="65" borderId="144" xfId="0" applyFont="1" applyFill="1" applyBorder="1" applyAlignment="1" applyProtection="1">
      <alignment horizontal="center" vertical="center" wrapText="1"/>
      <protection hidden="1"/>
    </xf>
    <xf numFmtId="0" fontId="59" fillId="65" borderId="57" xfId="0" applyFont="1" applyFill="1" applyBorder="1" applyAlignment="1" applyProtection="1">
      <alignment horizontal="center" vertical="center" wrapText="1"/>
      <protection locked="0"/>
    </xf>
    <xf numFmtId="0" fontId="59" fillId="65" borderId="144" xfId="0" applyFont="1" applyFill="1" applyBorder="1" applyAlignment="1" applyProtection="1">
      <alignment horizontal="center" vertical="center" wrapText="1"/>
      <protection locked="0"/>
    </xf>
    <xf numFmtId="1" fontId="4" fillId="0" borderId="0" xfId="12" applyNumberFormat="1" applyFont="1" applyAlignment="1">
      <alignment horizontal="center" vertical="center" wrapText="1"/>
    </xf>
    <xf numFmtId="1" fontId="6" fillId="0" borderId="0" xfId="12" applyNumberFormat="1" applyFont="1" applyAlignment="1">
      <alignment horizontal="center" vertical="center" wrapText="1"/>
    </xf>
    <xf numFmtId="0" fontId="6" fillId="44" borderId="40" xfId="0" quotePrefix="1" applyFont="1" applyFill="1" applyBorder="1" applyAlignment="1" applyProtection="1">
      <alignment horizontal="center" vertical="center"/>
      <protection hidden="1"/>
    </xf>
    <xf numFmtId="0" fontId="6" fillId="44" borderId="41" xfId="0" quotePrefix="1" applyFont="1" applyFill="1" applyBorder="1" applyAlignment="1" applyProtection="1">
      <alignment horizontal="center" vertical="center"/>
      <protection hidden="1"/>
    </xf>
    <xf numFmtId="0" fontId="6" fillId="44" borderId="68" xfId="0" quotePrefix="1" applyFont="1" applyFill="1" applyBorder="1" applyAlignment="1" applyProtection="1">
      <alignment horizontal="center" vertical="center"/>
      <protection hidden="1"/>
    </xf>
    <xf numFmtId="1" fontId="76" fillId="0" borderId="78" xfId="0" quotePrefix="1" applyNumberFormat="1" applyFont="1" applyBorder="1" applyAlignment="1" applyProtection="1">
      <alignment horizontal="center" vertical="center" wrapText="1"/>
      <protection hidden="1"/>
    </xf>
    <xf numFmtId="1" fontId="76" fillId="0" borderId="79" xfId="0" quotePrefix="1" applyNumberFormat="1" applyFont="1" applyBorder="1" applyAlignment="1" applyProtection="1">
      <alignment horizontal="center" vertical="center" wrapText="1"/>
      <protection hidden="1"/>
    </xf>
    <xf numFmtId="1" fontId="76" fillId="0" borderId="146" xfId="0" quotePrefix="1" applyNumberFormat="1" applyFont="1" applyBorder="1" applyAlignment="1" applyProtection="1">
      <alignment horizontal="center" vertical="center" wrapText="1"/>
      <protection hidden="1"/>
    </xf>
    <xf numFmtId="3" fontId="5" fillId="0" borderId="78" xfId="0" applyNumberFormat="1" applyFont="1" applyBorder="1" applyAlignment="1" applyProtection="1">
      <alignment horizontal="center" vertical="center"/>
      <protection hidden="1"/>
    </xf>
    <xf numFmtId="3" fontId="5" fillId="0" borderId="79" xfId="0" applyNumberFormat="1" applyFont="1" applyBorder="1" applyAlignment="1" applyProtection="1">
      <alignment horizontal="center" vertical="center"/>
      <protection hidden="1"/>
    </xf>
    <xf numFmtId="3" fontId="5" fillId="0" borderId="146" xfId="0" applyNumberFormat="1" applyFont="1" applyBorder="1" applyAlignment="1" applyProtection="1">
      <alignment horizontal="center" vertical="center"/>
      <protection hidden="1"/>
    </xf>
    <xf numFmtId="1" fontId="4" fillId="0" borderId="23" xfId="0" quotePrefix="1" applyNumberFormat="1"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6" fillId="44" borderId="40" xfId="0" applyFont="1" applyFill="1" applyBorder="1" applyAlignment="1" applyProtection="1">
      <alignment horizontal="center" vertical="center" wrapText="1"/>
      <protection hidden="1"/>
    </xf>
    <xf numFmtId="0" fontId="6" fillId="44" borderId="41" xfId="0" applyFont="1" applyFill="1" applyBorder="1" applyAlignment="1" applyProtection="1">
      <alignment horizontal="center" vertical="center" wrapText="1"/>
      <protection hidden="1"/>
    </xf>
    <xf numFmtId="0" fontId="6" fillId="44" borderId="68" xfId="0" applyFont="1" applyFill="1" applyBorder="1" applyAlignment="1" applyProtection="1">
      <alignment horizontal="center" vertical="center" wrapText="1"/>
      <protection hidden="1"/>
    </xf>
    <xf numFmtId="1" fontId="4" fillId="0" borderId="0" xfId="12" applyNumberFormat="1" applyFont="1" applyAlignment="1" applyProtection="1">
      <alignment horizontal="center" vertical="center" wrapText="1"/>
      <protection hidden="1"/>
    </xf>
    <xf numFmtId="1" fontId="6" fillId="0" borderId="0" xfId="12" applyNumberFormat="1" applyFont="1" applyAlignment="1" applyProtection="1">
      <alignment horizontal="center" vertical="center" wrapText="1"/>
      <protection hidden="1"/>
    </xf>
    <xf numFmtId="0" fontId="6" fillId="0" borderId="0" xfId="12" applyFont="1" applyAlignment="1" applyProtection="1">
      <alignment horizontal="center" vertical="center"/>
      <protection hidden="1"/>
    </xf>
    <xf numFmtId="1" fontId="79" fillId="0" borderId="0" xfId="12" applyNumberFormat="1" applyFont="1" applyAlignment="1" applyProtection="1">
      <alignment horizontal="center" vertical="center" wrapText="1"/>
      <protection hidden="1"/>
    </xf>
    <xf numFmtId="3" fontId="5" fillId="0" borderId="77" xfId="0" applyNumberFormat="1" applyFont="1" applyBorder="1" applyAlignment="1" applyProtection="1">
      <alignment horizontal="center" vertical="center"/>
      <protection hidden="1"/>
    </xf>
    <xf numFmtId="0" fontId="25" fillId="66" borderId="0" xfId="0" applyFont="1" applyFill="1" applyAlignment="1" applyProtection="1">
      <alignment horizontal="center" vertical="center" wrapText="1"/>
      <protection hidden="1"/>
    </xf>
    <xf numFmtId="0" fontId="5" fillId="0" borderId="2" xfId="0" applyFont="1" applyBorder="1" applyAlignment="1" applyProtection="1">
      <alignment horizontal="center" vertical="center"/>
      <protection hidden="1"/>
    </xf>
    <xf numFmtId="1" fontId="4" fillId="0" borderId="0" xfId="0" quotePrefix="1" applyNumberFormat="1" applyFont="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43" borderId="40" xfId="0" applyFont="1" applyFill="1" applyBorder="1" applyAlignment="1" applyProtection="1">
      <alignment horizontal="center" vertical="center"/>
      <protection hidden="1"/>
    </xf>
    <xf numFmtId="0" fontId="6" fillId="43" borderId="41" xfId="0" applyFont="1" applyFill="1" applyBorder="1" applyAlignment="1" applyProtection="1">
      <alignment horizontal="center" vertical="center"/>
      <protection hidden="1"/>
    </xf>
    <xf numFmtId="0" fontId="6" fillId="43" borderId="68" xfId="0" applyFont="1" applyFill="1" applyBorder="1" applyAlignment="1" applyProtection="1">
      <alignment horizontal="center" vertical="center"/>
      <protection hidden="1"/>
    </xf>
    <xf numFmtId="0" fontId="9" fillId="0" borderId="22" xfId="0" applyFont="1" applyBorder="1" applyAlignment="1" applyProtection="1">
      <alignment horizontal="justify" vertical="center" wrapText="1"/>
      <protection hidden="1"/>
    </xf>
    <xf numFmtId="0" fontId="9" fillId="0" borderId="23" xfId="0" applyFont="1" applyBorder="1" applyAlignment="1" applyProtection="1">
      <alignment horizontal="justify" vertical="center" wrapText="1"/>
      <protection hidden="1"/>
    </xf>
    <xf numFmtId="0" fontId="9" fillId="0" borderId="8" xfId="0" applyFont="1" applyBorder="1" applyAlignment="1" applyProtection="1">
      <alignment horizontal="justify" vertical="center" wrapText="1"/>
      <protection hidden="1"/>
    </xf>
    <xf numFmtId="0" fontId="9" fillId="0" borderId="0" xfId="0" applyFont="1" applyAlignment="1" applyProtection="1">
      <alignment horizontal="justify" vertical="center" wrapText="1"/>
      <protection hidden="1"/>
    </xf>
    <xf numFmtId="0" fontId="9" fillId="0" borderId="10" xfId="0" applyFont="1" applyBorder="1" applyAlignment="1" applyProtection="1">
      <alignment horizontal="justify" vertical="center" wrapText="1"/>
      <protection hidden="1"/>
    </xf>
    <xf numFmtId="0" fontId="9" fillId="0" borderId="11" xfId="0" applyFont="1" applyBorder="1" applyAlignment="1" applyProtection="1">
      <alignment horizontal="justify" vertical="center" wrapText="1"/>
      <protection hidden="1"/>
    </xf>
    <xf numFmtId="4" fontId="8" fillId="68" borderId="80" xfId="0" applyNumberFormat="1" applyFont="1" applyFill="1" applyBorder="1" applyAlignment="1" applyProtection="1">
      <alignment horizontal="center" vertical="center" wrapText="1"/>
      <protection hidden="1"/>
    </xf>
    <xf numFmtId="4" fontId="8" fillId="68" borderId="81" xfId="0" applyNumberFormat="1" applyFont="1" applyFill="1" applyBorder="1" applyAlignment="1" applyProtection="1">
      <alignment horizontal="center" vertical="center" wrapText="1"/>
      <protection hidden="1"/>
    </xf>
    <xf numFmtId="4" fontId="8" fillId="68" borderId="27" xfId="0" applyNumberFormat="1" applyFont="1" applyFill="1" applyBorder="1" applyAlignment="1" applyProtection="1">
      <alignment horizontal="center" vertical="center" wrapText="1"/>
      <protection hidden="1"/>
    </xf>
    <xf numFmtId="0" fontId="15" fillId="66" borderId="117" xfId="12" applyFont="1" applyFill="1" applyBorder="1" applyAlignment="1">
      <alignment horizontal="center" vertical="center" wrapText="1"/>
    </xf>
    <xf numFmtId="0" fontId="15" fillId="66" borderId="48" xfId="12" applyFont="1" applyFill="1" applyBorder="1" applyAlignment="1">
      <alignment horizontal="center" vertical="center" wrapText="1"/>
    </xf>
    <xf numFmtId="0" fontId="15" fillId="66" borderId="89" xfId="12" applyFont="1" applyFill="1" applyBorder="1" applyAlignment="1">
      <alignment horizontal="center" vertical="center" wrapText="1"/>
    </xf>
    <xf numFmtId="0" fontId="6" fillId="0" borderId="51" xfId="12" applyFont="1" applyBorder="1" applyAlignment="1">
      <alignment horizontal="center" vertical="center"/>
    </xf>
    <xf numFmtId="0" fontId="6" fillId="2" borderId="54" xfId="12" applyFont="1" applyFill="1" applyBorder="1" applyAlignment="1">
      <alignment horizontal="center" vertical="center"/>
    </xf>
    <xf numFmtId="0" fontId="6" fillId="2" borderId="90" xfId="12" applyFont="1" applyFill="1" applyBorder="1" applyAlignment="1">
      <alignment horizontal="center" vertical="center"/>
    </xf>
    <xf numFmtId="0" fontId="6" fillId="0" borderId="54" xfId="12" applyFont="1" applyBorder="1" applyAlignment="1">
      <alignment horizontal="center" vertical="center"/>
    </xf>
    <xf numFmtId="0" fontId="15" fillId="69" borderId="44" xfId="12" applyFont="1" applyFill="1" applyBorder="1" applyAlignment="1">
      <alignment horizontal="center" vertical="center" wrapText="1"/>
    </xf>
    <xf numFmtId="0" fontId="15" fillId="69" borderId="37" xfId="12" applyFont="1" applyFill="1" applyBorder="1" applyAlignment="1">
      <alignment horizontal="center" vertical="center" wrapText="1"/>
    </xf>
    <xf numFmtId="0" fontId="15" fillId="69" borderId="38" xfId="12" applyFont="1" applyFill="1" applyBorder="1" applyAlignment="1">
      <alignment horizontal="center" vertical="center" wrapText="1"/>
    </xf>
    <xf numFmtId="0" fontId="15" fillId="69" borderId="124" xfId="12" applyFont="1" applyFill="1" applyBorder="1" applyAlignment="1">
      <alignment horizontal="center" vertical="center" wrapText="1"/>
    </xf>
    <xf numFmtId="222" fontId="77" fillId="70" borderId="38" xfId="12" applyNumberFormat="1" applyFont="1" applyFill="1" applyBorder="1" applyAlignment="1">
      <alignment horizontal="center" vertical="center"/>
    </xf>
    <xf numFmtId="222" fontId="77" fillId="70" borderId="124" xfId="12" applyNumberFormat="1" applyFont="1" applyFill="1" applyBorder="1" applyAlignment="1">
      <alignment horizontal="center" vertical="center"/>
    </xf>
    <xf numFmtId="222" fontId="77" fillId="70" borderId="126" xfId="12" applyNumberFormat="1" applyFont="1" applyFill="1" applyBorder="1" applyAlignment="1">
      <alignment horizontal="center" vertical="center"/>
    </xf>
    <xf numFmtId="222" fontId="77" fillId="70" borderId="127" xfId="12" applyNumberFormat="1" applyFont="1" applyFill="1" applyBorder="1" applyAlignment="1">
      <alignment horizontal="center" vertical="center"/>
    </xf>
    <xf numFmtId="4" fontId="6" fillId="2" borderId="82" xfId="12" applyNumberFormat="1" applyFont="1" applyFill="1" applyBorder="1" applyAlignment="1">
      <alignment horizontal="right" vertical="center" wrapText="1"/>
    </xf>
    <xf numFmtId="4" fontId="6" fillId="2" borderId="57" xfId="12" applyNumberFormat="1" applyFont="1" applyFill="1" applyBorder="1" applyAlignment="1">
      <alignment horizontal="right" vertical="center" wrapText="1"/>
    </xf>
    <xf numFmtId="0" fontId="6" fillId="2" borderId="50" xfId="12" applyFont="1" applyFill="1" applyBorder="1" applyAlignment="1">
      <alignment horizontal="right" vertical="center"/>
    </xf>
    <xf numFmtId="0" fontId="6" fillId="2" borderId="51" xfId="12" applyFont="1" applyFill="1" applyBorder="1" applyAlignment="1">
      <alignment horizontal="right" vertical="center"/>
    </xf>
    <xf numFmtId="0" fontId="6" fillId="2" borderId="35" xfId="12" applyFont="1" applyFill="1" applyBorder="1" applyAlignment="1">
      <alignment horizontal="right" vertical="center"/>
    </xf>
    <xf numFmtId="4" fontId="6" fillId="2" borderId="83" xfId="12" applyNumberFormat="1" applyFont="1" applyFill="1" applyBorder="1" applyAlignment="1">
      <alignment horizontal="right" vertical="center" wrapText="1"/>
    </xf>
    <xf numFmtId="4" fontId="6" fillId="2" borderId="12" xfId="12" applyNumberFormat="1" applyFont="1" applyFill="1" applyBorder="1" applyAlignment="1">
      <alignment horizontal="right" vertical="center" wrapText="1"/>
    </xf>
    <xf numFmtId="0" fontId="15" fillId="63" borderId="86" xfId="12" applyFont="1" applyFill="1" applyBorder="1" applyAlignment="1">
      <alignment horizontal="center" vertical="center" wrapText="1"/>
    </xf>
    <xf numFmtId="0" fontId="15" fillId="63" borderId="87" xfId="12" applyFont="1" applyFill="1" applyBorder="1" applyAlignment="1">
      <alignment horizontal="center" vertical="center" wrapText="1"/>
    </xf>
    <xf numFmtId="0" fontId="15" fillId="63" borderId="49" xfId="12" applyFont="1" applyFill="1" applyBorder="1" applyAlignment="1">
      <alignment horizontal="center" vertical="center" wrapText="1"/>
    </xf>
    <xf numFmtId="0" fontId="6" fillId="63" borderId="82" xfId="12" applyFont="1" applyFill="1" applyBorder="1" applyAlignment="1">
      <alignment horizontal="center" vertical="center" wrapText="1"/>
    </xf>
    <xf numFmtId="0" fontId="6" fillId="63" borderId="57" xfId="12" applyFont="1" applyFill="1" applyBorder="1" applyAlignment="1">
      <alignment horizontal="center" vertical="center" wrapText="1"/>
    </xf>
    <xf numFmtId="0" fontId="15" fillId="66" borderId="59" xfId="12" applyFont="1" applyFill="1" applyBorder="1" applyAlignment="1">
      <alignment horizontal="center" vertical="center" wrapText="1"/>
    </xf>
    <xf numFmtId="0" fontId="15" fillId="66" borderId="60" xfId="12" applyFont="1" applyFill="1" applyBorder="1" applyAlignment="1">
      <alignment horizontal="center" vertical="center" wrapText="1"/>
    </xf>
    <xf numFmtId="0" fontId="15" fillId="66" borderId="61" xfId="12" applyFont="1" applyFill="1" applyBorder="1" applyAlignment="1">
      <alignment horizontal="center" vertical="center" wrapText="1"/>
    </xf>
    <xf numFmtId="0" fontId="6" fillId="2" borderId="53" xfId="12" applyFont="1" applyFill="1" applyBorder="1" applyAlignment="1">
      <alignment horizontal="right" vertical="center"/>
    </xf>
    <xf numFmtId="0" fontId="6" fillId="2" borderId="54" xfId="12" applyFont="1" applyFill="1" applyBorder="1" applyAlignment="1">
      <alignment horizontal="right" vertical="center"/>
    </xf>
    <xf numFmtId="0" fontId="6" fillId="2" borderId="88" xfId="12" applyFont="1" applyFill="1" applyBorder="1" applyAlignment="1">
      <alignment horizontal="right" vertical="center"/>
    </xf>
    <xf numFmtId="0" fontId="15" fillId="66" borderId="40" xfId="12" applyFont="1" applyFill="1" applyBorder="1" applyAlignment="1">
      <alignment horizontal="center" vertical="center" wrapText="1"/>
    </xf>
    <xf numFmtId="0" fontId="15" fillId="66" borderId="41" xfId="12" applyFont="1" applyFill="1" applyBorder="1" applyAlignment="1">
      <alignment horizontal="center" vertical="center" wrapText="1"/>
    </xf>
    <xf numFmtId="0" fontId="15" fillId="66" borderId="50" xfId="12" applyFont="1" applyFill="1" applyBorder="1" applyAlignment="1">
      <alignment horizontal="left" vertical="center" wrapText="1"/>
    </xf>
    <xf numFmtId="0" fontId="15" fillId="66" borderId="51" xfId="12" applyFont="1" applyFill="1" applyBorder="1" applyAlignment="1">
      <alignment horizontal="left" vertical="center" wrapText="1"/>
    </xf>
    <xf numFmtId="0" fontId="15" fillId="66" borderId="62" xfId="12" applyFont="1" applyFill="1" applyBorder="1" applyAlignment="1">
      <alignment horizontal="left" vertical="center" wrapText="1"/>
    </xf>
    <xf numFmtId="0" fontId="13" fillId="2" borderId="63" xfId="12" applyFont="1" applyFill="1" applyBorder="1" applyAlignment="1">
      <alignment horizontal="center" vertical="center" wrapText="1"/>
    </xf>
    <xf numFmtId="0" fontId="13" fillId="2" borderId="85" xfId="12" applyFont="1" applyFill="1" applyBorder="1" applyAlignment="1">
      <alignment horizontal="center" vertical="center" wrapText="1"/>
    </xf>
    <xf numFmtId="0" fontId="15" fillId="66" borderId="47" xfId="12" applyFont="1" applyFill="1" applyBorder="1" applyAlignment="1">
      <alignment horizontal="left" vertical="center" wrapText="1"/>
    </xf>
    <xf numFmtId="0" fontId="15" fillId="66" borderId="48" xfId="12" applyFont="1" applyFill="1" applyBorder="1" applyAlignment="1">
      <alignment horizontal="left" vertical="center" wrapText="1"/>
    </xf>
    <xf numFmtId="0" fontId="15" fillId="66" borderId="89" xfId="12" applyFont="1" applyFill="1" applyBorder="1" applyAlignment="1">
      <alignment horizontal="left" vertical="center" wrapText="1"/>
    </xf>
    <xf numFmtId="179" fontId="25" fillId="41" borderId="41" xfId="7" applyNumberFormat="1" applyFont="1" applyFill="1" applyBorder="1" applyAlignment="1">
      <alignment horizontal="center" vertical="center" wrapText="1"/>
    </xf>
    <xf numFmtId="0" fontId="15" fillId="66" borderId="86" xfId="12" applyFont="1" applyFill="1" applyBorder="1" applyAlignment="1">
      <alignment horizontal="center" vertical="center" wrapText="1"/>
    </xf>
    <xf numFmtId="0" fontId="15" fillId="66" borderId="87" xfId="12" applyFont="1" applyFill="1" applyBorder="1" applyAlignment="1">
      <alignment horizontal="center" vertical="center" wrapText="1"/>
    </xf>
    <xf numFmtId="0" fontId="15" fillId="66" borderId="49" xfId="12" applyFont="1" applyFill="1" applyBorder="1" applyAlignment="1">
      <alignment horizontal="center" vertical="center" wrapText="1"/>
    </xf>
    <xf numFmtId="0" fontId="13" fillId="2" borderId="29" xfId="12" applyFont="1" applyFill="1" applyBorder="1" applyAlignment="1">
      <alignment horizontal="center" vertical="center" wrapText="1"/>
    </xf>
    <xf numFmtId="0" fontId="13" fillId="2" borderId="84" xfId="12" applyFont="1" applyFill="1" applyBorder="1" applyAlignment="1">
      <alignment horizontal="center" vertical="center" wrapText="1"/>
    </xf>
    <xf numFmtId="0" fontId="15" fillId="66" borderId="82" xfId="12" applyFont="1" applyFill="1" applyBorder="1" applyAlignment="1">
      <alignment horizontal="center" vertical="center" textRotation="90" wrapText="1"/>
    </xf>
    <xf numFmtId="0" fontId="15" fillId="66" borderId="83" xfId="12" applyFont="1" applyFill="1" applyBorder="1" applyAlignment="1">
      <alignment horizontal="center" vertical="center" textRotation="90" wrapText="1"/>
    </xf>
    <xf numFmtId="0" fontId="15" fillId="66" borderId="57" xfId="12" applyFont="1" applyFill="1" applyBorder="1" applyAlignment="1">
      <alignment horizontal="center" vertical="center" wrapText="1"/>
    </xf>
    <xf numFmtId="0" fontId="15" fillId="66" borderId="12" xfId="12" applyFont="1" applyFill="1" applyBorder="1" applyAlignment="1">
      <alignment horizontal="center" vertical="center" wrapText="1"/>
    </xf>
    <xf numFmtId="0" fontId="15" fillId="66" borderId="57" xfId="12" applyFont="1" applyFill="1" applyBorder="1" applyAlignment="1">
      <alignment horizontal="center" vertical="center"/>
    </xf>
    <xf numFmtId="0" fontId="15" fillId="66" borderId="12" xfId="12" applyFont="1" applyFill="1" applyBorder="1" applyAlignment="1">
      <alignment horizontal="center" vertical="center"/>
    </xf>
    <xf numFmtId="0" fontId="6" fillId="0" borderId="0" xfId="12" applyFont="1" applyAlignment="1">
      <alignment horizontal="center" vertical="center" wrapText="1"/>
    </xf>
    <xf numFmtId="1" fontId="79" fillId="0" borderId="0" xfId="12" applyNumberFormat="1" applyFont="1" applyAlignment="1">
      <alignment horizontal="center" vertical="center" wrapText="1"/>
    </xf>
    <xf numFmtId="0" fontId="7" fillId="66" borderId="71" xfId="0" applyFont="1" applyFill="1" applyBorder="1" applyAlignment="1" applyProtection="1">
      <alignment horizontal="center" vertical="center" wrapText="1"/>
      <protection hidden="1"/>
    </xf>
    <xf numFmtId="0" fontId="7" fillId="66" borderId="85" xfId="0" applyFont="1" applyFill="1" applyBorder="1" applyAlignment="1" applyProtection="1">
      <alignment horizontal="center" vertical="center" wrapText="1"/>
      <protection hidden="1"/>
    </xf>
    <xf numFmtId="0" fontId="7" fillId="66" borderId="65" xfId="0" applyFont="1" applyFill="1" applyBorder="1" applyAlignment="1" applyProtection="1">
      <alignment horizontal="center" vertical="center" wrapText="1"/>
      <protection hidden="1"/>
    </xf>
    <xf numFmtId="0" fontId="7" fillId="66" borderId="75" xfId="0" applyFont="1" applyFill="1" applyBorder="1" applyAlignment="1" applyProtection="1">
      <alignment horizontal="center" vertical="center" wrapText="1"/>
      <protection hidden="1"/>
    </xf>
    <xf numFmtId="0" fontId="7" fillId="66" borderId="93" xfId="0" applyFont="1" applyFill="1" applyBorder="1" applyAlignment="1" applyProtection="1">
      <alignment horizontal="center" vertical="center" wrapText="1"/>
      <protection hidden="1"/>
    </xf>
    <xf numFmtId="0" fontId="7" fillId="66" borderId="94" xfId="0" applyFont="1" applyFill="1" applyBorder="1" applyAlignment="1" applyProtection="1">
      <alignment horizontal="center" vertical="center" wrapText="1"/>
      <protection hidden="1"/>
    </xf>
    <xf numFmtId="175" fontId="10" fillId="0" borderId="0" xfId="0" applyNumberFormat="1" applyFont="1" applyProtection="1">
      <protection hidden="1"/>
    </xf>
    <xf numFmtId="0" fontId="21" fillId="0" borderId="0" xfId="0" applyFont="1" applyAlignment="1" applyProtection="1">
      <alignment horizontal="center" vertical="center"/>
      <protection hidden="1"/>
    </xf>
    <xf numFmtId="0" fontId="10" fillId="0" borderId="0" xfId="0" applyFont="1" applyAlignment="1" applyProtection="1">
      <alignment horizontal="center" vertical="center" textRotation="90"/>
      <protection hidden="1"/>
    </xf>
    <xf numFmtId="0" fontId="15" fillId="63" borderId="13" xfId="0" applyFont="1" applyFill="1" applyBorder="1" applyAlignment="1" applyProtection="1">
      <alignment horizontal="center" vertical="center"/>
      <protection hidden="1"/>
    </xf>
    <xf numFmtId="0" fontId="15" fillId="63" borderId="95" xfId="0" applyFont="1" applyFill="1" applyBorder="1" applyAlignment="1" applyProtection="1">
      <alignment horizontal="center" vertical="center"/>
      <protection hidden="1"/>
    </xf>
    <xf numFmtId="0" fontId="15" fillId="63" borderId="70" xfId="0" applyFont="1" applyFill="1" applyBorder="1" applyAlignment="1" applyProtection="1">
      <alignment horizontal="center" vertical="center"/>
      <protection hidden="1"/>
    </xf>
    <xf numFmtId="0" fontId="15" fillId="63" borderId="5" xfId="0" applyFont="1" applyFill="1" applyBorder="1" applyAlignment="1" applyProtection="1">
      <alignment horizontal="center" vertical="center"/>
      <protection hidden="1"/>
    </xf>
    <xf numFmtId="173" fontId="57" fillId="63" borderId="67" xfId="0" applyNumberFormat="1" applyFont="1" applyFill="1" applyBorder="1" applyAlignment="1" applyProtection="1">
      <alignment horizontal="center" vertical="center"/>
      <protection hidden="1"/>
    </xf>
    <xf numFmtId="173" fontId="57" fillId="63" borderId="57" xfId="0" applyNumberFormat="1" applyFont="1" applyFill="1" applyBorder="1" applyAlignment="1" applyProtection="1">
      <alignment horizontal="center" vertical="center"/>
      <protection hidden="1"/>
    </xf>
    <xf numFmtId="173" fontId="57" fillId="63" borderId="102" xfId="0" applyNumberFormat="1" applyFont="1" applyFill="1" applyBorder="1" applyAlignment="1" applyProtection="1">
      <alignment horizontal="center" vertical="center"/>
      <protection hidden="1"/>
    </xf>
    <xf numFmtId="173" fontId="57" fillId="63" borderId="6" xfId="0" applyNumberFormat="1" applyFont="1" applyFill="1" applyBorder="1" applyAlignment="1" applyProtection="1">
      <alignment horizontal="center" vertical="center"/>
      <protection hidden="1"/>
    </xf>
    <xf numFmtId="0" fontId="7" fillId="66" borderId="71" xfId="12" applyFont="1" applyFill="1" applyBorder="1" applyAlignment="1">
      <alignment horizontal="center" vertical="center" wrapText="1"/>
    </xf>
    <xf numFmtId="0" fontId="7" fillId="66" borderId="85" xfId="12" applyFont="1" applyFill="1" applyBorder="1" applyAlignment="1">
      <alignment horizontal="center" vertical="center" wrapText="1"/>
    </xf>
    <xf numFmtId="0" fontId="8" fillId="3" borderId="24" xfId="0" applyFont="1" applyFill="1" applyBorder="1" applyAlignment="1" applyProtection="1">
      <alignment horizontal="center" vertical="center" wrapText="1"/>
      <protection hidden="1"/>
    </xf>
    <xf numFmtId="0" fontId="8" fillId="3" borderId="9" xfId="0" applyFont="1" applyFill="1" applyBorder="1" applyAlignment="1" applyProtection="1">
      <alignment horizontal="center" vertical="center" wrapText="1"/>
      <protection hidden="1"/>
    </xf>
    <xf numFmtId="0" fontId="8" fillId="3" borderId="91" xfId="0" applyFont="1" applyFill="1" applyBorder="1" applyAlignment="1" applyProtection="1">
      <alignment horizontal="center" vertical="center" wrapText="1"/>
      <protection hidden="1"/>
    </xf>
    <xf numFmtId="0" fontId="7" fillId="66" borderId="74" xfId="0" applyFont="1" applyFill="1" applyBorder="1" applyAlignment="1" applyProtection="1">
      <alignment horizontal="center" vertical="center" wrapText="1"/>
      <protection hidden="1"/>
    </xf>
    <xf numFmtId="0" fontId="7" fillId="66" borderId="92" xfId="0" applyFont="1" applyFill="1" applyBorder="1" applyAlignment="1" applyProtection="1">
      <alignment horizontal="center" vertical="center" wrapText="1"/>
      <protection hidden="1"/>
    </xf>
    <xf numFmtId="0" fontId="7" fillId="66" borderId="70" xfId="0" applyFont="1" applyFill="1" applyBorder="1" applyAlignment="1" applyProtection="1">
      <alignment horizontal="center" vertical="center" wrapText="1"/>
      <protection locked="0"/>
    </xf>
    <xf numFmtId="0" fontId="7" fillId="66" borderId="109" xfId="0" applyFont="1" applyFill="1" applyBorder="1" applyAlignment="1" applyProtection="1">
      <alignment horizontal="center" vertical="center" wrapText="1"/>
      <protection locked="0"/>
    </xf>
    <xf numFmtId="0" fontId="7" fillId="66" borderId="28" xfId="0" applyFont="1" applyFill="1" applyBorder="1" applyAlignment="1" applyProtection="1">
      <alignment horizontal="center" vertical="center" wrapText="1"/>
      <protection locked="0"/>
    </xf>
    <xf numFmtId="0" fontId="6" fillId="2" borderId="40" xfId="12" applyFont="1" applyFill="1" applyBorder="1" applyAlignment="1">
      <alignment horizontal="left" vertical="center" wrapText="1"/>
    </xf>
    <xf numFmtId="0" fontId="6" fillId="2" borderId="41" xfId="12" applyFont="1" applyFill="1" applyBorder="1" applyAlignment="1">
      <alignment horizontal="left" vertical="center" wrapText="1"/>
    </xf>
    <xf numFmtId="0" fontId="6" fillId="2" borderId="68" xfId="12" applyFont="1" applyFill="1" applyBorder="1" applyAlignment="1">
      <alignment horizontal="left" vertical="center" wrapText="1"/>
    </xf>
    <xf numFmtId="0" fontId="3" fillId="51" borderId="0" xfId="12" applyFill="1" applyAlignment="1">
      <alignment horizontal="center" vertical="center" wrapText="1"/>
    </xf>
    <xf numFmtId="0" fontId="3" fillId="2" borderId="0" xfId="12" applyFill="1" applyAlignment="1">
      <alignment horizontal="left" wrapText="1"/>
    </xf>
    <xf numFmtId="0" fontId="15" fillId="63" borderId="128" xfId="12" applyFont="1" applyFill="1" applyBorder="1" applyAlignment="1">
      <alignment horizontal="center" vertical="center" wrapText="1"/>
    </xf>
    <xf numFmtId="0" fontId="15" fillId="63" borderId="135" xfId="12" applyFont="1" applyFill="1" applyBorder="1" applyAlignment="1">
      <alignment horizontal="center" vertical="center" wrapText="1"/>
    </xf>
    <xf numFmtId="0" fontId="15" fillId="63" borderId="125" xfId="12" applyFont="1" applyFill="1" applyBorder="1" applyAlignment="1">
      <alignment horizontal="center" vertical="center" wrapText="1"/>
    </xf>
    <xf numFmtId="0" fontId="15" fillId="63" borderId="129" xfId="12" applyFont="1" applyFill="1" applyBorder="1" applyAlignment="1">
      <alignment horizontal="center" vertical="center"/>
    </xf>
    <xf numFmtId="0" fontId="15" fillId="63" borderId="85" xfId="12" applyFont="1" applyFill="1" applyBorder="1" applyAlignment="1">
      <alignment horizontal="center" vertical="center"/>
    </xf>
    <xf numFmtId="0" fontId="15" fillId="63" borderId="36" xfId="12" applyFont="1" applyFill="1" applyBorder="1" applyAlignment="1">
      <alignment horizontal="center" vertical="center"/>
    </xf>
    <xf numFmtId="0" fontId="15" fillId="63" borderId="130" xfId="12" applyFont="1" applyFill="1" applyBorder="1" applyAlignment="1">
      <alignment horizontal="center" vertical="center" wrapText="1"/>
    </xf>
    <xf numFmtId="0" fontId="15" fillId="63" borderId="136" xfId="12" applyFont="1" applyFill="1" applyBorder="1" applyAlignment="1">
      <alignment horizontal="center" vertical="center" wrapText="1"/>
    </xf>
    <xf numFmtId="167" fontId="62" fillId="63" borderId="121" xfId="175" applyNumberFormat="1" applyFont="1" applyFill="1" applyBorder="1" applyAlignment="1">
      <alignment horizontal="center" vertical="center" wrapText="1"/>
    </xf>
    <xf numFmtId="167" fontId="62" fillId="63" borderId="108" xfId="175" applyNumberFormat="1" applyFont="1" applyFill="1" applyBorder="1" applyAlignment="1">
      <alignment horizontal="center" vertical="center" wrapText="1"/>
    </xf>
    <xf numFmtId="0" fontId="6" fillId="52" borderId="0" xfId="0" applyFont="1" applyFill="1" applyAlignment="1">
      <alignment horizontal="center" vertical="center"/>
    </xf>
  </cellXfs>
  <cellStyles count="232">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2-decimales" xfId="27" xr:uid="{00000000-0005-0000-0000-000006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54" xr:uid="{00000000-0005-0000-0000-000021000000}"/>
    <cellStyle name="Comma0" xfId="55" xr:uid="{00000000-0005-0000-0000-000022000000}"/>
    <cellStyle name="Comma0 - Modelo5" xfId="56" xr:uid="{00000000-0005-0000-0000-000023000000}"/>
    <cellStyle name="Comma1 - Modelo1" xfId="57" xr:uid="{00000000-0005-0000-0000-000024000000}"/>
    <cellStyle name="Curren - Modelo2" xfId="58" xr:uid="{00000000-0005-0000-0000-000025000000}"/>
    <cellStyle name="Currency" xfId="59" xr:uid="{00000000-0005-0000-0000-000026000000}"/>
    <cellStyle name="Currency0" xfId="60" xr:uid="{00000000-0005-0000-0000-000027000000}"/>
    <cellStyle name="Date" xfId="61" xr:uid="{00000000-0005-0000-0000-000028000000}"/>
    <cellStyle name="Énfasis 1" xfId="62" xr:uid="{00000000-0005-0000-0000-000029000000}"/>
    <cellStyle name="Énfasis 2" xfId="63" xr:uid="{00000000-0005-0000-0000-00002A000000}"/>
    <cellStyle name="Énfasis 3" xfId="64" xr:uid="{00000000-0005-0000-0000-00002B000000}"/>
    <cellStyle name="Énfasis1 - 20%" xfId="65" xr:uid="{00000000-0005-0000-0000-00002C000000}"/>
    <cellStyle name="Énfasis1 - 40%" xfId="66" xr:uid="{00000000-0005-0000-0000-00002D000000}"/>
    <cellStyle name="Énfasis1 - 60%" xfId="67" xr:uid="{00000000-0005-0000-0000-00002E000000}"/>
    <cellStyle name="Énfasis2 - 20%" xfId="68" xr:uid="{00000000-0005-0000-0000-00002F000000}"/>
    <cellStyle name="Énfasis2 - 40%" xfId="69" xr:uid="{00000000-0005-0000-0000-000030000000}"/>
    <cellStyle name="Énfasis2 - 60%" xfId="70" xr:uid="{00000000-0005-0000-0000-000031000000}"/>
    <cellStyle name="Énfasis3 - 20%" xfId="71" xr:uid="{00000000-0005-0000-0000-000032000000}"/>
    <cellStyle name="Énfasis3 - 40%" xfId="72" xr:uid="{00000000-0005-0000-0000-000033000000}"/>
    <cellStyle name="Énfasis3 - 60%" xfId="73" xr:uid="{00000000-0005-0000-0000-000034000000}"/>
    <cellStyle name="Énfasis4 - 20%" xfId="74" xr:uid="{00000000-0005-0000-0000-000035000000}"/>
    <cellStyle name="Énfasis4 - 40%" xfId="75" xr:uid="{00000000-0005-0000-0000-000036000000}"/>
    <cellStyle name="Énfasis4 - 60%" xfId="76" xr:uid="{00000000-0005-0000-0000-000037000000}"/>
    <cellStyle name="Énfasis5 - 20%" xfId="77" xr:uid="{00000000-0005-0000-0000-000038000000}"/>
    <cellStyle name="Énfasis5 - 40%" xfId="78" xr:uid="{00000000-0005-0000-0000-000039000000}"/>
    <cellStyle name="Énfasis5 - 60%" xfId="79" xr:uid="{00000000-0005-0000-0000-00003A000000}"/>
    <cellStyle name="Énfasis6 - 20%" xfId="80" xr:uid="{00000000-0005-0000-0000-00003B000000}"/>
    <cellStyle name="Énfasis6 - 40%" xfId="81" xr:uid="{00000000-0005-0000-0000-00003C000000}"/>
    <cellStyle name="Énfasis6 - 60%" xfId="82" xr:uid="{00000000-0005-0000-0000-00003D000000}"/>
    <cellStyle name="ENTERO" xfId="83" xr:uid="{00000000-0005-0000-0000-00003E000000}"/>
    <cellStyle name="Estilo 1" xfId="1" xr:uid="{00000000-0005-0000-0000-00003F000000}"/>
    <cellStyle name="Euro" xfId="2" xr:uid="{00000000-0005-0000-0000-000040000000}"/>
    <cellStyle name="Euro 2" xfId="84" xr:uid="{00000000-0005-0000-0000-000041000000}"/>
    <cellStyle name="Euro 3" xfId="212" xr:uid="{00000000-0005-0000-0000-000042000000}"/>
    <cellStyle name="Explanatory Text" xfId="85" xr:uid="{00000000-0005-0000-0000-000043000000}"/>
    <cellStyle name="F2" xfId="86" xr:uid="{00000000-0005-0000-0000-000044000000}"/>
    <cellStyle name="F3" xfId="87" xr:uid="{00000000-0005-0000-0000-000045000000}"/>
    <cellStyle name="F4" xfId="88" xr:uid="{00000000-0005-0000-0000-000046000000}"/>
    <cellStyle name="F5" xfId="89" xr:uid="{00000000-0005-0000-0000-000047000000}"/>
    <cellStyle name="F6" xfId="90" xr:uid="{00000000-0005-0000-0000-000048000000}"/>
    <cellStyle name="F7" xfId="91" xr:uid="{00000000-0005-0000-0000-000049000000}"/>
    <cellStyle name="F8" xfId="92" xr:uid="{00000000-0005-0000-0000-00004A000000}"/>
    <cellStyle name="Fixed" xfId="93" xr:uid="{00000000-0005-0000-0000-00004B000000}"/>
    <cellStyle name="Good" xfId="94" xr:uid="{00000000-0005-0000-0000-00004C000000}"/>
    <cellStyle name="GRADOSMINSEG" xfId="95" xr:uid="{00000000-0005-0000-0000-00004D000000}"/>
    <cellStyle name="Heading 1" xfId="96" xr:uid="{00000000-0005-0000-0000-00004E000000}"/>
    <cellStyle name="Heading 2" xfId="97" xr:uid="{00000000-0005-0000-0000-00004F000000}"/>
    <cellStyle name="Heading 3" xfId="98" xr:uid="{00000000-0005-0000-0000-000050000000}"/>
    <cellStyle name="Heading 4" xfId="99" xr:uid="{00000000-0005-0000-0000-000051000000}"/>
    <cellStyle name="Heading1" xfId="100" xr:uid="{00000000-0005-0000-0000-000052000000}"/>
    <cellStyle name="Heading2" xfId="101" xr:uid="{00000000-0005-0000-0000-000053000000}"/>
    <cellStyle name="Hipervínculo 2" xfId="102" xr:uid="{00000000-0005-0000-0000-000054000000}"/>
    <cellStyle name="Input" xfId="103" xr:uid="{00000000-0005-0000-0000-000055000000}"/>
    <cellStyle name="Linked Cell" xfId="104" xr:uid="{00000000-0005-0000-0000-000056000000}"/>
    <cellStyle name="MILE DE MILLONES" xfId="105" xr:uid="{00000000-0005-0000-0000-000057000000}"/>
    <cellStyle name="MILES" xfId="106" xr:uid="{00000000-0005-0000-0000-000058000000}"/>
    <cellStyle name="Millares" xfId="3" builtinId="3"/>
    <cellStyle name="Millares [0]" xfId="229" builtinId="6"/>
    <cellStyle name="Millares [0] 2" xfId="107" xr:uid="{00000000-0005-0000-0000-00005B000000}"/>
    <cellStyle name="Millares [0] 2 2" xfId="214" xr:uid="{00000000-0005-0000-0000-00005C000000}"/>
    <cellStyle name="Millares [0] 3" xfId="108" xr:uid="{00000000-0005-0000-0000-00005D000000}"/>
    <cellStyle name="Millares [0] 3 2" xfId="109" xr:uid="{00000000-0005-0000-0000-00005E000000}"/>
    <cellStyle name="Millares [0] 4" xfId="110" xr:uid="{00000000-0005-0000-0000-00005F000000}"/>
    <cellStyle name="Millares [0] 4 2" xfId="111" xr:uid="{00000000-0005-0000-0000-000060000000}"/>
    <cellStyle name="Millares [0] 5" xfId="112" xr:uid="{00000000-0005-0000-0000-000061000000}"/>
    <cellStyle name="Millares [0] 5 2" xfId="113" xr:uid="{00000000-0005-0000-0000-000062000000}"/>
    <cellStyle name="Millares 10" xfId="114" xr:uid="{00000000-0005-0000-0000-000063000000}"/>
    <cellStyle name="Millares 10 2" xfId="115" xr:uid="{00000000-0005-0000-0000-000064000000}"/>
    <cellStyle name="Millares 10 3" xfId="116" xr:uid="{00000000-0005-0000-0000-000065000000}"/>
    <cellStyle name="Millares 10 4" xfId="117" xr:uid="{00000000-0005-0000-0000-000066000000}"/>
    <cellStyle name="Millares 10 5" xfId="118" xr:uid="{00000000-0005-0000-0000-000067000000}"/>
    <cellStyle name="Millares 10 6" xfId="119" xr:uid="{00000000-0005-0000-0000-000068000000}"/>
    <cellStyle name="Millares 11" xfId="120" xr:uid="{00000000-0005-0000-0000-000069000000}"/>
    <cellStyle name="Millares 12" xfId="121" xr:uid="{00000000-0005-0000-0000-00006A000000}"/>
    <cellStyle name="Millares 13" xfId="122" xr:uid="{00000000-0005-0000-0000-00006B000000}"/>
    <cellStyle name="Millares 14" xfId="123" xr:uid="{00000000-0005-0000-0000-00006C000000}"/>
    <cellStyle name="Millares 15" xfId="124" xr:uid="{00000000-0005-0000-0000-00006D000000}"/>
    <cellStyle name="Millares 16" xfId="125" xr:uid="{00000000-0005-0000-0000-00006E000000}"/>
    <cellStyle name="Millares 17" xfId="126" xr:uid="{00000000-0005-0000-0000-00006F000000}"/>
    <cellStyle name="Millares 18" xfId="127" xr:uid="{00000000-0005-0000-0000-000070000000}"/>
    <cellStyle name="Millares 19" xfId="128" xr:uid="{00000000-0005-0000-0000-000071000000}"/>
    <cellStyle name="Millares 2" xfId="4" xr:uid="{00000000-0005-0000-0000-000072000000}"/>
    <cellStyle name="Millares 2 2" xfId="129" xr:uid="{00000000-0005-0000-0000-000073000000}"/>
    <cellStyle name="Millares 2 2 2" xfId="217" xr:uid="{00000000-0005-0000-0000-000074000000}"/>
    <cellStyle name="Millares 2 3" xfId="130" xr:uid="{00000000-0005-0000-0000-000075000000}"/>
    <cellStyle name="Millares 2 4" xfId="19" xr:uid="{00000000-0005-0000-0000-000076000000}"/>
    <cellStyle name="Millares 2 5" xfId="216" xr:uid="{00000000-0005-0000-0000-000077000000}"/>
    <cellStyle name="Millares 20" xfId="131" xr:uid="{00000000-0005-0000-0000-000078000000}"/>
    <cellStyle name="Millares 21" xfId="132" xr:uid="{00000000-0005-0000-0000-000079000000}"/>
    <cellStyle name="Millares 22" xfId="133" xr:uid="{00000000-0005-0000-0000-00007A000000}"/>
    <cellStyle name="Millares 23" xfId="134" xr:uid="{00000000-0005-0000-0000-00007B000000}"/>
    <cellStyle name="Millares 24" xfId="135" xr:uid="{00000000-0005-0000-0000-00007C000000}"/>
    <cellStyle name="Millares 25" xfId="136" xr:uid="{00000000-0005-0000-0000-00007D000000}"/>
    <cellStyle name="Millares 26" xfId="137" xr:uid="{00000000-0005-0000-0000-00007E000000}"/>
    <cellStyle name="Millares 27" xfId="138" xr:uid="{00000000-0005-0000-0000-00007F000000}"/>
    <cellStyle name="Millares 28" xfId="139" xr:uid="{00000000-0005-0000-0000-000080000000}"/>
    <cellStyle name="Millares 29" xfId="140" xr:uid="{00000000-0005-0000-0000-000081000000}"/>
    <cellStyle name="Millares 3" xfId="5" xr:uid="{00000000-0005-0000-0000-000082000000}"/>
    <cellStyle name="Millares 3 2" xfId="142" xr:uid="{00000000-0005-0000-0000-000083000000}"/>
    <cellStyle name="Millares 3 3" xfId="143" xr:uid="{00000000-0005-0000-0000-000084000000}"/>
    <cellStyle name="Millares 3 4" xfId="141" xr:uid="{00000000-0005-0000-0000-000085000000}"/>
    <cellStyle name="Millares 3_6._Presupuesto General Señalización" xfId="144" xr:uid="{00000000-0005-0000-0000-000086000000}"/>
    <cellStyle name="Millares 30" xfId="145" xr:uid="{00000000-0005-0000-0000-000087000000}"/>
    <cellStyle name="Millares 31" xfId="146" xr:uid="{00000000-0005-0000-0000-000088000000}"/>
    <cellStyle name="Millares 32" xfId="147" xr:uid="{00000000-0005-0000-0000-000089000000}"/>
    <cellStyle name="Millares 33" xfId="148" xr:uid="{00000000-0005-0000-0000-00008A000000}"/>
    <cellStyle name="Millares 34" xfId="149" xr:uid="{00000000-0005-0000-0000-00008B000000}"/>
    <cellStyle name="Millares 35" xfId="150" xr:uid="{00000000-0005-0000-0000-00008C000000}"/>
    <cellStyle name="Millares 36" xfId="16" xr:uid="{00000000-0005-0000-0000-00008D000000}"/>
    <cellStyle name="Millares 37" xfId="184" xr:uid="{00000000-0005-0000-0000-00008E000000}"/>
    <cellStyle name="Millares 38" xfId="223" xr:uid="{00000000-0005-0000-0000-00008F000000}"/>
    <cellStyle name="Millares 39" xfId="213" xr:uid="{00000000-0005-0000-0000-000090000000}"/>
    <cellStyle name="Millares 4" xfId="151" xr:uid="{00000000-0005-0000-0000-000091000000}"/>
    <cellStyle name="Millares 4 2" xfId="152" xr:uid="{00000000-0005-0000-0000-000092000000}"/>
    <cellStyle name="Millares 40" xfId="215" xr:uid="{00000000-0005-0000-0000-000093000000}"/>
    <cellStyle name="Millares 5" xfId="153" xr:uid="{00000000-0005-0000-0000-000094000000}"/>
    <cellStyle name="Millares 5 2" xfId="154" xr:uid="{00000000-0005-0000-0000-000095000000}"/>
    <cellStyle name="Millares 6" xfId="155" xr:uid="{00000000-0005-0000-0000-000096000000}"/>
    <cellStyle name="Millares 6 2" xfId="156" xr:uid="{00000000-0005-0000-0000-000097000000}"/>
    <cellStyle name="Millares 7" xfId="157" xr:uid="{00000000-0005-0000-0000-000098000000}"/>
    <cellStyle name="Millares 7 2" xfId="218" xr:uid="{00000000-0005-0000-0000-000099000000}"/>
    <cellStyle name="Millares 8" xfId="158" xr:uid="{00000000-0005-0000-0000-00009A000000}"/>
    <cellStyle name="Millares 8 2" xfId="159" xr:uid="{00000000-0005-0000-0000-00009B000000}"/>
    <cellStyle name="Millares 8 3" xfId="160" xr:uid="{00000000-0005-0000-0000-00009C000000}"/>
    <cellStyle name="Millares 8 4" xfId="161" xr:uid="{00000000-0005-0000-0000-00009D000000}"/>
    <cellStyle name="Millares 8 5" xfId="162" xr:uid="{00000000-0005-0000-0000-00009E000000}"/>
    <cellStyle name="Millares 8 6" xfId="163" xr:uid="{00000000-0005-0000-0000-00009F000000}"/>
    <cellStyle name="Millares 8 7" xfId="164" xr:uid="{00000000-0005-0000-0000-0000A0000000}"/>
    <cellStyle name="Millares 9" xfId="165" xr:uid="{00000000-0005-0000-0000-0000A1000000}"/>
    <cellStyle name="Millares_PtosLicitacionesSRTaño03" xfId="6" xr:uid="{00000000-0005-0000-0000-0000A2000000}"/>
    <cellStyle name="MILLONES" xfId="166" xr:uid="{00000000-0005-0000-0000-0000A3000000}"/>
    <cellStyle name="Moneda" xfId="7" builtinId="4"/>
    <cellStyle name="Moneda [0] 2" xfId="230" xr:uid="{00000000-0005-0000-0000-0000A5000000}"/>
    <cellStyle name="Moneda [00]" xfId="167" xr:uid="{00000000-0005-0000-0000-0000A6000000}"/>
    <cellStyle name="Moneda [2]" xfId="168" xr:uid="{00000000-0005-0000-0000-0000A7000000}"/>
    <cellStyle name="Moneda 12" xfId="169" xr:uid="{00000000-0005-0000-0000-0000A8000000}"/>
    <cellStyle name="Moneda 2" xfId="8" xr:uid="{00000000-0005-0000-0000-0000A9000000}"/>
    <cellStyle name="Moneda 2 2" xfId="170" xr:uid="{00000000-0005-0000-0000-0000AA000000}"/>
    <cellStyle name="Moneda 2 3" xfId="225" xr:uid="{00000000-0005-0000-0000-0000AB000000}"/>
    <cellStyle name="Moneda 3" xfId="171" xr:uid="{00000000-0005-0000-0000-0000AC000000}"/>
    <cellStyle name="Moneda 3 2" xfId="172" xr:uid="{00000000-0005-0000-0000-0000AD000000}"/>
    <cellStyle name="Moneda 3 3" xfId="220" xr:uid="{00000000-0005-0000-0000-0000AE000000}"/>
    <cellStyle name="Moneda 4" xfId="173" xr:uid="{00000000-0005-0000-0000-0000AF000000}"/>
    <cellStyle name="Moneda 5" xfId="17" xr:uid="{00000000-0005-0000-0000-0000B0000000}"/>
    <cellStyle name="Moneda 6" xfId="182" xr:uid="{00000000-0005-0000-0000-0000B1000000}"/>
    <cellStyle name="Moneda 7" xfId="222" xr:uid="{00000000-0005-0000-0000-0000B2000000}"/>
    <cellStyle name="Moneda 8" xfId="219" xr:uid="{00000000-0005-0000-0000-0000B3000000}"/>
    <cellStyle name="Moneda 9" xfId="211" xr:uid="{00000000-0005-0000-0000-0000B4000000}"/>
    <cellStyle name="Moneda_PtosLicitacionesSRTaño03" xfId="9" xr:uid="{00000000-0005-0000-0000-0000B5000000}"/>
    <cellStyle name="No. punto" xfId="174" xr:uid="{00000000-0005-0000-0000-0000B6000000}"/>
    <cellStyle name="Normal" xfId="0" builtinId="0"/>
    <cellStyle name="Normal 10" xfId="227" xr:uid="{00000000-0005-0000-0000-0000B8000000}"/>
    <cellStyle name="Normal 2" xfId="10" xr:uid="{00000000-0005-0000-0000-0000B9000000}"/>
    <cellStyle name="Normal 2 10" xfId="175" xr:uid="{00000000-0005-0000-0000-0000BA000000}"/>
    <cellStyle name="Normal 2 10 2" xfId="176" xr:uid="{00000000-0005-0000-0000-0000BB000000}"/>
    <cellStyle name="Normal 2 10 3" xfId="177" xr:uid="{00000000-0005-0000-0000-0000BC000000}"/>
    <cellStyle name="Normal 2 2" xfId="11" xr:uid="{00000000-0005-0000-0000-0000BD000000}"/>
    <cellStyle name="Normal 2 2 2" xfId="178" xr:uid="{00000000-0005-0000-0000-0000BE000000}"/>
    <cellStyle name="Normal 2 3" xfId="179" xr:uid="{00000000-0005-0000-0000-0000BF000000}"/>
    <cellStyle name="Normal 2 4" xfId="180" xr:uid="{00000000-0005-0000-0000-0000C0000000}"/>
    <cellStyle name="Normal 2_INFORME CTO. 52-2009 CONSORCIO H.L." xfId="181" xr:uid="{00000000-0005-0000-0000-0000C1000000}"/>
    <cellStyle name="Normal 3" xfId="12" xr:uid="{00000000-0005-0000-0000-0000C2000000}"/>
    <cellStyle name="Normal 3 2" xfId="183" xr:uid="{00000000-0005-0000-0000-0000C3000000}"/>
    <cellStyle name="Normal 4" xfId="13" xr:uid="{00000000-0005-0000-0000-0000C4000000}"/>
    <cellStyle name="Normal 4 10" xfId="231" xr:uid="{00000000-0005-0000-0000-0000C5000000}"/>
    <cellStyle name="Normal 4 2" xfId="221" xr:uid="{00000000-0005-0000-0000-0000C6000000}"/>
    <cellStyle name="Normal 5" xfId="185" xr:uid="{00000000-0005-0000-0000-0000C7000000}"/>
    <cellStyle name="Normal 5 2" xfId="186" xr:uid="{00000000-0005-0000-0000-0000C8000000}"/>
    <cellStyle name="Normal 5 3" xfId="187" xr:uid="{00000000-0005-0000-0000-0000C9000000}"/>
    <cellStyle name="Normal 6" xfId="15" xr:uid="{00000000-0005-0000-0000-0000CA000000}"/>
    <cellStyle name="Normal 7" xfId="20" xr:uid="{00000000-0005-0000-0000-0000CB000000}"/>
    <cellStyle name="Normal 8" xfId="224" xr:uid="{00000000-0005-0000-0000-0000CC000000}"/>
    <cellStyle name="Normal 9" xfId="226" xr:uid="{00000000-0005-0000-0000-0000CD000000}"/>
    <cellStyle name="Note" xfId="188" xr:uid="{00000000-0005-0000-0000-0000CE000000}"/>
    <cellStyle name="Output" xfId="189" xr:uid="{00000000-0005-0000-0000-0000CF000000}"/>
    <cellStyle name="Percen - Modelo3" xfId="190" xr:uid="{00000000-0005-0000-0000-0000D0000000}"/>
    <cellStyle name="Percent" xfId="191" xr:uid="{00000000-0005-0000-0000-0000D1000000}"/>
    <cellStyle name="Porcentaje" xfId="228" builtinId="5"/>
    <cellStyle name="Porcentaje 2" xfId="192" xr:uid="{00000000-0005-0000-0000-0000D3000000}"/>
    <cellStyle name="Porcentaje 3" xfId="18" xr:uid="{00000000-0005-0000-0000-0000D4000000}"/>
    <cellStyle name="Porcentual 2" xfId="14" xr:uid="{00000000-0005-0000-0000-0000D5000000}"/>
    <cellStyle name="Porcentual 2 2" xfId="193" xr:uid="{00000000-0005-0000-0000-0000D6000000}"/>
    <cellStyle name="Porcentual 2 2 2" xfId="194" xr:uid="{00000000-0005-0000-0000-0000D7000000}"/>
    <cellStyle name="Porcentual 2 3" xfId="195" xr:uid="{00000000-0005-0000-0000-0000D8000000}"/>
    <cellStyle name="Porcentual 2 4" xfId="196" xr:uid="{00000000-0005-0000-0000-0000D9000000}"/>
    <cellStyle name="Porcentual 2 5" xfId="197" xr:uid="{00000000-0005-0000-0000-0000DA000000}"/>
    <cellStyle name="Porcentual 2 6" xfId="198" xr:uid="{00000000-0005-0000-0000-0000DB000000}"/>
    <cellStyle name="Porcentual 3" xfId="199" xr:uid="{00000000-0005-0000-0000-0000DC000000}"/>
    <cellStyle name="Porcentual 3 2" xfId="200" xr:uid="{00000000-0005-0000-0000-0000DD000000}"/>
    <cellStyle name="Porcentual 4" xfId="201" xr:uid="{00000000-0005-0000-0000-0000DE000000}"/>
    <cellStyle name="Porcentual 4 2" xfId="202" xr:uid="{00000000-0005-0000-0000-0000DF000000}"/>
    <cellStyle name="Porcentual 5" xfId="203" xr:uid="{00000000-0005-0000-0000-0000E0000000}"/>
    <cellStyle name="Porcentual 5 2" xfId="204" xr:uid="{00000000-0005-0000-0000-0000E1000000}"/>
    <cellStyle name="Porcentual 6" xfId="205" xr:uid="{00000000-0005-0000-0000-0000E2000000}"/>
    <cellStyle name="Porcentual 7" xfId="206" xr:uid="{00000000-0005-0000-0000-0000E3000000}"/>
    <cellStyle name="Title" xfId="207" xr:uid="{00000000-0005-0000-0000-0000E4000000}"/>
    <cellStyle name="TITULO" xfId="208" xr:uid="{00000000-0005-0000-0000-0000E5000000}"/>
    <cellStyle name="Título de hoja" xfId="209" xr:uid="{00000000-0005-0000-0000-0000E6000000}"/>
    <cellStyle name="Warning Text" xfId="210" xr:uid="{00000000-0005-0000-0000-0000E7000000}"/>
  </cellStyles>
  <dxfs count="728">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0DCC8"/>
        </patternFill>
      </fill>
    </dxf>
    <dxf>
      <font>
        <color rgb="FF9C0006"/>
      </font>
      <fill>
        <patternFill>
          <bgColor rgb="FFFFC7CE"/>
        </patternFill>
      </fill>
    </dxf>
    <dxf>
      <font>
        <color rgb="FF9C0006"/>
      </font>
      <fill>
        <patternFill>
          <bgColor rgb="FFFFC7CE"/>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rgb="FFB7DEE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rgb="FFFFCCFF"/>
        </patternFill>
      </fill>
    </dxf>
    <dxf>
      <font>
        <b/>
        <i val="0"/>
      </font>
      <fill>
        <patternFill>
          <bgColor rgb="FFB7DEE8"/>
        </patternFill>
      </fill>
    </dxf>
    <dxf>
      <font>
        <b/>
        <i val="0"/>
        <color rgb="FF0000FF"/>
      </font>
      <fill>
        <patternFill>
          <bgColor rgb="FF00FF00"/>
        </patternFill>
      </fill>
    </dxf>
    <dxf>
      <font>
        <b/>
        <i val="0"/>
        <color rgb="FF0000FF"/>
      </font>
      <fill>
        <patternFill>
          <bgColor rgb="FFFF99FF"/>
        </patternFill>
      </fill>
    </dxf>
    <dxf>
      <font>
        <b/>
        <i val="0"/>
        <color theme="0"/>
      </font>
      <fill>
        <patternFill>
          <bgColor rgb="FF7030A0"/>
        </patternFill>
      </fill>
    </dxf>
    <dxf>
      <font>
        <b/>
        <i val="0"/>
        <color rgb="FF0000FF"/>
      </font>
      <fill>
        <patternFill>
          <bgColor rgb="FF00FFFF"/>
        </patternFill>
      </fill>
    </dxf>
    <dxf>
      <font>
        <b/>
        <i val="0"/>
      </font>
      <fill>
        <patternFill>
          <bgColor rgb="FFFFCCCC"/>
        </patternFill>
      </fill>
    </dxf>
    <dxf>
      <font>
        <b/>
        <i val="0"/>
      </font>
      <fill>
        <patternFill>
          <bgColor rgb="FFFF99CC"/>
        </patternFill>
      </fill>
    </dxf>
    <dxf>
      <font>
        <b/>
        <i val="0"/>
      </font>
      <fill>
        <patternFill>
          <bgColor rgb="FFB7DEE8"/>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rgb="FFFFFFFF"/>
      </font>
      <fill>
        <patternFill>
          <bgColor rgb="FFFF0000"/>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rgb="FFFFFFFF"/>
      </font>
      <fill>
        <patternFill>
          <bgColor rgb="FFFF0000"/>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rgb="FFFFFFFF"/>
      </font>
      <fill>
        <patternFill>
          <bgColor rgb="FFFF0000"/>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rgb="FFFFFFFF"/>
      </font>
      <fill>
        <patternFill>
          <bgColor rgb="FFFF0000"/>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rgb="FFFFFFFF"/>
      </font>
      <fill>
        <patternFill>
          <bgColor rgb="FFFF0000"/>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rgb="FFFFFFFF"/>
      </font>
      <fill>
        <patternFill>
          <bgColor rgb="FFFF0000"/>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rgb="FFFFFFFF"/>
      </font>
      <fill>
        <patternFill>
          <bgColor rgb="FFFF0000"/>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ndense val="0"/>
        <extend val="0"/>
        <color indexed="10"/>
      </font>
      <fill>
        <patternFill>
          <bgColor rgb="FFFFFFDC"/>
        </patternFill>
      </fill>
    </dxf>
    <dxf>
      <font>
        <b/>
        <i val="0"/>
        <color rgb="FFFFFFFF"/>
      </font>
      <fill>
        <patternFill>
          <bgColor rgb="FFFF0000"/>
        </patternFill>
      </fill>
    </dxf>
    <dxf>
      <font>
        <b/>
        <i val="0"/>
        <color rgb="FF0000FF"/>
      </font>
      <fill>
        <patternFill>
          <bgColor rgb="FFC8FFFF"/>
        </patternFill>
      </fill>
    </dxf>
    <dxf>
      <font>
        <b/>
        <i val="0"/>
        <color auto="1"/>
      </font>
      <fill>
        <patternFill>
          <bgColor rgb="FFCCFFFF"/>
        </patternFill>
      </fill>
    </dxf>
    <dxf>
      <font>
        <b/>
        <i val="0"/>
        <color theme="3" tint="-0.24994659260841701"/>
      </font>
      <fill>
        <patternFill>
          <bgColor rgb="FFDCFFFF"/>
        </patternFill>
      </fill>
    </dxf>
    <dxf>
      <fill>
        <patternFill>
          <bgColor theme="8" tint="-0.2499465926084170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dxf>
    <dxf>
      <font>
        <b/>
        <i val="0"/>
        <color rgb="FFFF0000"/>
      </font>
    </dxf>
    <dxf>
      <font>
        <b/>
        <i val="0"/>
        <color rgb="FF0000FF"/>
      </font>
    </dxf>
    <dxf>
      <font>
        <b/>
        <i val="0"/>
      </font>
      <fill>
        <patternFill>
          <bgColor rgb="FFFFC8C8"/>
        </patternFill>
      </fill>
    </dxf>
    <dxf>
      <font>
        <b/>
        <i val="0"/>
        <color rgb="FFFF0000"/>
      </font>
      <fill>
        <patternFill>
          <bgColor rgb="FFFF96CC"/>
        </patternFill>
      </fill>
    </dxf>
    <dxf>
      <font>
        <b/>
        <i val="0"/>
        <color rgb="FFFF0000"/>
      </font>
    </dxf>
    <dxf>
      <font>
        <b/>
        <i val="0"/>
        <color auto="1"/>
      </font>
      <fill>
        <patternFill>
          <bgColor rgb="FFB7DEE8"/>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78FFFF"/>
      <color rgb="FF31869B"/>
      <color rgb="FFB7DEE8"/>
      <color rgb="FF5A5AFA"/>
      <color rgb="FFF0DCC8"/>
      <color rgb="FFD28660"/>
      <color rgb="FFDCA184"/>
      <color rgb="FFC8FFFF"/>
      <color rgb="FFDCFFFF"/>
      <color rgb="FFFFFF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12</xdr:col>
      <xdr:colOff>320378</xdr:colOff>
      <xdr:row>10</xdr:row>
      <xdr:rowOff>251112</xdr:rowOff>
    </xdr:from>
    <xdr:to>
      <xdr:col>12</xdr:col>
      <xdr:colOff>969809</xdr:colOff>
      <xdr:row>12</xdr:row>
      <xdr:rowOff>24544</xdr:rowOff>
    </xdr:to>
    <xdr:sp macro="[0]!OCULTAR" textlink="">
      <xdr:nvSpPr>
        <xdr:cNvPr id="18" name="Elipse 17">
          <a:extLst>
            <a:ext uri="{FF2B5EF4-FFF2-40B4-BE49-F238E27FC236}">
              <a16:creationId xmlns:a16="http://schemas.microsoft.com/office/drawing/2014/main" id="{F91C545E-1FFF-4A5C-AD9C-8C8F48BF8098}"/>
            </a:ext>
          </a:extLst>
        </xdr:cNvPr>
        <xdr:cNvSpPr/>
      </xdr:nvSpPr>
      <xdr:spPr bwMode="auto">
        <a:xfrm>
          <a:off x="10953742" y="2346612"/>
          <a:ext cx="649431" cy="648000"/>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twoCellAnchor>
    <xdr:from>
      <xdr:col>0</xdr:col>
      <xdr:colOff>11760</xdr:colOff>
      <xdr:row>0</xdr:row>
      <xdr:rowOff>1</xdr:rowOff>
    </xdr:from>
    <xdr:to>
      <xdr:col>0</xdr:col>
      <xdr:colOff>155760</xdr:colOff>
      <xdr:row>0</xdr:row>
      <xdr:rowOff>216001</xdr:rowOff>
    </xdr:to>
    <xdr:sp macro="[0]!ELIMINAR_FILAS" textlink="">
      <xdr:nvSpPr>
        <xdr:cNvPr id="4" name="Rectángulo 3">
          <a:extLst>
            <a:ext uri="{FF2B5EF4-FFF2-40B4-BE49-F238E27FC236}">
              <a16:creationId xmlns:a16="http://schemas.microsoft.com/office/drawing/2014/main" id="{FB5BEB7F-D5C4-405D-A5A2-35EF4089D721}"/>
            </a:ext>
          </a:extLst>
        </xdr:cNvPr>
        <xdr:cNvSpPr/>
      </xdr:nvSpPr>
      <xdr:spPr bwMode="auto">
        <a:xfrm>
          <a:off x="11760" y="1"/>
          <a:ext cx="144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227533</xdr:colOff>
      <xdr:row>12</xdr:row>
      <xdr:rowOff>12276</xdr:rowOff>
    </xdr:from>
    <xdr:to>
      <xdr:col>5</xdr:col>
      <xdr:colOff>203412</xdr:colOff>
      <xdr:row>12</xdr:row>
      <xdr:rowOff>171026</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60866" y="2626359"/>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571500</xdr:colOff>
      <xdr:row>21</xdr:row>
      <xdr:rowOff>19815</xdr:rowOff>
    </xdr:from>
    <xdr:to>
      <xdr:col>6</xdr:col>
      <xdr:colOff>115160</xdr:colOff>
      <xdr:row>28</xdr:row>
      <xdr:rowOff>105038</xdr:rowOff>
    </xdr:to>
    <xdr:pic>
      <xdr:nvPicPr>
        <xdr:cNvPr id="2" name="Imagen 1">
          <a:extLst>
            <a:ext uri="{FF2B5EF4-FFF2-40B4-BE49-F238E27FC236}">
              <a16:creationId xmlns:a16="http://schemas.microsoft.com/office/drawing/2014/main" id="{C546B85A-906B-9E04-9FAF-77E9AC08436E}"/>
            </a:ext>
          </a:extLst>
        </xdr:cNvPr>
        <xdr:cNvPicPr>
          <a:picLocks noChangeAspect="1"/>
        </xdr:cNvPicPr>
      </xdr:nvPicPr>
      <xdr:blipFill>
        <a:blip xmlns:r="http://schemas.openxmlformats.org/officeDocument/2006/relationships" r:embed="rId1"/>
        <a:stretch>
          <a:fillRect/>
        </a:stretch>
      </xdr:blipFill>
      <xdr:spPr>
        <a:xfrm>
          <a:off x="3562350" y="3906015"/>
          <a:ext cx="3982310" cy="12186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hucho\Desktop\AYUDA%20A%20TECNICOS\ELIANA\&#8596;2MODULO%20No.1%20-LP-DT-061-20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B"/>
      <sheetName val="RESUMEN"/>
      <sheetName val="VR-PROP"/>
      <sheetName val="FORMULA"/>
      <sheetName val="ELEGIBILIDAD"/>
      <sheetName val="GUIA CCE - PAB"/>
      <sheetName val="Listas"/>
    </sheetNames>
    <sheetDataSet>
      <sheetData sheetId="0"/>
      <sheetData sheetId="1"/>
      <sheetData sheetId="2"/>
      <sheetData sheetId="3"/>
      <sheetData sheetId="4"/>
      <sheetData sheetId="5"/>
      <sheetData sheetId="6">
        <row r="2">
          <cell r="B2" t="str">
            <v>DIRECCIÓN GENERAL</v>
          </cell>
          <cell r="C2" t="str">
            <v>ADMISIBLE</v>
          </cell>
          <cell r="D2" t="str">
            <v>MEDIANA CON VALOR ABSOLUTO</v>
          </cell>
        </row>
        <row r="3">
          <cell r="B3" t="str">
            <v>SECRETARIA GENERAL - SUBDIRECCIÓN ADMINISTRATIVA</v>
          </cell>
          <cell r="C3" t="str">
            <v>NO ADMISIBLE</v>
          </cell>
          <cell r="D3" t="str">
            <v>MEDIA GEOMÉTRICA</v>
          </cell>
        </row>
        <row r="4">
          <cell r="B4" t="str">
            <v>SECRETARIA GENERAL - SUBDIRECCIÓN FINANCIERA</v>
          </cell>
          <cell r="C4" t="str">
            <v>RECHAZO</v>
          </cell>
          <cell r="D4" t="str">
            <v>MEDIA ARITMÉTICA BAJA</v>
          </cell>
        </row>
        <row r="5">
          <cell r="B5" t="str">
            <v>DIRECCIÓN OPERATIVA - DIRECCIONES TERRITORIALES</v>
          </cell>
          <cell r="D5" t="str">
            <v>MENOR VALOR</v>
          </cell>
        </row>
        <row r="6">
          <cell r="B6" t="str">
            <v>DIRECCIÓN OPERATIVA - GERENCIA DE GRANDES PROYECTOS</v>
          </cell>
          <cell r="D6">
            <v>0</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42578125" defaultRowHeight="12.75"/>
  <cols>
    <col min="1" max="1" width="2.7109375" style="27" customWidth="1"/>
    <col min="2" max="2" width="8.28515625" style="27" customWidth="1"/>
    <col min="3" max="3" width="44.28515625" style="27" customWidth="1"/>
    <col min="4" max="4" width="21.42578125" style="27" customWidth="1"/>
    <col min="5" max="5" width="1.7109375" style="27" customWidth="1"/>
    <col min="6" max="6" width="20.7109375" style="27" customWidth="1"/>
    <col min="7" max="11" width="40.7109375" style="27" customWidth="1"/>
    <col min="12" max="13" width="25.7109375" style="27" customWidth="1"/>
    <col min="14" max="16384" width="11.42578125" style="27"/>
  </cols>
  <sheetData>
    <row r="1" spans="1:15" ht="16.5" thickBot="1">
      <c r="A1" s="27">
        <v>1</v>
      </c>
      <c r="B1" s="33">
        <v>2</v>
      </c>
      <c r="C1" s="28">
        <v>3</v>
      </c>
      <c r="D1" s="28">
        <v>4</v>
      </c>
      <c r="E1" s="27">
        <v>5</v>
      </c>
    </row>
    <row r="2" spans="1:15" ht="15">
      <c r="B2" s="412"/>
      <c r="C2" s="412"/>
      <c r="D2" s="412"/>
      <c r="F2" s="214"/>
    </row>
    <row r="3" spans="1:15" ht="15" customHeight="1">
      <c r="B3" s="412"/>
      <c r="C3" s="413"/>
      <c r="D3" s="215"/>
      <c r="F3" s="216" t="s">
        <v>126</v>
      </c>
    </row>
    <row r="4" spans="1:15" ht="22.5" customHeight="1" thickBot="1">
      <c r="B4" s="412"/>
      <c r="C4" s="413"/>
      <c r="D4" s="215"/>
      <c r="F4" s="217"/>
    </row>
    <row r="5" spans="1:15" ht="6.75" customHeight="1" thickBot="1">
      <c r="B5" s="215"/>
      <c r="C5" s="218"/>
      <c r="D5" s="215"/>
      <c r="F5" s="219"/>
    </row>
    <row r="6" spans="1:15" ht="26.25" customHeight="1">
      <c r="B6" s="220"/>
      <c r="C6" s="221"/>
      <c r="D6" s="222"/>
      <c r="F6" s="223" t="e">
        <f>IF(D6&gt;$I$36,"PROPUESTA VALIDA","PROPUESTA BAJA")</f>
        <v>#NUM!</v>
      </c>
    </row>
    <row r="7" spans="1:15" ht="26.25" customHeight="1">
      <c r="B7" s="220"/>
      <c r="C7" s="221"/>
      <c r="D7" s="222"/>
      <c r="F7" s="223" t="e">
        <f t="shared" ref="F7:F70" si="0">IF(D7&gt;$I$36,"PROPUESTA VALIDA","PROPUESTA BAJA")</f>
        <v>#NUM!</v>
      </c>
    </row>
    <row r="8" spans="1:15" ht="26.25" customHeight="1">
      <c r="B8" s="220"/>
      <c r="C8" s="221"/>
      <c r="D8" s="222"/>
      <c r="F8" s="223" t="e">
        <f t="shared" si="0"/>
        <v>#NUM!</v>
      </c>
    </row>
    <row r="9" spans="1:15" ht="26.25" customHeight="1">
      <c r="B9" s="220"/>
      <c r="C9" s="221"/>
      <c r="D9" s="222"/>
      <c r="F9" s="223" t="e">
        <f t="shared" si="0"/>
        <v>#NUM!</v>
      </c>
    </row>
    <row r="10" spans="1:15" s="131" customFormat="1" ht="26.25" customHeight="1">
      <c r="A10" s="27"/>
      <c r="B10" s="220"/>
      <c r="C10" s="221"/>
      <c r="D10" s="222"/>
      <c r="F10" s="223" t="e">
        <f t="shared" si="0"/>
        <v>#NUM!</v>
      </c>
      <c r="G10" s="27"/>
      <c r="H10" s="27"/>
      <c r="I10" s="27"/>
      <c r="J10" s="27"/>
      <c r="K10" s="27"/>
      <c r="L10" s="27"/>
      <c r="M10" s="27"/>
      <c r="N10" s="27"/>
      <c r="O10" s="27"/>
    </row>
    <row r="11" spans="1:15" s="131" customFormat="1" ht="26.25" customHeight="1">
      <c r="A11" s="27"/>
      <c r="B11" s="220"/>
      <c r="C11" s="221"/>
      <c r="D11" s="222"/>
      <c r="F11" s="223" t="e">
        <f t="shared" si="0"/>
        <v>#NUM!</v>
      </c>
      <c r="G11" s="27"/>
      <c r="H11" s="27"/>
      <c r="I11" s="27"/>
      <c r="J11" s="27"/>
      <c r="K11" s="27"/>
      <c r="L11" s="27"/>
      <c r="M11" s="27"/>
      <c r="N11" s="27"/>
      <c r="O11" s="27"/>
    </row>
    <row r="12" spans="1:15" s="131" customFormat="1" ht="26.25" customHeight="1">
      <c r="A12" s="27"/>
      <c r="B12" s="220"/>
      <c r="C12" s="221"/>
      <c r="D12" s="222"/>
      <c r="F12" s="223" t="e">
        <f t="shared" si="0"/>
        <v>#NUM!</v>
      </c>
      <c r="G12" s="27"/>
      <c r="H12" s="27"/>
      <c r="I12" s="27"/>
      <c r="J12" s="27"/>
      <c r="K12" s="27"/>
      <c r="L12" s="27"/>
      <c r="M12" s="27"/>
      <c r="N12" s="27"/>
      <c r="O12" s="27"/>
    </row>
    <row r="13" spans="1:15" s="131" customFormat="1" ht="26.25" customHeight="1">
      <c r="A13" s="27"/>
      <c r="B13" s="220"/>
      <c r="C13" s="221"/>
      <c r="D13" s="222"/>
      <c r="F13" s="223" t="e">
        <f t="shared" si="0"/>
        <v>#NUM!</v>
      </c>
      <c r="G13" s="27"/>
      <c r="H13" s="27"/>
      <c r="I13" s="27"/>
      <c r="J13" s="27"/>
      <c r="K13" s="27"/>
      <c r="L13" s="27"/>
      <c r="M13" s="27"/>
      <c r="N13" s="27"/>
      <c r="O13" s="27"/>
    </row>
    <row r="14" spans="1:15" s="131" customFormat="1" ht="26.25" customHeight="1">
      <c r="A14" s="27"/>
      <c r="B14" s="220"/>
      <c r="C14" s="221"/>
      <c r="D14" s="222"/>
      <c r="F14" s="223" t="e">
        <f t="shared" si="0"/>
        <v>#NUM!</v>
      </c>
      <c r="G14" s="27"/>
      <c r="H14" s="27"/>
      <c r="I14" s="27"/>
      <c r="J14" s="27"/>
      <c r="K14" s="27"/>
      <c r="L14" s="27"/>
      <c r="M14" s="27"/>
      <c r="N14" s="27"/>
      <c r="O14" s="27"/>
    </row>
    <row r="15" spans="1:15" s="131" customFormat="1" ht="26.25" customHeight="1">
      <c r="A15" s="27"/>
      <c r="B15" s="220"/>
      <c r="C15" s="221"/>
      <c r="D15" s="222"/>
      <c r="F15" s="223" t="e">
        <f t="shared" si="0"/>
        <v>#NUM!</v>
      </c>
      <c r="G15" s="27"/>
      <c r="H15" s="27"/>
      <c r="I15" s="27"/>
      <c r="J15" s="27"/>
      <c r="K15" s="27"/>
      <c r="L15" s="27"/>
      <c r="M15" s="27"/>
      <c r="N15" s="27"/>
      <c r="O15" s="27"/>
    </row>
    <row r="16" spans="1:15" s="131" customFormat="1" ht="26.25" customHeight="1">
      <c r="A16" s="27"/>
      <c r="B16" s="220"/>
      <c r="C16" s="221"/>
      <c r="D16" s="222"/>
      <c r="F16" s="223" t="e">
        <f t="shared" si="0"/>
        <v>#NUM!</v>
      </c>
      <c r="G16" s="27"/>
      <c r="H16" s="27"/>
      <c r="I16" s="27"/>
      <c r="J16" s="27"/>
      <c r="K16" s="27"/>
      <c r="L16" s="27"/>
      <c r="M16" s="27"/>
      <c r="N16" s="27"/>
      <c r="O16" s="27"/>
    </row>
    <row r="17" spans="1:15" s="131" customFormat="1" ht="26.25" customHeight="1">
      <c r="A17" s="27"/>
      <c r="B17" s="220"/>
      <c r="C17" s="221"/>
      <c r="D17" s="222"/>
      <c r="F17" s="223" t="e">
        <f t="shared" si="0"/>
        <v>#NUM!</v>
      </c>
      <c r="G17" s="224"/>
      <c r="H17" s="224"/>
      <c r="I17" s="225"/>
      <c r="J17" s="225"/>
      <c r="K17" s="225"/>
      <c r="L17" s="225"/>
      <c r="M17" s="27"/>
      <c r="N17" s="27"/>
      <c r="O17" s="27"/>
    </row>
    <row r="18" spans="1:15" s="131" customFormat="1" ht="26.25" customHeight="1">
      <c r="A18" s="27"/>
      <c r="B18" s="220"/>
      <c r="C18" s="221"/>
      <c r="D18" s="222"/>
      <c r="F18" s="223" t="e">
        <f t="shared" si="0"/>
        <v>#NUM!</v>
      </c>
      <c r="G18" s="226"/>
      <c r="H18" s="224"/>
      <c r="I18" s="225"/>
      <c r="J18" s="225"/>
      <c r="K18" s="225"/>
      <c r="L18" s="225"/>
      <c r="M18" s="27"/>
      <c r="N18" s="27"/>
      <c r="O18" s="27"/>
    </row>
    <row r="19" spans="1:15" s="131" customFormat="1" ht="26.25" customHeight="1">
      <c r="A19" s="27"/>
      <c r="B19" s="220"/>
      <c r="C19" s="221"/>
      <c r="D19" s="222"/>
      <c r="F19" s="223" t="e">
        <f t="shared" si="0"/>
        <v>#NUM!</v>
      </c>
      <c r="G19" s="227">
        <v>12517051</v>
      </c>
      <c r="H19" s="227" t="s">
        <v>127</v>
      </c>
      <c r="I19" s="227" t="s">
        <v>127</v>
      </c>
      <c r="J19" s="227" t="s">
        <v>127</v>
      </c>
      <c r="K19" s="227">
        <v>0</v>
      </c>
      <c r="L19" s="227"/>
      <c r="M19" s="27"/>
      <c r="N19" s="27"/>
      <c r="O19" s="27"/>
    </row>
    <row r="20" spans="1:15" s="131" customFormat="1" ht="26.25" customHeight="1">
      <c r="A20" s="27"/>
      <c r="B20" s="220"/>
      <c r="C20" s="221"/>
      <c r="D20" s="222"/>
      <c r="F20" s="223" t="e">
        <f t="shared" si="0"/>
        <v>#NUM!</v>
      </c>
      <c r="G20" s="227">
        <v>19572440</v>
      </c>
      <c r="H20" s="227" t="s">
        <v>127</v>
      </c>
      <c r="I20" s="227" t="s">
        <v>127</v>
      </c>
      <c r="J20" s="227" t="s">
        <v>127</v>
      </c>
      <c r="K20" s="227">
        <v>0</v>
      </c>
      <c r="L20" s="227"/>
      <c r="M20" s="27"/>
      <c r="N20" s="27"/>
      <c r="O20" s="27"/>
    </row>
    <row r="21" spans="1:15" s="131" customFormat="1" ht="26.25" customHeight="1">
      <c r="A21" s="27"/>
      <c r="B21" s="220"/>
      <c r="C21" s="221"/>
      <c r="D21" s="222"/>
      <c r="F21" s="223" t="e">
        <f t="shared" si="0"/>
        <v>#NUM!</v>
      </c>
      <c r="G21" s="227">
        <v>8230777</v>
      </c>
      <c r="H21" s="227" t="s">
        <v>127</v>
      </c>
      <c r="I21" s="227" t="s">
        <v>127</v>
      </c>
      <c r="J21" s="227" t="s">
        <v>127</v>
      </c>
      <c r="K21" s="227">
        <v>0</v>
      </c>
      <c r="L21" s="227"/>
      <c r="M21" s="27"/>
      <c r="N21" s="27"/>
      <c r="O21" s="27"/>
    </row>
    <row r="22" spans="1:15" s="131" customFormat="1" ht="26.25" customHeight="1">
      <c r="A22" s="27"/>
      <c r="B22" s="220"/>
      <c r="C22" s="221"/>
      <c r="D22" s="222"/>
      <c r="F22" s="223" t="e">
        <f t="shared" si="0"/>
        <v>#NUM!</v>
      </c>
      <c r="G22" s="227">
        <v>8599889</v>
      </c>
      <c r="H22" s="227">
        <v>4100122</v>
      </c>
      <c r="I22" s="227" t="s">
        <v>127</v>
      </c>
      <c r="J22" s="227" t="s">
        <v>127</v>
      </c>
      <c r="K22" s="227">
        <v>0</v>
      </c>
      <c r="L22" s="227"/>
      <c r="M22" s="27"/>
      <c r="N22" s="27"/>
      <c r="O22" s="27"/>
    </row>
    <row r="23" spans="1:15" s="131" customFormat="1" ht="26.25" customHeight="1">
      <c r="A23" s="27"/>
      <c r="B23" s="220"/>
      <c r="C23" s="221"/>
      <c r="D23" s="222"/>
      <c r="F23" s="223" t="e">
        <f t="shared" si="0"/>
        <v>#NUM!</v>
      </c>
      <c r="G23" s="227">
        <v>13016907</v>
      </c>
      <c r="H23" s="227" t="s">
        <v>127</v>
      </c>
      <c r="I23" s="227" t="s">
        <v>127</v>
      </c>
      <c r="J23" s="227" t="s">
        <v>127</v>
      </c>
      <c r="K23" s="227">
        <v>-14846.380000114441</v>
      </c>
      <c r="L23" s="227"/>
      <c r="M23" s="27"/>
      <c r="N23" s="27"/>
      <c r="O23" s="27"/>
    </row>
    <row r="24" spans="1:15" s="131" customFormat="1" ht="26.25" customHeight="1">
      <c r="A24" s="27"/>
      <c r="B24" s="220"/>
      <c r="C24" s="221"/>
      <c r="D24" s="222"/>
      <c r="F24" s="223" t="e">
        <f t="shared" si="0"/>
        <v>#NUM!</v>
      </c>
      <c r="G24" s="227">
        <v>18624297</v>
      </c>
      <c r="H24" s="227">
        <v>8517140</v>
      </c>
      <c r="I24" s="227" t="s">
        <v>127</v>
      </c>
      <c r="J24" s="227" t="s">
        <v>127</v>
      </c>
      <c r="K24" s="227">
        <v>0</v>
      </c>
      <c r="L24" s="227"/>
      <c r="M24" s="27"/>
      <c r="N24" s="27"/>
      <c r="O24" s="27"/>
    </row>
    <row r="25" spans="1:15" s="131" customFormat="1" ht="26.25" customHeight="1">
      <c r="A25" s="27"/>
      <c r="B25" s="220"/>
      <c r="C25" s="221"/>
      <c r="D25" s="222"/>
      <c r="F25" s="223" t="e">
        <f t="shared" si="0"/>
        <v>#NUM!</v>
      </c>
      <c r="G25" s="227">
        <v>15366493</v>
      </c>
      <c r="H25" s="227" t="s">
        <v>127</v>
      </c>
      <c r="I25" s="227" t="s">
        <v>127</v>
      </c>
      <c r="J25" s="227" t="s">
        <v>127</v>
      </c>
      <c r="K25" s="227">
        <v>0</v>
      </c>
      <c r="L25" s="227"/>
    </row>
    <row r="26" spans="1:15" s="131" customFormat="1" ht="26.25" customHeight="1">
      <c r="A26" s="27"/>
      <c r="B26" s="220"/>
      <c r="C26" s="221"/>
      <c r="D26" s="222"/>
      <c r="F26" s="223" t="e">
        <f t="shared" si="0"/>
        <v>#NUM!</v>
      </c>
      <c r="G26" s="227">
        <v>0</v>
      </c>
      <c r="H26" s="227">
        <v>5259336</v>
      </c>
      <c r="I26" s="227" t="s">
        <v>127</v>
      </c>
      <c r="J26" s="227" t="s">
        <v>127</v>
      </c>
      <c r="K26" s="227">
        <v>-137385</v>
      </c>
      <c r="L26" s="227"/>
    </row>
    <row r="27" spans="1:15" s="131" customFormat="1" ht="26.25" customHeight="1">
      <c r="A27" s="27"/>
      <c r="B27" s="220"/>
      <c r="C27" s="221"/>
      <c r="D27" s="222"/>
      <c r="E27" s="131" t="str">
        <f>IF(COUNTIF(G27:J27,"&gt;"&amp;$L$32),B27,"")</f>
        <v/>
      </c>
      <c r="F27" s="223" t="e">
        <f t="shared" si="0"/>
        <v>#NUM!</v>
      </c>
      <c r="G27" s="227" t="e">
        <v>#VALUE!</v>
      </c>
      <c r="H27" s="227">
        <v>5259336</v>
      </c>
      <c r="I27" s="227" t="s">
        <v>127</v>
      </c>
      <c r="J27" s="227" t="s">
        <v>127</v>
      </c>
      <c r="K27" s="227">
        <v>-797969</v>
      </c>
      <c r="L27" s="227"/>
    </row>
    <row r="28" spans="1:15" s="131" customFormat="1" ht="26.25" customHeight="1">
      <c r="A28" s="27"/>
      <c r="B28" s="220"/>
      <c r="C28" s="221"/>
      <c r="D28" s="222"/>
      <c r="E28" s="131" t="str">
        <f t="shared" ref="E28:E70" si="1">IF(COUNTIF(G28:J28,"&gt;"&amp;$L$32),B28,"")</f>
        <v/>
      </c>
      <c r="F28" s="223" t="e">
        <f t="shared" si="0"/>
        <v>#NUM!</v>
      </c>
      <c r="G28" s="227">
        <v>142621754</v>
      </c>
      <c r="H28" s="227">
        <v>154733629</v>
      </c>
      <c r="I28" s="227" t="s">
        <v>127</v>
      </c>
      <c r="J28" s="227" t="s">
        <v>127</v>
      </c>
      <c r="K28" s="227">
        <v>0</v>
      </c>
      <c r="L28" s="227"/>
    </row>
    <row r="29" spans="1:15" s="131" customFormat="1" ht="26.25" customHeight="1">
      <c r="A29" s="27"/>
      <c r="B29" s="220"/>
      <c r="C29" s="221"/>
      <c r="D29" s="222"/>
      <c r="E29" s="131" t="str">
        <f t="shared" si="1"/>
        <v/>
      </c>
      <c r="F29" s="223" t="e">
        <f t="shared" si="0"/>
        <v>#NUM!</v>
      </c>
      <c r="G29" s="227">
        <v>47648676</v>
      </c>
      <c r="H29" s="227">
        <v>12111875</v>
      </c>
      <c r="I29" s="227" t="s">
        <v>127</v>
      </c>
      <c r="J29" s="227" t="s">
        <v>127</v>
      </c>
      <c r="K29" s="227">
        <v>0</v>
      </c>
      <c r="L29" s="227"/>
    </row>
    <row r="30" spans="1:15" s="131" customFormat="1" ht="26.25" customHeight="1">
      <c r="A30" s="27"/>
      <c r="B30" s="220"/>
      <c r="C30" s="221"/>
      <c r="D30" s="222"/>
      <c r="E30" s="131" t="str">
        <f t="shared" si="1"/>
        <v/>
      </c>
      <c r="F30" s="223" t="e">
        <f t="shared" si="0"/>
        <v>#NUM!</v>
      </c>
      <c r="G30" s="227" t="e">
        <v>#VALUE!</v>
      </c>
      <c r="H30" s="227" t="s">
        <v>127</v>
      </c>
      <c r="I30" s="227" t="s">
        <v>127</v>
      </c>
      <c r="J30" s="227" t="s">
        <v>127</v>
      </c>
      <c r="K30" s="227">
        <v>0</v>
      </c>
      <c r="L30" s="227"/>
    </row>
    <row r="31" spans="1:15" s="131" customFormat="1" ht="26.25" customHeight="1">
      <c r="A31" s="27"/>
      <c r="B31" s="220"/>
      <c r="C31" s="221"/>
      <c r="D31" s="222"/>
      <c r="E31" s="131" t="str">
        <f t="shared" si="1"/>
        <v/>
      </c>
      <c r="F31" s="223" t="e">
        <f t="shared" si="0"/>
        <v>#NUM!</v>
      </c>
      <c r="G31" s="227">
        <v>19036932</v>
      </c>
      <c r="H31" s="227">
        <v>51547085</v>
      </c>
      <c r="I31" s="227" t="s">
        <v>127</v>
      </c>
      <c r="J31" s="227" t="s">
        <v>127</v>
      </c>
      <c r="K31" s="227">
        <v>0</v>
      </c>
      <c r="L31" s="227"/>
    </row>
    <row r="32" spans="1:15" s="131" customFormat="1" ht="26.25" customHeight="1" thickBot="1">
      <c r="A32" s="27"/>
      <c r="B32" s="220"/>
      <c r="C32" s="221"/>
      <c r="D32" s="222"/>
      <c r="E32" s="131" t="str">
        <f t="shared" si="1"/>
        <v/>
      </c>
      <c r="F32" s="223" t="e">
        <f t="shared" si="0"/>
        <v>#NUM!</v>
      </c>
      <c r="G32" s="227" t="e">
        <v>#VALUE!</v>
      </c>
      <c r="H32" s="227">
        <v>32510153</v>
      </c>
      <c r="I32" s="227" t="s">
        <v>127</v>
      </c>
      <c r="J32" s="227" t="s">
        <v>127</v>
      </c>
      <c r="K32" s="227">
        <v>551258</v>
      </c>
      <c r="L32" s="227"/>
    </row>
    <row r="33" spans="1:15" s="131" customFormat="1" ht="26.25" customHeight="1">
      <c r="A33" s="27"/>
      <c r="B33" s="220"/>
      <c r="C33" s="221"/>
      <c r="D33" s="222"/>
      <c r="E33" s="131" t="str">
        <f t="shared" si="1"/>
        <v/>
      </c>
      <c r="F33" s="223" t="e">
        <f t="shared" si="0"/>
        <v>#NUM!</v>
      </c>
      <c r="G33" s="228" t="s">
        <v>0</v>
      </c>
      <c r="H33" s="229"/>
      <c r="I33" s="230"/>
      <c r="J33" s="231"/>
      <c r="K33" s="227">
        <v>0</v>
      </c>
      <c r="L33" s="227"/>
    </row>
    <row r="34" spans="1:15" s="131" customFormat="1" ht="26.25" customHeight="1" thickBot="1">
      <c r="A34" s="27"/>
      <c r="B34" s="220"/>
      <c r="C34" s="221"/>
      <c r="D34" s="222"/>
      <c r="E34" s="131" t="str">
        <f t="shared" si="1"/>
        <v/>
      </c>
      <c r="F34" s="223" t="e">
        <f t="shared" si="0"/>
        <v>#NUM!</v>
      </c>
      <c r="G34" s="232">
        <f>D5</f>
        <v>0</v>
      </c>
      <c r="H34" s="233"/>
      <c r="I34" s="231"/>
      <c r="J34" s="231"/>
      <c r="K34" s="227">
        <v>0</v>
      </c>
      <c r="L34" s="227"/>
    </row>
    <row r="35" spans="1:15" s="131" customFormat="1" ht="26.25" customHeight="1" thickBot="1">
      <c r="A35" s="27"/>
      <c r="B35" s="220"/>
      <c r="C35" s="221"/>
      <c r="D35" s="222"/>
      <c r="E35" s="131" t="str">
        <f t="shared" si="1"/>
        <v/>
      </c>
      <c r="F35" s="223" t="e">
        <f t="shared" si="0"/>
        <v>#NUM!</v>
      </c>
      <c r="G35" s="234" t="s">
        <v>128</v>
      </c>
      <c r="H35" s="235" t="e">
        <f>AVERAGE(D6:D35)</f>
        <v>#DIV/0!</v>
      </c>
      <c r="I35" s="236" t="s">
        <v>129</v>
      </c>
      <c r="J35" s="237" t="s">
        <v>130</v>
      </c>
      <c r="K35" s="238"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239"/>
    </row>
    <row r="36" spans="1:15" s="131" customFormat="1" ht="26.25" customHeight="1" thickBot="1">
      <c r="A36" s="27"/>
      <c r="B36" s="220"/>
      <c r="C36" s="221"/>
      <c r="D36" s="222"/>
      <c r="E36" s="131" t="str">
        <f t="shared" si="1"/>
        <v/>
      </c>
      <c r="F36" s="223" t="e">
        <f t="shared" si="0"/>
        <v>#NUM!</v>
      </c>
      <c r="G36" s="240" t="s">
        <v>131</v>
      </c>
      <c r="H36" s="235" t="e">
        <f>MEDIAN(D6:D35)</f>
        <v>#NUM!</v>
      </c>
      <c r="I36" s="241" t="e">
        <f>H36-H37</f>
        <v>#NUM!</v>
      </c>
      <c r="J36" s="242" t="e">
        <f>1-(I36/J41)</f>
        <v>#NUM!</v>
      </c>
      <c r="K36" s="243"/>
      <c r="L36" s="244"/>
    </row>
    <row r="37" spans="1:15" s="131" customFormat="1" ht="26.25" customHeight="1" thickBot="1">
      <c r="A37" s="27"/>
      <c r="B37" s="220"/>
      <c r="C37" s="221"/>
      <c r="D37" s="222"/>
      <c r="E37" s="131" t="str">
        <f t="shared" si="1"/>
        <v/>
      </c>
      <c r="F37" s="223" t="e">
        <f t="shared" si="0"/>
        <v>#NUM!</v>
      </c>
      <c r="G37" s="245" t="s">
        <v>132</v>
      </c>
      <c r="H37" s="246" t="e">
        <f>_xlfn.STDEV.P(D6:D35)</f>
        <v>#DIV/0!</v>
      </c>
      <c r="I37" s="247"/>
      <c r="J37" s="248"/>
      <c r="K37" s="249"/>
      <c r="L37" s="250"/>
    </row>
    <row r="38" spans="1:15" s="131" customFormat="1" ht="26.25" customHeight="1" thickBot="1">
      <c r="A38" s="27"/>
      <c r="B38" s="220"/>
      <c r="C38" s="221"/>
      <c r="D38" s="222"/>
      <c r="E38" s="131" t="str">
        <f t="shared" si="1"/>
        <v/>
      </c>
      <c r="F38" s="223" t="e">
        <f t="shared" si="0"/>
        <v>#NUM!</v>
      </c>
      <c r="G38" s="251" t="s">
        <v>133</v>
      </c>
      <c r="H38" s="252"/>
      <c r="I38" s="252"/>
      <c r="J38" s="252"/>
      <c r="K38" s="253"/>
      <c r="L38" s="254" t="s">
        <v>134</v>
      </c>
    </row>
    <row r="39" spans="1:15" s="131" customFormat="1" ht="26.25" customHeight="1">
      <c r="A39" s="27"/>
      <c r="B39" s="220"/>
      <c r="C39" s="221"/>
      <c r="D39" s="222"/>
      <c r="E39" s="131" t="str">
        <f t="shared" si="1"/>
        <v/>
      </c>
      <c r="F39" s="223" t="e">
        <f t="shared" si="0"/>
        <v>#NUM!</v>
      </c>
      <c r="G39" s="255"/>
      <c r="H39" s="256" t="s">
        <v>135</v>
      </c>
      <c r="I39" s="256" t="s">
        <v>136</v>
      </c>
      <c r="J39" s="256" t="s">
        <v>0</v>
      </c>
      <c r="K39" s="257" t="s">
        <v>137</v>
      </c>
      <c r="L39" s="258"/>
    </row>
    <row r="40" spans="1:15" s="131" customFormat="1" ht="26.25" customHeight="1">
      <c r="A40" s="27"/>
      <c r="B40" s="220"/>
      <c r="C40" s="221"/>
      <c r="D40" s="222"/>
      <c r="E40" s="131" t="str">
        <f t="shared" si="1"/>
        <v/>
      </c>
      <c r="F40" s="223" t="e">
        <f t="shared" si="0"/>
        <v>#NUM!</v>
      </c>
      <c r="G40" s="259" t="s">
        <v>138</v>
      </c>
      <c r="H40" s="260" t="e">
        <f>(J41-H41)/J41</f>
        <v>#DIV/0!</v>
      </c>
      <c r="I40" s="261" t="e">
        <f>(J41-I41)/J41</f>
        <v>#NUM!</v>
      </c>
      <c r="J40" s="262" t="e">
        <f>(J41-I36)/J41</f>
        <v>#NUM!</v>
      </c>
      <c r="K40" s="263"/>
      <c r="L40" s="258"/>
    </row>
    <row r="41" spans="1:15" s="131" customFormat="1" ht="26.25" customHeight="1" thickBot="1">
      <c r="A41" s="27"/>
      <c r="B41" s="220"/>
      <c r="C41" s="221"/>
      <c r="D41" s="222"/>
      <c r="E41" s="131" t="str">
        <f t="shared" si="1"/>
        <v/>
      </c>
      <c r="F41" s="223" t="e">
        <f t="shared" si="0"/>
        <v>#NUM!</v>
      </c>
      <c r="G41" s="232" t="e">
        <f>I36</f>
        <v>#NUM!</v>
      </c>
      <c r="H41" s="232" t="e">
        <f>H35</f>
        <v>#DIV/0!</v>
      </c>
      <c r="I41" s="232" t="e">
        <f>H36</f>
        <v>#NUM!</v>
      </c>
      <c r="J41" s="232">
        <f>G34</f>
        <v>0</v>
      </c>
      <c r="K41" s="264"/>
      <c r="L41" s="265"/>
    </row>
    <row r="42" spans="1:15" ht="26.25" customHeight="1">
      <c r="B42" s="220"/>
      <c r="C42" s="221"/>
      <c r="D42" s="222"/>
      <c r="E42" s="131" t="str">
        <f>IF(COUNTIF(G42:J42,"&gt;"&amp;$L$32),"No."&amp;B42&amp;",  ","")</f>
        <v/>
      </c>
      <c r="F42" s="223" t="e">
        <f t="shared" si="0"/>
        <v>#NUM!</v>
      </c>
      <c r="G42" s="266" t="e">
        <f>1-(D42/$G$41)</f>
        <v>#NUM!</v>
      </c>
      <c r="H42" s="267" t="e">
        <f>1-(D42/$H$41)</f>
        <v>#DIV/0!</v>
      </c>
      <c r="I42" s="268" t="e">
        <f>1-(D42/$I$41)</f>
        <v>#NUM!</v>
      </c>
      <c r="J42" s="268" t="e">
        <f>1-(D42/$J$41)</f>
        <v>#DIV/0!</v>
      </c>
      <c r="K42" s="269" t="s">
        <v>139</v>
      </c>
      <c r="L42" s="270" t="s">
        <v>140</v>
      </c>
      <c r="M42" s="131"/>
      <c r="N42" s="131"/>
      <c r="O42" s="131"/>
    </row>
    <row r="43" spans="1:15" ht="26.25" customHeight="1" thickBot="1">
      <c r="B43" s="220"/>
      <c r="C43" s="221"/>
      <c r="D43" s="222"/>
      <c r="E43" s="131" t="str">
        <f t="shared" ref="E43:E50" si="2">IF(COUNTIF(G43:J43,"&gt;"&amp;$L$32),"No."&amp;B43&amp;",  ","")</f>
        <v/>
      </c>
      <c r="F43" s="223" t="e">
        <f t="shared" si="0"/>
        <v>#NUM!</v>
      </c>
      <c r="G43" s="266" t="e">
        <f t="shared" ref="G43:G70" si="3">1-(D43/$G$41)</f>
        <v>#NUM!</v>
      </c>
      <c r="H43" s="267" t="e">
        <f t="shared" ref="H43:H70" si="4">1-(D43/$H$41)</f>
        <v>#DIV/0!</v>
      </c>
      <c r="I43" s="268" t="e">
        <f t="shared" ref="I43:I70" si="5">1-(D43/$I$41)</f>
        <v>#NUM!</v>
      </c>
      <c r="J43" s="268" t="e">
        <f t="shared" ref="J43:J70" si="6">1-(D43/$J$41)</f>
        <v>#DIV/0!</v>
      </c>
      <c r="K43" s="271">
        <v>0.113371142807664</v>
      </c>
      <c r="L43" s="272">
        <v>0.03</v>
      </c>
      <c r="M43" s="131"/>
      <c r="N43" s="131"/>
      <c r="O43" s="131"/>
    </row>
    <row r="44" spans="1:15" ht="26.25" customHeight="1">
      <c r="B44" s="220"/>
      <c r="C44" s="221"/>
      <c r="D44" s="222"/>
      <c r="E44" s="131" t="str">
        <f t="shared" si="2"/>
        <v/>
      </c>
      <c r="F44" s="223" t="e">
        <f t="shared" si="0"/>
        <v>#NUM!</v>
      </c>
      <c r="G44" s="266" t="e">
        <f t="shared" si="3"/>
        <v>#NUM!</v>
      </c>
      <c r="H44" s="267" t="e">
        <f t="shared" si="4"/>
        <v>#DIV/0!</v>
      </c>
      <c r="I44" s="268" t="e">
        <f t="shared" si="5"/>
        <v>#NUM!</v>
      </c>
      <c r="J44" s="268" t="e">
        <f t="shared" si="6"/>
        <v>#DIV/0!</v>
      </c>
      <c r="K44" s="273" t="s">
        <v>141</v>
      </c>
      <c r="L44" s="274" t="s">
        <v>134</v>
      </c>
      <c r="M44" s="131"/>
      <c r="N44" s="131"/>
      <c r="O44" s="131"/>
    </row>
    <row r="45" spans="1:15" ht="26.25" customHeight="1" thickBot="1">
      <c r="B45" s="220"/>
      <c r="C45" s="221"/>
      <c r="D45" s="222"/>
      <c r="E45" s="131" t="str">
        <f t="shared" si="2"/>
        <v/>
      </c>
      <c r="F45" s="223" t="e">
        <f t="shared" si="0"/>
        <v>#NUM!</v>
      </c>
      <c r="G45" s="266" t="e">
        <f t="shared" si="3"/>
        <v>#NUM!</v>
      </c>
      <c r="H45" s="267" t="e">
        <f t="shared" si="4"/>
        <v>#DIV/0!</v>
      </c>
      <c r="I45" s="268" t="e">
        <f t="shared" si="5"/>
        <v>#NUM!</v>
      </c>
      <c r="J45" s="268" t="e">
        <f t="shared" si="6"/>
        <v>#DIV/0!</v>
      </c>
      <c r="K45" s="271">
        <v>0.1157212157046858</v>
      </c>
      <c r="L45" s="275">
        <f>AVERAGE(K42:K47)</f>
        <v>0.12271663986972385</v>
      </c>
      <c r="M45" s="131"/>
      <c r="N45" s="131"/>
      <c r="O45" s="131"/>
    </row>
    <row r="46" spans="1:15" ht="26.25" customHeight="1">
      <c r="B46" s="220"/>
      <c r="C46" s="221"/>
      <c r="D46" s="222"/>
      <c r="E46" s="131" t="str">
        <f t="shared" si="2"/>
        <v/>
      </c>
      <c r="F46" s="223" t="e">
        <f t="shared" si="0"/>
        <v>#NUM!</v>
      </c>
      <c r="G46" s="266" t="e">
        <f t="shared" si="3"/>
        <v>#NUM!</v>
      </c>
      <c r="H46" s="267" t="e">
        <f t="shared" si="4"/>
        <v>#DIV/0!</v>
      </c>
      <c r="I46" s="268" t="e">
        <f t="shared" si="5"/>
        <v>#NUM!</v>
      </c>
      <c r="J46" s="268" t="e">
        <f t="shared" si="6"/>
        <v>#DIV/0!</v>
      </c>
      <c r="K46" s="271" t="s">
        <v>142</v>
      </c>
      <c r="L46" s="276" t="s">
        <v>143</v>
      </c>
      <c r="M46" s="131"/>
      <c r="N46" s="131"/>
      <c r="O46" s="131"/>
    </row>
    <row r="47" spans="1:15" ht="26.25" customHeight="1" thickBot="1">
      <c r="B47" s="220"/>
      <c r="C47" s="221"/>
      <c r="D47" s="222"/>
      <c r="E47" s="131" t="str">
        <f t="shared" si="2"/>
        <v/>
      </c>
      <c r="F47" s="223" t="e">
        <f t="shared" si="0"/>
        <v>#NUM!</v>
      </c>
      <c r="G47" s="266" t="e">
        <f t="shared" si="3"/>
        <v>#NUM!</v>
      </c>
      <c r="H47" s="267" t="e">
        <f t="shared" si="4"/>
        <v>#DIV/0!</v>
      </c>
      <c r="I47" s="268" t="e">
        <f t="shared" si="5"/>
        <v>#NUM!</v>
      </c>
      <c r="J47" s="268" t="e">
        <f t="shared" si="6"/>
        <v>#DIV/0!</v>
      </c>
      <c r="K47" s="271">
        <v>0.13905756109682174</v>
      </c>
      <c r="L47" s="277">
        <f>L43+L45</f>
        <v>0.15271663986972384</v>
      </c>
      <c r="M47" s="131"/>
      <c r="N47" s="131"/>
      <c r="O47" s="131"/>
    </row>
    <row r="48" spans="1:15" ht="26.25" customHeight="1">
      <c r="B48" s="220"/>
      <c r="C48" s="221"/>
      <c r="D48" s="222"/>
      <c r="E48" s="131" t="str">
        <f t="shared" si="2"/>
        <v/>
      </c>
      <c r="F48" s="223" t="e">
        <f t="shared" si="0"/>
        <v>#NUM!</v>
      </c>
      <c r="G48" s="266" t="e">
        <f t="shared" si="3"/>
        <v>#NUM!</v>
      </c>
      <c r="H48" s="267" t="e">
        <f t="shared" si="4"/>
        <v>#DIV/0!</v>
      </c>
      <c r="I48" s="268" t="e">
        <f t="shared" si="5"/>
        <v>#NUM!</v>
      </c>
      <c r="J48" s="268" t="e">
        <f t="shared" si="6"/>
        <v>#DIV/0!</v>
      </c>
      <c r="K48" s="227">
        <v>0</v>
      </c>
      <c r="L48" s="227"/>
      <c r="M48" s="131"/>
      <c r="N48" s="131"/>
      <c r="O48" s="131"/>
    </row>
    <row r="49" spans="1:15" ht="26.25" customHeight="1">
      <c r="B49" s="220"/>
      <c r="C49" s="221"/>
      <c r="D49" s="222"/>
      <c r="E49" s="131" t="str">
        <f t="shared" si="2"/>
        <v/>
      </c>
      <c r="F49" s="223" t="e">
        <f t="shared" si="0"/>
        <v>#NUM!</v>
      </c>
      <c r="G49" s="266" t="e">
        <f t="shared" si="3"/>
        <v>#NUM!</v>
      </c>
      <c r="H49" s="267" t="e">
        <f t="shared" si="4"/>
        <v>#DIV/0!</v>
      </c>
      <c r="I49" s="268" t="e">
        <f t="shared" si="5"/>
        <v>#NUM!</v>
      </c>
      <c r="J49" s="268" t="e">
        <f t="shared" si="6"/>
        <v>#DIV/0!</v>
      </c>
      <c r="K49" s="227">
        <v>0</v>
      </c>
      <c r="L49" s="227"/>
      <c r="M49" s="131"/>
      <c r="N49" s="131"/>
      <c r="O49" s="131"/>
    </row>
    <row r="50" spans="1:15" ht="26.25" customHeight="1">
      <c r="B50" s="220"/>
      <c r="C50" s="221"/>
      <c r="D50" s="222"/>
      <c r="E50" s="131" t="str">
        <f t="shared" si="2"/>
        <v/>
      </c>
      <c r="F50" s="223" t="e">
        <f t="shared" si="0"/>
        <v>#NUM!</v>
      </c>
      <c r="G50" s="266" t="e">
        <f t="shared" si="3"/>
        <v>#NUM!</v>
      </c>
      <c r="H50" s="267" t="e">
        <f t="shared" si="4"/>
        <v>#DIV/0!</v>
      </c>
      <c r="I50" s="268" t="e">
        <f t="shared" si="5"/>
        <v>#NUM!</v>
      </c>
      <c r="J50" s="268" t="e">
        <f t="shared" si="6"/>
        <v>#DIV/0!</v>
      </c>
      <c r="K50" s="227">
        <v>0</v>
      </c>
      <c r="L50" s="227"/>
      <c r="M50" s="131"/>
      <c r="N50" s="131"/>
      <c r="O50" s="131"/>
    </row>
    <row r="51" spans="1:15" s="278" customFormat="1" ht="6.75" customHeight="1">
      <c r="B51" s="220"/>
      <c r="C51" s="221"/>
      <c r="D51" s="222"/>
      <c r="E51" s="131" t="str">
        <f t="shared" si="1"/>
        <v/>
      </c>
      <c r="F51" s="223" t="e">
        <f t="shared" si="0"/>
        <v>#NUM!</v>
      </c>
      <c r="G51" s="266" t="e">
        <f t="shared" si="3"/>
        <v>#NUM!</v>
      </c>
      <c r="H51" s="267" t="e">
        <f t="shared" si="4"/>
        <v>#DIV/0!</v>
      </c>
      <c r="I51" s="268" t="e">
        <f t="shared" si="5"/>
        <v>#NUM!</v>
      </c>
      <c r="J51" s="268" t="e">
        <f t="shared" si="6"/>
        <v>#DIV/0!</v>
      </c>
      <c r="K51" s="27"/>
      <c r="L51" s="27"/>
      <c r="M51" s="131"/>
      <c r="N51" s="131"/>
      <c r="O51" s="131"/>
    </row>
    <row r="52" spans="1:15" ht="15">
      <c r="B52" s="220"/>
      <c r="C52" s="221"/>
      <c r="D52" s="222"/>
      <c r="E52" s="131" t="str">
        <f t="shared" si="1"/>
        <v/>
      </c>
      <c r="F52" s="223" t="e">
        <f t="shared" si="0"/>
        <v>#NUM!</v>
      </c>
      <c r="G52" s="266" t="e">
        <f t="shared" si="3"/>
        <v>#NUM!</v>
      </c>
      <c r="H52" s="267" t="e">
        <f t="shared" si="4"/>
        <v>#DIV/0!</v>
      </c>
      <c r="I52" s="268" t="e">
        <f t="shared" si="5"/>
        <v>#NUM!</v>
      </c>
      <c r="J52" s="268" t="e">
        <f t="shared" si="6"/>
        <v>#DIV/0!</v>
      </c>
      <c r="M52" s="131"/>
      <c r="N52" s="131"/>
      <c r="O52" s="131"/>
    </row>
    <row r="53" spans="1:15" ht="15">
      <c r="B53" s="220"/>
      <c r="C53" s="221"/>
      <c r="D53" s="222"/>
      <c r="E53" s="131" t="str">
        <f t="shared" si="1"/>
        <v/>
      </c>
      <c r="F53" s="223" t="e">
        <f t="shared" si="0"/>
        <v>#NUM!</v>
      </c>
      <c r="G53" s="266" t="e">
        <f t="shared" si="3"/>
        <v>#NUM!</v>
      </c>
      <c r="H53" s="267" t="e">
        <f t="shared" si="4"/>
        <v>#DIV/0!</v>
      </c>
      <c r="I53" s="268" t="e">
        <f t="shared" si="5"/>
        <v>#NUM!</v>
      </c>
      <c r="J53" s="268" t="e">
        <f t="shared" si="6"/>
        <v>#DIV/0!</v>
      </c>
      <c r="M53" s="131"/>
      <c r="N53" s="131"/>
      <c r="O53" s="131"/>
    </row>
    <row r="54" spans="1:15" ht="15">
      <c r="B54" s="220"/>
      <c r="C54" s="221"/>
      <c r="D54" s="222"/>
      <c r="E54" s="131" t="str">
        <f t="shared" si="1"/>
        <v/>
      </c>
      <c r="F54" s="223" t="e">
        <f t="shared" si="0"/>
        <v>#NUM!</v>
      </c>
      <c r="G54" s="266" t="e">
        <f t="shared" si="3"/>
        <v>#NUM!</v>
      </c>
      <c r="H54" s="267" t="e">
        <f t="shared" si="4"/>
        <v>#DIV/0!</v>
      </c>
      <c r="I54" s="268" t="e">
        <f t="shared" si="5"/>
        <v>#NUM!</v>
      </c>
      <c r="J54" s="268" t="e">
        <f t="shared" si="6"/>
        <v>#DIV/0!</v>
      </c>
      <c r="M54" s="131"/>
      <c r="N54" s="131"/>
      <c r="O54" s="131"/>
    </row>
    <row r="55" spans="1:15" s="146" customFormat="1" ht="15">
      <c r="A55" s="27"/>
      <c r="B55" s="220"/>
      <c r="C55" s="221"/>
      <c r="D55" s="222"/>
      <c r="E55" s="131" t="str">
        <f t="shared" si="1"/>
        <v/>
      </c>
      <c r="F55" s="223" t="e">
        <f t="shared" si="0"/>
        <v>#NUM!</v>
      </c>
      <c r="G55" s="266" t="e">
        <f t="shared" si="3"/>
        <v>#NUM!</v>
      </c>
      <c r="H55" s="267" t="e">
        <f t="shared" si="4"/>
        <v>#DIV/0!</v>
      </c>
      <c r="I55" s="268" t="e">
        <f t="shared" si="5"/>
        <v>#NUM!</v>
      </c>
      <c r="J55" s="268" t="e">
        <f t="shared" si="6"/>
        <v>#DIV/0!</v>
      </c>
      <c r="K55" s="27"/>
      <c r="L55" s="27"/>
      <c r="M55" s="131"/>
      <c r="N55" s="131"/>
      <c r="O55" s="131"/>
    </row>
    <row r="56" spans="1:15" s="146" customFormat="1" ht="15">
      <c r="A56" s="27"/>
      <c r="B56" s="220"/>
      <c r="C56" s="221"/>
      <c r="D56" s="222"/>
      <c r="E56" s="131" t="str">
        <f t="shared" si="1"/>
        <v/>
      </c>
      <c r="F56" s="223" t="e">
        <f t="shared" si="0"/>
        <v>#NUM!</v>
      </c>
      <c r="G56" s="266" t="e">
        <f t="shared" si="3"/>
        <v>#NUM!</v>
      </c>
      <c r="H56" s="267" t="e">
        <f t="shared" si="4"/>
        <v>#DIV/0!</v>
      </c>
      <c r="I56" s="268" t="e">
        <f t="shared" si="5"/>
        <v>#NUM!</v>
      </c>
      <c r="J56" s="268" t="e">
        <f t="shared" si="6"/>
        <v>#DIV/0!</v>
      </c>
      <c r="K56" s="27"/>
      <c r="L56" s="27"/>
      <c r="M56" s="131"/>
      <c r="N56" s="131"/>
      <c r="O56" s="131"/>
    </row>
    <row r="57" spans="1:15" s="146" customFormat="1" ht="15">
      <c r="A57" s="27"/>
      <c r="B57" s="220"/>
      <c r="C57" s="221"/>
      <c r="D57" s="222"/>
      <c r="E57" s="131" t="str">
        <f t="shared" si="1"/>
        <v/>
      </c>
      <c r="F57" s="223" t="e">
        <f t="shared" si="0"/>
        <v>#NUM!</v>
      </c>
      <c r="G57" s="266" t="e">
        <f t="shared" si="3"/>
        <v>#NUM!</v>
      </c>
      <c r="H57" s="267" t="e">
        <f t="shared" si="4"/>
        <v>#DIV/0!</v>
      </c>
      <c r="I57" s="268" t="e">
        <f t="shared" si="5"/>
        <v>#NUM!</v>
      </c>
      <c r="J57" s="268" t="e">
        <f t="shared" si="6"/>
        <v>#DIV/0!</v>
      </c>
      <c r="K57" s="27"/>
      <c r="L57" s="27"/>
      <c r="M57" s="27"/>
      <c r="N57" s="27"/>
      <c r="O57" s="27"/>
    </row>
    <row r="58" spans="1:15" s="146" customFormat="1" ht="15">
      <c r="A58" s="27"/>
      <c r="B58" s="220"/>
      <c r="C58" s="221"/>
      <c r="D58" s="222"/>
      <c r="E58" s="131" t="str">
        <f t="shared" si="1"/>
        <v/>
      </c>
      <c r="F58" s="223" t="e">
        <f t="shared" si="0"/>
        <v>#NUM!</v>
      </c>
      <c r="G58" s="266" t="e">
        <f t="shared" si="3"/>
        <v>#NUM!</v>
      </c>
      <c r="H58" s="267" t="e">
        <f t="shared" si="4"/>
        <v>#DIV/0!</v>
      </c>
      <c r="I58" s="268" t="e">
        <f t="shared" si="5"/>
        <v>#NUM!</v>
      </c>
      <c r="J58" s="268" t="e">
        <f t="shared" si="6"/>
        <v>#DIV/0!</v>
      </c>
      <c r="K58" s="27"/>
      <c r="L58" s="27"/>
      <c r="M58" s="27"/>
      <c r="N58" s="27"/>
      <c r="O58" s="27"/>
    </row>
    <row r="59" spans="1:15" s="146" customFormat="1" ht="15">
      <c r="A59" s="27"/>
      <c r="B59" s="220"/>
      <c r="C59" s="221"/>
      <c r="D59" s="222"/>
      <c r="E59" s="131" t="str">
        <f t="shared" si="1"/>
        <v/>
      </c>
      <c r="F59" s="223" t="e">
        <f t="shared" si="0"/>
        <v>#NUM!</v>
      </c>
      <c r="G59" s="266" t="e">
        <f t="shared" si="3"/>
        <v>#NUM!</v>
      </c>
      <c r="H59" s="267" t="e">
        <f t="shared" si="4"/>
        <v>#DIV/0!</v>
      </c>
      <c r="I59" s="268" t="e">
        <f t="shared" si="5"/>
        <v>#NUM!</v>
      </c>
      <c r="J59" s="268" t="e">
        <f t="shared" si="6"/>
        <v>#DIV/0!</v>
      </c>
      <c r="K59" s="27"/>
      <c r="L59" s="27"/>
      <c r="M59" s="27"/>
      <c r="N59" s="27"/>
      <c r="O59" s="27"/>
    </row>
    <row r="60" spans="1:15" s="146" customFormat="1" ht="15">
      <c r="A60" s="27"/>
      <c r="B60" s="220"/>
      <c r="C60" s="221"/>
      <c r="D60" s="222"/>
      <c r="E60" s="131" t="str">
        <f t="shared" si="1"/>
        <v/>
      </c>
      <c r="F60" s="223" t="e">
        <f t="shared" si="0"/>
        <v>#NUM!</v>
      </c>
      <c r="G60" s="266" t="e">
        <f t="shared" si="3"/>
        <v>#NUM!</v>
      </c>
      <c r="H60" s="267" t="e">
        <f t="shared" si="4"/>
        <v>#DIV/0!</v>
      </c>
      <c r="I60" s="268" t="e">
        <f t="shared" si="5"/>
        <v>#NUM!</v>
      </c>
      <c r="J60" s="268" t="e">
        <f t="shared" si="6"/>
        <v>#DIV/0!</v>
      </c>
      <c r="K60" s="27"/>
      <c r="L60" s="27"/>
      <c r="M60" s="27"/>
      <c r="N60" s="27"/>
      <c r="O60" s="27"/>
    </row>
    <row r="61" spans="1:15" s="146" customFormat="1" ht="15">
      <c r="A61" s="27"/>
      <c r="B61" s="220"/>
      <c r="C61" s="221"/>
      <c r="D61" s="222"/>
      <c r="E61" s="131" t="str">
        <f t="shared" si="1"/>
        <v/>
      </c>
      <c r="F61" s="223" t="e">
        <f t="shared" si="0"/>
        <v>#NUM!</v>
      </c>
      <c r="G61" s="266" t="e">
        <f t="shared" si="3"/>
        <v>#NUM!</v>
      </c>
      <c r="H61" s="267" t="e">
        <f t="shared" si="4"/>
        <v>#DIV/0!</v>
      </c>
      <c r="I61" s="268" t="e">
        <f t="shared" si="5"/>
        <v>#NUM!</v>
      </c>
      <c r="J61" s="268" t="e">
        <f t="shared" si="6"/>
        <v>#DIV/0!</v>
      </c>
      <c r="K61" s="27"/>
      <c r="L61" s="27"/>
      <c r="M61" s="27"/>
      <c r="N61" s="27"/>
      <c r="O61" s="27"/>
    </row>
    <row r="62" spans="1:15" ht="15">
      <c r="B62" s="220"/>
      <c r="C62" s="221"/>
      <c r="D62" s="222"/>
      <c r="E62" s="131" t="str">
        <f t="shared" si="1"/>
        <v/>
      </c>
      <c r="F62" s="223" t="e">
        <f t="shared" si="0"/>
        <v>#NUM!</v>
      </c>
      <c r="G62" s="266" t="e">
        <f t="shared" si="3"/>
        <v>#NUM!</v>
      </c>
      <c r="H62" s="267" t="e">
        <f t="shared" si="4"/>
        <v>#DIV/0!</v>
      </c>
      <c r="I62" s="268" t="e">
        <f t="shared" si="5"/>
        <v>#NUM!</v>
      </c>
      <c r="J62" s="268" t="e">
        <f t="shared" si="6"/>
        <v>#DIV/0!</v>
      </c>
    </row>
    <row r="63" spans="1:15" ht="15">
      <c r="B63" s="220"/>
      <c r="C63" s="221"/>
      <c r="D63" s="222"/>
      <c r="E63" s="131" t="str">
        <f t="shared" si="1"/>
        <v/>
      </c>
      <c r="F63" s="223" t="e">
        <f t="shared" si="0"/>
        <v>#NUM!</v>
      </c>
      <c r="G63" s="266" t="e">
        <f t="shared" si="3"/>
        <v>#NUM!</v>
      </c>
      <c r="H63" s="267" t="e">
        <f t="shared" si="4"/>
        <v>#DIV/0!</v>
      </c>
      <c r="I63" s="268" t="e">
        <f t="shared" si="5"/>
        <v>#NUM!</v>
      </c>
      <c r="J63" s="268" t="e">
        <f t="shared" si="6"/>
        <v>#DIV/0!</v>
      </c>
    </row>
    <row r="64" spans="1:15" ht="15">
      <c r="B64" s="220"/>
      <c r="C64" s="221"/>
      <c r="D64" s="222"/>
      <c r="E64" s="131" t="str">
        <f t="shared" si="1"/>
        <v/>
      </c>
      <c r="F64" s="223" t="e">
        <f t="shared" si="0"/>
        <v>#NUM!</v>
      </c>
      <c r="G64" s="266" t="e">
        <f t="shared" si="3"/>
        <v>#NUM!</v>
      </c>
      <c r="H64" s="267" t="e">
        <f t="shared" si="4"/>
        <v>#DIV/0!</v>
      </c>
      <c r="I64" s="268" t="e">
        <f t="shared" si="5"/>
        <v>#NUM!</v>
      </c>
      <c r="J64" s="268" t="e">
        <f t="shared" si="6"/>
        <v>#DIV/0!</v>
      </c>
    </row>
    <row r="65" spans="2:15" ht="15">
      <c r="B65" s="220"/>
      <c r="C65" s="221"/>
      <c r="D65" s="222"/>
      <c r="E65" s="131" t="str">
        <f t="shared" si="1"/>
        <v/>
      </c>
      <c r="F65" s="223" t="e">
        <f t="shared" si="0"/>
        <v>#NUM!</v>
      </c>
      <c r="G65" s="266" t="e">
        <f t="shared" si="3"/>
        <v>#NUM!</v>
      </c>
      <c r="H65" s="267" t="e">
        <f t="shared" si="4"/>
        <v>#DIV/0!</v>
      </c>
      <c r="I65" s="268" t="e">
        <f t="shared" si="5"/>
        <v>#NUM!</v>
      </c>
      <c r="J65" s="268" t="e">
        <f t="shared" si="6"/>
        <v>#DIV/0!</v>
      </c>
    </row>
    <row r="66" spans="2:15" ht="15">
      <c r="B66" s="220"/>
      <c r="C66" s="221"/>
      <c r="D66" s="222"/>
      <c r="E66" s="131" t="str">
        <f t="shared" si="1"/>
        <v/>
      </c>
      <c r="F66" s="223" t="e">
        <f t="shared" si="0"/>
        <v>#NUM!</v>
      </c>
      <c r="G66" s="266" t="e">
        <f t="shared" si="3"/>
        <v>#NUM!</v>
      </c>
      <c r="H66" s="267" t="e">
        <f t="shared" si="4"/>
        <v>#DIV/0!</v>
      </c>
      <c r="I66" s="268" t="e">
        <f t="shared" si="5"/>
        <v>#NUM!</v>
      </c>
      <c r="J66" s="268" t="e">
        <f t="shared" si="6"/>
        <v>#DIV/0!</v>
      </c>
      <c r="M66" s="278"/>
      <c r="N66" s="278"/>
      <c r="O66" s="278"/>
    </row>
    <row r="67" spans="2:15" ht="15">
      <c r="B67" s="220"/>
      <c r="C67" s="221"/>
      <c r="D67" s="222"/>
      <c r="E67" s="131" t="str">
        <f t="shared" si="1"/>
        <v/>
      </c>
      <c r="F67" s="223" t="e">
        <f t="shared" si="0"/>
        <v>#NUM!</v>
      </c>
      <c r="G67" s="266" t="e">
        <f t="shared" si="3"/>
        <v>#NUM!</v>
      </c>
      <c r="H67" s="267" t="e">
        <f t="shared" si="4"/>
        <v>#DIV/0!</v>
      </c>
      <c r="I67" s="268" t="e">
        <f t="shared" si="5"/>
        <v>#NUM!</v>
      </c>
      <c r="J67" s="268" t="e">
        <f t="shared" si="6"/>
        <v>#DIV/0!</v>
      </c>
    </row>
    <row r="68" spans="2:15" ht="15">
      <c r="B68" s="220"/>
      <c r="C68" s="221"/>
      <c r="D68" s="222"/>
      <c r="E68" s="131" t="str">
        <f t="shared" si="1"/>
        <v/>
      </c>
      <c r="F68" s="223" t="e">
        <f t="shared" si="0"/>
        <v>#NUM!</v>
      </c>
      <c r="G68" s="266" t="e">
        <f t="shared" si="3"/>
        <v>#NUM!</v>
      </c>
      <c r="H68" s="267" t="e">
        <f t="shared" si="4"/>
        <v>#DIV/0!</v>
      </c>
      <c r="I68" s="268" t="e">
        <f t="shared" si="5"/>
        <v>#NUM!</v>
      </c>
      <c r="J68" s="268" t="e">
        <f t="shared" si="6"/>
        <v>#DIV/0!</v>
      </c>
    </row>
    <row r="69" spans="2:15" ht="15">
      <c r="B69" s="220"/>
      <c r="C69" s="221"/>
      <c r="D69" s="222"/>
      <c r="E69" s="131" t="str">
        <f t="shared" si="1"/>
        <v/>
      </c>
      <c r="F69" s="223" t="e">
        <f t="shared" si="0"/>
        <v>#NUM!</v>
      </c>
      <c r="G69" s="266" t="e">
        <f t="shared" si="3"/>
        <v>#NUM!</v>
      </c>
      <c r="H69" s="267" t="e">
        <f t="shared" si="4"/>
        <v>#DIV/0!</v>
      </c>
      <c r="I69" s="268" t="e">
        <f t="shared" si="5"/>
        <v>#NUM!</v>
      </c>
      <c r="J69" s="268" t="e">
        <f t="shared" si="6"/>
        <v>#DIV/0!</v>
      </c>
    </row>
    <row r="70" spans="2:15" ht="15">
      <c r="B70" s="220"/>
      <c r="C70" s="221"/>
      <c r="D70" s="222"/>
      <c r="E70" s="131" t="str">
        <f t="shared" si="1"/>
        <v/>
      </c>
      <c r="F70" s="223" t="e">
        <f t="shared" si="0"/>
        <v>#NUM!</v>
      </c>
      <c r="G70" s="266" t="e">
        <f t="shared" si="3"/>
        <v>#NUM!</v>
      </c>
      <c r="H70" s="267" t="e">
        <f t="shared" si="4"/>
        <v>#DIV/0!</v>
      </c>
      <c r="I70" s="268" t="e">
        <f t="shared" si="5"/>
        <v>#NUM!</v>
      </c>
      <c r="J70" s="268" t="e">
        <f t="shared" si="6"/>
        <v>#DIV/0!</v>
      </c>
      <c r="M70" s="146"/>
      <c r="N70" s="146"/>
      <c r="O70" s="146"/>
    </row>
    <row r="71" spans="2:15">
      <c r="B71" s="279"/>
      <c r="C71" s="279"/>
      <c r="D71" s="279"/>
      <c r="M71" s="146"/>
      <c r="N71" s="146"/>
      <c r="O71" s="146"/>
    </row>
    <row r="72" spans="2:15">
      <c r="B72" s="279"/>
      <c r="C72" s="279"/>
      <c r="D72" s="279"/>
      <c r="M72" s="146"/>
      <c r="N72" s="146"/>
      <c r="O72" s="146"/>
    </row>
    <row r="73" spans="2:15">
      <c r="B73" s="279"/>
      <c r="C73" s="279"/>
      <c r="D73" s="279"/>
      <c r="M73" s="146"/>
      <c r="N73" s="146"/>
      <c r="O73" s="146"/>
    </row>
    <row r="74" spans="2:15">
      <c r="B74" s="279"/>
      <c r="C74" s="279"/>
      <c r="D74" s="279"/>
      <c r="M74" s="146"/>
      <c r="N74" s="146"/>
      <c r="O74" s="146"/>
    </row>
    <row r="75" spans="2:15">
      <c r="B75" s="279"/>
      <c r="C75" s="279"/>
      <c r="D75" s="279"/>
      <c r="M75" s="146"/>
      <c r="N75" s="146"/>
      <c r="O75" s="146"/>
    </row>
    <row r="76" spans="2:15">
      <c r="B76" s="279"/>
      <c r="C76" s="279"/>
      <c r="D76" s="279"/>
      <c r="M76" s="146"/>
      <c r="N76" s="146"/>
      <c r="O76" s="146"/>
    </row>
  </sheetData>
  <sheetProtection selectLockedCells="1"/>
  <dataConsolidate/>
  <mergeCells count="3">
    <mergeCell ref="B2:D2"/>
    <mergeCell ref="B3:B4"/>
    <mergeCell ref="C3:C4"/>
  </mergeCells>
  <conditionalFormatting sqref="B6:D70">
    <cfRule type="expression" dxfId="727" priority="8" stopIfTrue="1">
      <formula>MOD(ROW(),2)</formula>
    </cfRule>
  </conditionalFormatting>
  <conditionalFormatting sqref="D6:D70">
    <cfRule type="cellIs" dxfId="726" priority="7" stopIfTrue="1" operator="equal">
      <formula>"NO ADMISIBLE"</formula>
    </cfRule>
  </conditionalFormatting>
  <conditionalFormatting sqref="D6:D70">
    <cfRule type="cellIs" dxfId="725" priority="6" stopIfTrue="1" operator="equal">
      <formula>"DESCARTADO"</formula>
    </cfRule>
  </conditionalFormatting>
  <conditionalFormatting sqref="D6:D70">
    <cfRule type="cellIs" dxfId="724" priority="5" stopIfTrue="1" operator="equal">
      <formula>"NO ADMISIBLE"</formula>
    </cfRule>
  </conditionalFormatting>
  <conditionalFormatting sqref="D6:D70">
    <cfRule type="cellIs" dxfId="723" priority="4" stopIfTrue="1" operator="equal">
      <formula>"DESCARTADO"</formula>
    </cfRule>
  </conditionalFormatting>
  <conditionalFormatting sqref="F6:F70">
    <cfRule type="cellIs" dxfId="722" priority="2" operator="equal">
      <formula>"PROPUESTA BAJA"</formula>
    </cfRule>
    <cfRule type="cellIs" dxfId="721" priority="3" operator="equal">
      <formula>"PROPUESTA VALIDA"</formula>
    </cfRule>
  </conditionalFormatting>
  <conditionalFormatting sqref="G42:J70">
    <cfRule type="cellIs" dxfId="720"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tabColor rgb="FFFFFF00"/>
  </sheetPr>
  <dimension ref="A1:P28"/>
  <sheetViews>
    <sheetView showGridLines="0" topLeftCell="A12" zoomScale="110" zoomScaleNormal="110" workbookViewId="0">
      <selection activeCell="B4" sqref="B4:K4"/>
    </sheetView>
  </sheetViews>
  <sheetFormatPr baseColWidth="10" defaultColWidth="0" defaultRowHeight="15"/>
  <cols>
    <col min="1" max="1" width="3" style="2" customWidth="1"/>
    <col min="2" max="2" width="7.140625" style="2" customWidth="1"/>
    <col min="3" max="3" width="7" style="2" customWidth="1"/>
    <col min="4" max="4" width="60.28515625" style="2" customWidth="1"/>
    <col min="5" max="5" width="15.7109375" style="2" customWidth="1"/>
    <col min="6" max="7" width="13.5703125" style="15" customWidth="1"/>
    <col min="8" max="8" width="21.42578125" style="15" customWidth="1"/>
    <col min="9" max="9" width="17.140625" style="15" customWidth="1"/>
    <col min="10" max="10" width="10.42578125" style="15" customWidth="1"/>
    <col min="11" max="11" width="17.7109375" style="314" hidden="1" customWidth="1"/>
    <col min="12" max="12" width="15.7109375" style="2" customWidth="1"/>
    <col min="13" max="13" width="19.7109375" style="2" hidden="1" customWidth="1"/>
    <col min="14" max="16" width="11.42578125" style="2" customWidth="1"/>
    <col min="17" max="16384" width="11.42578125" style="2" hidden="1"/>
  </cols>
  <sheetData>
    <row r="1" spans="1:13" s="20" customFormat="1" ht="20.100000000000001" customHeight="1">
      <c r="B1" s="444" t="s">
        <v>170</v>
      </c>
      <c r="C1" s="444"/>
      <c r="D1" s="444"/>
      <c r="E1" s="444"/>
      <c r="F1" s="444"/>
      <c r="G1" s="444"/>
      <c r="H1" s="444"/>
      <c r="I1" s="444"/>
      <c r="J1" s="444"/>
      <c r="K1" s="444"/>
    </row>
    <row r="2" spans="1:13" s="20" customFormat="1" ht="20.100000000000001" customHeight="1">
      <c r="B2" s="445" t="s">
        <v>171</v>
      </c>
      <c r="C2" s="445"/>
      <c r="D2" s="445"/>
      <c r="E2" s="445"/>
      <c r="F2" s="445"/>
      <c r="G2" s="445"/>
      <c r="H2" s="445"/>
      <c r="I2" s="445"/>
      <c r="J2" s="445"/>
      <c r="K2" s="445"/>
    </row>
    <row r="3" spans="1:13" s="20" customFormat="1" ht="20.100000000000001" customHeight="1">
      <c r="B3" s="445" t="s">
        <v>172</v>
      </c>
      <c r="C3" s="445"/>
      <c r="D3" s="445"/>
      <c r="E3" s="445"/>
      <c r="F3" s="445"/>
      <c r="G3" s="445"/>
      <c r="H3" s="445"/>
      <c r="I3" s="445"/>
      <c r="J3" s="445"/>
      <c r="K3" s="445"/>
    </row>
    <row r="4" spans="1:13" s="20" customFormat="1" ht="25.5" customHeight="1">
      <c r="A4" s="23"/>
      <c r="B4" s="445" t="s">
        <v>173</v>
      </c>
      <c r="C4" s="445"/>
      <c r="D4" s="445"/>
      <c r="E4" s="445"/>
      <c r="F4" s="445"/>
      <c r="G4" s="445"/>
      <c r="H4" s="445"/>
      <c r="I4" s="445"/>
      <c r="J4" s="445"/>
      <c r="K4" s="445"/>
    </row>
    <row r="5" spans="1:13" s="20" customFormat="1" ht="18.75">
      <c r="A5" s="23"/>
      <c r="B5" s="287"/>
      <c r="C5" s="32"/>
      <c r="D5" s="31"/>
      <c r="E5" s="31"/>
      <c r="F5" s="31"/>
      <c r="G5" s="31"/>
      <c r="H5" s="31"/>
      <c r="I5" s="31"/>
      <c r="J5" s="31"/>
      <c r="K5" s="31"/>
    </row>
    <row r="6" spans="1:13" s="20" customFormat="1" ht="53.25" customHeight="1">
      <c r="A6" s="23"/>
      <c r="B6" s="445" t="s">
        <v>174</v>
      </c>
      <c r="C6" s="445"/>
      <c r="D6" s="445"/>
      <c r="E6" s="445"/>
      <c r="F6" s="445"/>
      <c r="G6" s="445"/>
      <c r="H6" s="445"/>
      <c r="I6" s="445"/>
      <c r="J6" s="445"/>
      <c r="K6" s="445"/>
    </row>
    <row r="7" spans="1:13" s="20" customFormat="1" ht="18.75">
      <c r="A7" s="23"/>
      <c r="B7" s="32"/>
      <c r="C7" s="32"/>
      <c r="D7" s="31"/>
      <c r="E7" s="31"/>
      <c r="F7" s="31"/>
      <c r="G7" s="31"/>
      <c r="H7" s="31"/>
      <c r="I7" s="31"/>
      <c r="J7" s="31"/>
      <c r="K7" s="313"/>
    </row>
    <row r="8" spans="1:13" s="20" customFormat="1" ht="18.75">
      <c r="A8" s="23"/>
      <c r="B8" s="32"/>
      <c r="C8" s="32"/>
      <c r="D8" s="31"/>
      <c r="E8" s="31"/>
      <c r="F8" s="31"/>
      <c r="G8" s="31"/>
      <c r="H8" s="31"/>
      <c r="I8" s="31"/>
      <c r="J8" s="31"/>
      <c r="K8" s="31"/>
    </row>
    <row r="9" spans="1:13" ht="13.5" customHeight="1">
      <c r="B9" s="436" t="s">
        <v>25</v>
      </c>
      <c r="C9" s="436"/>
      <c r="D9" s="436"/>
      <c r="E9" s="436"/>
      <c r="F9" s="436"/>
      <c r="G9" s="436"/>
      <c r="H9" s="436"/>
      <c r="I9" s="436"/>
      <c r="J9" s="436"/>
      <c r="K9" s="436"/>
    </row>
    <row r="10" spans="1:13" ht="13.5" customHeight="1" thickBot="1">
      <c r="B10" s="437" t="s">
        <v>18</v>
      </c>
      <c r="C10" s="437"/>
      <c r="D10" s="437"/>
      <c r="E10" s="437"/>
      <c r="F10" s="437"/>
      <c r="G10" s="437"/>
      <c r="H10" s="437"/>
      <c r="I10" s="437"/>
      <c r="J10" s="437"/>
      <c r="K10" s="437"/>
    </row>
    <row r="11" spans="1:13" ht="24" customHeight="1" thickTop="1">
      <c r="B11" s="423" t="s">
        <v>39</v>
      </c>
      <c r="C11" s="429" t="s">
        <v>74</v>
      </c>
      <c r="D11" s="420" t="s">
        <v>75</v>
      </c>
      <c r="E11" s="426" t="s">
        <v>19</v>
      </c>
      <c r="F11" s="432" t="s">
        <v>20</v>
      </c>
      <c r="G11" s="433"/>
      <c r="H11" s="433"/>
      <c r="I11" s="434"/>
      <c r="J11" s="434"/>
      <c r="K11" s="435"/>
    </row>
    <row r="12" spans="1:13" ht="45" customHeight="1">
      <c r="B12" s="424"/>
      <c r="C12" s="430"/>
      <c r="D12" s="421"/>
      <c r="E12" s="427"/>
      <c r="F12" s="438" t="s">
        <v>70</v>
      </c>
      <c r="G12" s="440" t="s">
        <v>78</v>
      </c>
      <c r="H12" s="442" t="s">
        <v>107</v>
      </c>
      <c r="I12" s="442" t="s">
        <v>160</v>
      </c>
      <c r="J12" s="442" t="s">
        <v>161</v>
      </c>
      <c r="K12" s="331" t="s">
        <v>153</v>
      </c>
    </row>
    <row r="13" spans="1:13" ht="16.5" customHeight="1" thickBot="1">
      <c r="B13" s="425"/>
      <c r="C13" s="431"/>
      <c r="D13" s="422"/>
      <c r="E13" s="428"/>
      <c r="F13" s="439"/>
      <c r="G13" s="441"/>
      <c r="H13" s="443"/>
      <c r="I13" s="443"/>
      <c r="J13" s="443"/>
      <c r="K13" s="330" t="s">
        <v>152</v>
      </c>
    </row>
    <row r="14" spans="1:13" ht="4.5" customHeight="1">
      <c r="B14" s="34"/>
      <c r="C14" s="55"/>
      <c r="D14" s="35"/>
      <c r="E14" s="35"/>
      <c r="H14" s="318"/>
      <c r="I14" s="318"/>
      <c r="J14" s="318"/>
      <c r="K14" s="315"/>
      <c r="L14" s="121"/>
    </row>
    <row r="15" spans="1:13" ht="12.75">
      <c r="B15" s="286">
        <v>1</v>
      </c>
      <c r="C15" s="111">
        <v>1</v>
      </c>
      <c r="D15" s="139" t="s">
        <v>162</v>
      </c>
      <c r="E15" s="112" t="s">
        <v>10</v>
      </c>
      <c r="F15" s="113">
        <v>20</v>
      </c>
      <c r="G15" s="113">
        <v>19</v>
      </c>
      <c r="H15" s="135">
        <v>1</v>
      </c>
      <c r="I15" s="135">
        <v>0.25</v>
      </c>
      <c r="J15" s="135">
        <v>0.25</v>
      </c>
      <c r="K15" s="319">
        <v>0</v>
      </c>
      <c r="L15" s="121"/>
      <c r="M15" s="177" t="str">
        <f>IF(COUNTIF($D$15:$D$22,D15)&gt;1,"REPETIDO "&amp;COUNTIF($D$15:$D$22,D15)&amp;" VECES","CORRECTO")</f>
        <v>CORRECTO</v>
      </c>
    </row>
    <row r="16" spans="1:13" ht="12.75">
      <c r="B16" s="286">
        <v>2</v>
      </c>
      <c r="C16" s="111">
        <v>2</v>
      </c>
      <c r="D16" s="139" t="s">
        <v>163</v>
      </c>
      <c r="E16" s="112" t="s">
        <v>10</v>
      </c>
      <c r="F16" s="113">
        <v>20</v>
      </c>
      <c r="G16" s="113">
        <v>19</v>
      </c>
      <c r="H16" s="135">
        <v>1</v>
      </c>
      <c r="I16" s="135">
        <v>0.25</v>
      </c>
      <c r="J16" s="135">
        <v>0.25</v>
      </c>
      <c r="K16" s="319">
        <v>0</v>
      </c>
      <c r="L16" s="121"/>
      <c r="M16" s="177"/>
    </row>
    <row r="17" spans="2:13" ht="12.75">
      <c r="B17" s="286">
        <v>3</v>
      </c>
      <c r="C17" s="111">
        <v>3</v>
      </c>
      <c r="D17" s="139" t="s">
        <v>164</v>
      </c>
      <c r="E17" s="112" t="s">
        <v>10</v>
      </c>
      <c r="F17" s="113">
        <v>20</v>
      </c>
      <c r="G17" s="113">
        <v>19</v>
      </c>
      <c r="H17" s="135">
        <v>1</v>
      </c>
      <c r="I17" s="135">
        <v>0.25</v>
      </c>
      <c r="J17" s="135">
        <v>0.25</v>
      </c>
      <c r="K17" s="319">
        <v>0</v>
      </c>
      <c r="L17" s="121"/>
      <c r="M17" s="177"/>
    </row>
    <row r="18" spans="2:13" ht="12.75">
      <c r="B18" s="286">
        <v>4</v>
      </c>
      <c r="C18" s="111">
        <v>4</v>
      </c>
      <c r="D18" s="139" t="s">
        <v>165</v>
      </c>
      <c r="E18" s="112" t="s">
        <v>10</v>
      </c>
      <c r="F18" s="113">
        <v>20</v>
      </c>
      <c r="G18" s="113">
        <v>19</v>
      </c>
      <c r="H18" s="135">
        <v>1</v>
      </c>
      <c r="I18" s="135">
        <v>0.25</v>
      </c>
      <c r="J18" s="135">
        <v>0.25</v>
      </c>
      <c r="K18" s="319">
        <v>0</v>
      </c>
      <c r="L18" s="121"/>
      <c r="M18" s="177"/>
    </row>
    <row r="19" spans="2:13" ht="12.75">
      <c r="B19" s="286">
        <v>5</v>
      </c>
      <c r="C19" s="111">
        <v>5</v>
      </c>
      <c r="D19" s="139" t="s">
        <v>166</v>
      </c>
      <c r="E19" s="112" t="s">
        <v>10</v>
      </c>
      <c r="F19" s="113">
        <v>20</v>
      </c>
      <c r="G19" s="113">
        <v>19</v>
      </c>
      <c r="H19" s="135">
        <v>1</v>
      </c>
      <c r="I19" s="135">
        <v>0.25</v>
      </c>
      <c r="J19" s="135">
        <v>0.25</v>
      </c>
      <c r="K19" s="319">
        <v>0</v>
      </c>
      <c r="L19" s="121"/>
      <c r="M19" s="177"/>
    </row>
    <row r="20" spans="2:13" ht="12.75">
      <c r="B20" s="286">
        <v>6</v>
      </c>
      <c r="C20" s="111">
        <v>6</v>
      </c>
      <c r="D20" s="139" t="s">
        <v>167</v>
      </c>
      <c r="E20" s="112" t="s">
        <v>10</v>
      </c>
      <c r="F20" s="113">
        <v>20</v>
      </c>
      <c r="G20" s="113">
        <v>19</v>
      </c>
      <c r="H20" s="135">
        <v>1</v>
      </c>
      <c r="I20" s="135">
        <v>0.25</v>
      </c>
      <c r="J20" s="135">
        <v>0.25</v>
      </c>
      <c r="K20" s="319">
        <v>0</v>
      </c>
      <c r="L20" s="121"/>
      <c r="M20" s="177"/>
    </row>
    <row r="21" spans="2:13" ht="12.75">
      <c r="B21" s="286">
        <v>7</v>
      </c>
      <c r="C21" s="111">
        <v>7</v>
      </c>
      <c r="D21" s="139" t="s">
        <v>168</v>
      </c>
      <c r="E21" s="112" t="s">
        <v>10</v>
      </c>
      <c r="F21" s="113">
        <v>20</v>
      </c>
      <c r="G21" s="113">
        <v>19</v>
      </c>
      <c r="H21" s="135">
        <v>1</v>
      </c>
      <c r="I21" s="135">
        <v>0.25</v>
      </c>
      <c r="J21" s="135">
        <v>0.25</v>
      </c>
      <c r="K21" s="319">
        <v>0</v>
      </c>
      <c r="L21" s="121"/>
      <c r="M21" s="177"/>
    </row>
    <row r="22" spans="2:13" ht="12.75">
      <c r="B22" s="286">
        <v>8</v>
      </c>
      <c r="C22" s="111">
        <v>8</v>
      </c>
      <c r="D22" s="139" t="s">
        <v>169</v>
      </c>
      <c r="E22" s="112" t="s">
        <v>10</v>
      </c>
      <c r="F22" s="113">
        <v>20</v>
      </c>
      <c r="G22" s="113">
        <v>19</v>
      </c>
      <c r="H22" s="135">
        <v>1</v>
      </c>
      <c r="I22" s="135">
        <v>0.25</v>
      </c>
      <c r="J22" s="135">
        <v>0.25</v>
      </c>
      <c r="K22" s="319">
        <v>0</v>
      </c>
      <c r="L22" s="121"/>
      <c r="M22" s="177"/>
    </row>
    <row r="23" spans="2:13" ht="15.75" thickBot="1">
      <c r="B23" s="191"/>
      <c r="C23" s="312"/>
      <c r="D23" s="312"/>
      <c r="E23" s="312"/>
      <c r="F23" s="312"/>
      <c r="G23" s="312"/>
      <c r="H23" s="312"/>
      <c r="I23" s="38"/>
      <c r="J23" s="38"/>
      <c r="K23" s="317"/>
      <c r="L23" s="121"/>
    </row>
    <row r="24" spans="2:13" ht="13.5" thickTop="1">
      <c r="B24" s="414" t="s">
        <v>21</v>
      </c>
      <c r="C24" s="415"/>
      <c r="D24" s="114" t="s">
        <v>10</v>
      </c>
      <c r="E24" s="320">
        <f>COUNTIF($E$15:$E$22,D24)</f>
        <v>8</v>
      </c>
      <c r="F24" s="49"/>
      <c r="G24" s="50"/>
      <c r="H24" s="50"/>
      <c r="I24" s="50"/>
      <c r="J24" s="50"/>
      <c r="K24" s="136"/>
      <c r="L24" s="15"/>
    </row>
    <row r="25" spans="2:13" ht="12.75">
      <c r="B25" s="416"/>
      <c r="C25" s="417"/>
      <c r="D25" s="115" t="s">
        <v>9</v>
      </c>
      <c r="E25" s="178">
        <f>COUNTIF($E$15:$E$22,D25)</f>
        <v>0</v>
      </c>
      <c r="F25" s="36"/>
      <c r="K25" s="39"/>
      <c r="L25" s="15"/>
    </row>
    <row r="26" spans="2:13" ht="12.75">
      <c r="B26" s="416"/>
      <c r="C26" s="417"/>
      <c r="D26" s="116" t="s">
        <v>14</v>
      </c>
      <c r="E26" s="179">
        <f>COUNTIF($E$15:$E$22,D26)</f>
        <v>0</v>
      </c>
      <c r="F26" s="36"/>
      <c r="K26" s="39"/>
      <c r="L26" s="15"/>
    </row>
    <row r="27" spans="2:13" ht="13.5" thickBot="1">
      <c r="B27" s="418"/>
      <c r="C27" s="419"/>
      <c r="D27" s="369" t="s">
        <v>41</v>
      </c>
      <c r="E27" s="381">
        <f>SUM(E24:E26)</f>
        <v>8</v>
      </c>
      <c r="F27" s="37"/>
      <c r="G27" s="38"/>
      <c r="H27" s="38"/>
      <c r="I27" s="38"/>
      <c r="J27" s="38"/>
      <c r="K27" s="137"/>
      <c r="L27" s="15"/>
    </row>
    <row r="28" spans="2:13" ht="3" customHeight="1" thickTop="1">
      <c r="B28" s="176" t="s">
        <v>117</v>
      </c>
    </row>
  </sheetData>
  <sheetProtection selectLockedCells="1"/>
  <mergeCells count="18">
    <mergeCell ref="B1:K1"/>
    <mergeCell ref="B2:K2"/>
    <mergeCell ref="B3:K3"/>
    <mergeCell ref="B4:K4"/>
    <mergeCell ref="B6:K6"/>
    <mergeCell ref="F11:K11"/>
    <mergeCell ref="B9:K9"/>
    <mergeCell ref="B10:K10"/>
    <mergeCell ref="F12:F13"/>
    <mergeCell ref="G12:G13"/>
    <mergeCell ref="H12:H13"/>
    <mergeCell ref="I12:I13"/>
    <mergeCell ref="J12:J13"/>
    <mergeCell ref="B24:C27"/>
    <mergeCell ref="D11:D13"/>
    <mergeCell ref="B11:B13"/>
    <mergeCell ref="E11:E13"/>
    <mergeCell ref="C11:C13"/>
  </mergeCells>
  <phoneticPr fontId="0" type="noConversion"/>
  <conditionalFormatting sqref="B15:K22">
    <cfRule type="expression" dxfId="719" priority="52">
      <formula>MOD(ROW(),2)</formula>
    </cfRule>
  </conditionalFormatting>
  <conditionalFormatting sqref="F15:K22">
    <cfRule type="cellIs" dxfId="718" priority="26" operator="equal">
      <formula>0</formula>
    </cfRule>
  </conditionalFormatting>
  <conditionalFormatting sqref="E15:E22">
    <cfRule type="cellIs" dxfId="717" priority="32" operator="equal">
      <formula>"RECHAZO"</formula>
    </cfRule>
    <cfRule type="cellIs" dxfId="716" priority="33" operator="equal">
      <formula>"NO ADMISIBLE"</formula>
    </cfRule>
  </conditionalFormatting>
  <conditionalFormatting sqref="M15:M22">
    <cfRule type="cellIs" dxfId="715" priority="24" operator="equal">
      <formula>"CORRECTO"</formula>
    </cfRule>
  </conditionalFormatting>
  <conditionalFormatting sqref="H15:J22">
    <cfRule type="cellIs" dxfId="714" priority="13" operator="equal">
      <formula>0</formula>
    </cfRule>
  </conditionalFormatting>
  <conditionalFormatting sqref="K15:K22">
    <cfRule type="cellIs" dxfId="713" priority="5" operator="equal">
      <formula>-1</formula>
    </cfRule>
    <cfRule type="cellIs" dxfId="712" priority="6" stopIfTrue="1" operator="equal">
      <formula>"RECHAZO"</formula>
    </cfRule>
    <cfRule type="cellIs" dxfId="711" priority="7" stopIfTrue="1" operator="equal">
      <formula>"CUMPLE"</formula>
    </cfRule>
    <cfRule type="cellIs" dxfId="710" priority="8" stopIfTrue="1" operator="equal">
      <formula>"NO CUMPLE"</formula>
    </cfRule>
    <cfRule type="cellIs" dxfId="709" priority="9" stopIfTrue="1" operator="equal">
      <formula>"HÁBIL"</formula>
    </cfRule>
    <cfRule type="cellIs" dxfId="708" priority="10" stopIfTrue="1" operator="equal">
      <formula>"NO HÁBIL"</formula>
    </cfRule>
    <cfRule type="cellIs" dxfId="707" priority="11" stopIfTrue="1" operator="equal">
      <formula>"NO APLICA"</formula>
    </cfRule>
  </conditionalFormatting>
  <dataValidations count="2">
    <dataValidation type="list" allowBlank="1" showInputMessage="1" showErrorMessage="1" sqref="E15:E22" xr:uid="{00000000-0002-0000-0100-000001000000}">
      <formula1>RESULTADO</formula1>
    </dataValidation>
    <dataValidation type="whole" allowBlank="1" showInputMessage="1" showErrorMessage="1" errorTitle="RNOCI" error="! DEBES DIGITAR CERO ( 0 ) ó MENOS UNO ( -1 ) !!" sqref="K15:K22" xr:uid="{00000000-0002-0000-0100-000002000000}">
      <formula1>-1</formula1>
      <formula2>0</formula2>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tabColor theme="9" tint="-0.249977111117893"/>
  </sheetPr>
  <dimension ref="A1:AH238"/>
  <sheetViews>
    <sheetView showGridLines="0" topLeftCell="A104" zoomScale="110" zoomScaleNormal="110" zoomScaleSheetLayoutView="93" workbookViewId="0">
      <selection activeCell="H108" sqref="H108"/>
    </sheetView>
  </sheetViews>
  <sheetFormatPr baseColWidth="10" defaultColWidth="11.42578125" defaultRowHeight="12.75" zeroHeight="1"/>
  <cols>
    <col min="1" max="1" width="2.7109375" style="2" customWidth="1"/>
    <col min="2" max="2" width="5.140625" style="13" customWidth="1"/>
    <col min="3" max="3" width="9.5703125" style="13" customWidth="1"/>
    <col min="4" max="4" width="13.42578125" style="2" customWidth="1"/>
    <col min="5" max="5" width="10.140625" style="2" customWidth="1"/>
    <col min="6" max="6" width="13.5703125" style="2" customWidth="1"/>
    <col min="7" max="7" width="18" style="10" customWidth="1"/>
    <col min="8" max="8" width="23.140625" style="2" customWidth="1"/>
    <col min="9" max="10" width="21.140625" style="10" customWidth="1"/>
    <col min="11" max="32" width="21.140625" style="14" customWidth="1"/>
    <col min="33" max="127" width="11.42578125" style="2" customWidth="1"/>
    <col min="128" max="16384" width="11.42578125" style="2"/>
  </cols>
  <sheetData>
    <row r="1" spans="2:34" s="20" customFormat="1" ht="20.100000000000001" customHeight="1">
      <c r="B1" s="460" t="str">
        <f>RESUMEN!B1</f>
        <v>AGENCIA NACIONAL DE INFRAESTRUCTURA</v>
      </c>
      <c r="C1" s="460"/>
      <c r="D1" s="460"/>
      <c r="E1" s="460"/>
      <c r="F1" s="460"/>
      <c r="G1" s="460"/>
      <c r="H1" s="460"/>
      <c r="I1" s="21"/>
      <c r="K1" s="22"/>
      <c r="L1" s="22"/>
      <c r="M1" s="22"/>
      <c r="N1" s="22"/>
      <c r="O1" s="22"/>
      <c r="P1" s="22"/>
      <c r="Q1" s="22"/>
      <c r="R1" s="22"/>
      <c r="S1" s="22"/>
      <c r="T1" s="22"/>
      <c r="U1" s="22"/>
      <c r="V1" s="22"/>
      <c r="W1" s="22"/>
      <c r="X1" s="22"/>
      <c r="Y1" s="22"/>
      <c r="Z1" s="22"/>
      <c r="AA1" s="22"/>
      <c r="AB1" s="22"/>
      <c r="AC1" s="22"/>
      <c r="AD1" s="22"/>
      <c r="AE1" s="22"/>
      <c r="AF1" s="22"/>
    </row>
    <row r="2" spans="2:34" s="20" customFormat="1" ht="20.100000000000001" customHeight="1">
      <c r="B2" s="461" t="str">
        <f>RESUMEN!B2</f>
        <v>VICEPRESIDENCIA JURIDICA</v>
      </c>
      <c r="C2" s="461"/>
      <c r="D2" s="461"/>
      <c r="E2" s="461"/>
      <c r="F2" s="461"/>
      <c r="G2" s="461"/>
      <c r="H2" s="461"/>
      <c r="I2" s="21"/>
      <c r="K2" s="22"/>
      <c r="L2" s="22"/>
      <c r="M2" s="22"/>
      <c r="N2" s="22"/>
      <c r="O2" s="22"/>
      <c r="P2" s="22"/>
      <c r="Q2" s="22"/>
      <c r="R2" s="22"/>
      <c r="S2" s="22"/>
      <c r="T2" s="22"/>
      <c r="U2" s="22"/>
      <c r="V2" s="22"/>
      <c r="W2" s="22"/>
      <c r="X2" s="22"/>
      <c r="Y2" s="22"/>
      <c r="Z2" s="22"/>
      <c r="AA2" s="22"/>
      <c r="AB2" s="22"/>
      <c r="AC2" s="22"/>
      <c r="AD2" s="22"/>
      <c r="AE2" s="22"/>
      <c r="AF2" s="22"/>
    </row>
    <row r="3" spans="2:34" s="20" customFormat="1" ht="20.100000000000001" customHeight="1">
      <c r="B3" s="461" t="str">
        <f>RESUMEN!B3</f>
        <v>GIT DE CONTRATACIÓN</v>
      </c>
      <c r="C3" s="461"/>
      <c r="D3" s="461"/>
      <c r="E3" s="461"/>
      <c r="F3" s="461"/>
      <c r="G3" s="461"/>
      <c r="H3" s="461"/>
      <c r="I3" s="21"/>
      <c r="J3" s="124"/>
      <c r="K3" s="22"/>
      <c r="L3" s="22"/>
      <c r="M3" s="22"/>
      <c r="N3" s="22"/>
      <c r="O3" s="22"/>
      <c r="P3" s="22"/>
      <c r="Q3" s="22"/>
      <c r="R3" s="22"/>
      <c r="S3" s="22"/>
      <c r="T3" s="22"/>
      <c r="U3" s="22"/>
      <c r="V3" s="22"/>
      <c r="W3" s="22"/>
      <c r="X3" s="22"/>
      <c r="Y3" s="22"/>
      <c r="Z3" s="22"/>
      <c r="AA3" s="22"/>
      <c r="AB3" s="22"/>
      <c r="AC3" s="22"/>
      <c r="AD3" s="22"/>
      <c r="AE3" s="22"/>
      <c r="AF3" s="22"/>
    </row>
    <row r="4" spans="2:34" s="20" customFormat="1" ht="20.100000000000001" customHeight="1">
      <c r="B4" s="461"/>
      <c r="C4" s="461"/>
      <c r="D4" s="461"/>
      <c r="E4" s="461"/>
      <c r="F4" s="461"/>
      <c r="G4" s="461"/>
      <c r="H4" s="461"/>
      <c r="I4" s="21"/>
      <c r="J4" s="125"/>
      <c r="K4" s="22"/>
      <c r="L4" s="22"/>
      <c r="M4" s="22"/>
      <c r="N4" s="22"/>
      <c r="O4" s="22"/>
      <c r="P4" s="22"/>
      <c r="Q4" s="22"/>
      <c r="R4" s="22"/>
      <c r="S4" s="22"/>
      <c r="T4" s="22"/>
      <c r="U4" s="22"/>
      <c r="V4" s="22"/>
      <c r="W4" s="22"/>
      <c r="X4" s="22"/>
      <c r="Y4" s="22"/>
      <c r="Z4" s="22"/>
      <c r="AA4" s="22"/>
      <c r="AB4" s="22"/>
      <c r="AC4" s="22"/>
      <c r="AD4" s="22"/>
      <c r="AE4" s="22"/>
      <c r="AF4" s="22"/>
    </row>
    <row r="5" spans="2:34" s="20" customFormat="1" ht="20.100000000000001" customHeight="1">
      <c r="B5" s="461" t="str">
        <f>RESUMEN!B4</f>
        <v>LICITACIÓN PÚBLICA VJ-VE-LP-001-2023</v>
      </c>
      <c r="C5" s="461"/>
      <c r="D5" s="461"/>
      <c r="E5" s="461"/>
      <c r="F5" s="461"/>
      <c r="G5" s="461"/>
      <c r="H5" s="461"/>
      <c r="I5" s="21"/>
      <c r="K5" s="22"/>
      <c r="L5" s="22"/>
      <c r="M5" s="22"/>
      <c r="N5" s="22"/>
      <c r="O5" s="22"/>
      <c r="P5" s="22"/>
      <c r="Q5" s="22"/>
      <c r="R5" s="22"/>
      <c r="S5" s="22"/>
      <c r="T5" s="22"/>
      <c r="U5" s="22"/>
      <c r="V5" s="22"/>
      <c r="W5" s="22"/>
      <c r="X5" s="22"/>
      <c r="Y5" s="22"/>
      <c r="Z5" s="22"/>
      <c r="AA5" s="22"/>
      <c r="AB5" s="22"/>
      <c r="AC5" s="22"/>
      <c r="AD5" s="22"/>
      <c r="AE5" s="22"/>
      <c r="AF5" s="22"/>
    </row>
    <row r="6" spans="2:34" s="20" customFormat="1" ht="25.5" customHeight="1">
      <c r="B6" s="463"/>
      <c r="C6" s="463"/>
      <c r="D6" s="463"/>
      <c r="E6" s="463"/>
      <c r="F6" s="463"/>
      <c r="G6" s="463"/>
      <c r="H6" s="463"/>
      <c r="I6" s="21"/>
      <c r="K6" s="22"/>
      <c r="L6" s="22"/>
      <c r="M6" s="22"/>
      <c r="N6" s="22"/>
      <c r="O6" s="22"/>
      <c r="P6" s="22"/>
      <c r="Q6" s="22"/>
      <c r="R6" s="22"/>
      <c r="S6" s="22"/>
      <c r="T6" s="22"/>
      <c r="U6" s="22"/>
      <c r="V6" s="22"/>
      <c r="W6" s="22"/>
      <c r="X6" s="22"/>
      <c r="Y6" s="22"/>
      <c r="Z6" s="22"/>
      <c r="AA6" s="22"/>
      <c r="AB6" s="22"/>
      <c r="AC6" s="22"/>
      <c r="AD6" s="22"/>
      <c r="AE6" s="22"/>
      <c r="AF6" s="22"/>
    </row>
    <row r="7" spans="2:34" s="20" customFormat="1" ht="50.25" customHeight="1" thickBot="1">
      <c r="B7" s="461" t="str">
        <f>RESUMEN!B6</f>
        <v>OBJETO: “EL CONTRATISTA SE OBLIGA CON LA AGENCIA NACIONAL DE INFRAESTRUCTURA A EJECUTAR LAS ACTIVIDADES DE MANTENIMIENTO, CONSERVACIÓN Y MEJORAMIENTO DE LA INFRAESTRUCTURA ENTREGADA Y QUE HACE PARTE DEL CORREDOR LA DORADA (CALDAS) - CHIRIGUANA (CESAR) Y RAMALES INCLUIDOS EN LOS ANEXOS TÉCNICOS, ASÍ COMO EL CONTROL Y MANTENIMIENTO DE MATERIAL RODANTE Y ATENCIÓN DE EMERGENCIAS QUE ALTEREN DE ALGUNA MANERA LAS OPERACIONES FERROVIARIAS EN EL CORREDOR FERROVIARIO, Y DEMÁS ACTIVIDADES CONSAGRADAS EN LOS ANEXOS"</v>
      </c>
      <c r="C7" s="461"/>
      <c r="D7" s="461"/>
      <c r="E7" s="461"/>
      <c r="F7" s="461"/>
      <c r="G7" s="461"/>
      <c r="H7" s="461"/>
      <c r="I7" s="21"/>
      <c r="K7" s="22"/>
      <c r="L7" s="22"/>
      <c r="M7" s="22"/>
      <c r="N7" s="22"/>
      <c r="O7" s="22"/>
      <c r="P7" s="22"/>
      <c r="Q7" s="22"/>
      <c r="R7" s="22"/>
      <c r="S7" s="22"/>
      <c r="T7" s="22"/>
      <c r="U7" s="22"/>
      <c r="V7" s="22"/>
      <c r="W7" s="22"/>
      <c r="X7" s="22"/>
      <c r="Y7" s="22"/>
      <c r="Z7" s="22"/>
      <c r="AA7" s="22"/>
      <c r="AB7" s="22"/>
      <c r="AC7" s="22"/>
      <c r="AD7" s="22"/>
      <c r="AE7" s="22"/>
      <c r="AF7" s="22"/>
    </row>
    <row r="8" spans="2:34" s="20" customFormat="1" ht="18.75" hidden="1" thickBot="1"/>
    <row r="9" spans="2:34" s="15" customFormat="1" ht="13.5" hidden="1" thickBot="1">
      <c r="B9" s="462" t="s">
        <v>115</v>
      </c>
      <c r="C9" s="462"/>
      <c r="D9" s="462"/>
      <c r="E9" s="462"/>
      <c r="F9" s="462"/>
      <c r="G9" s="462"/>
      <c r="H9" s="462"/>
      <c r="I9" s="18"/>
      <c r="J9" s="14"/>
      <c r="K9" s="14"/>
      <c r="L9" s="14"/>
      <c r="M9" s="14"/>
      <c r="N9" s="14"/>
      <c r="O9" s="14"/>
      <c r="P9" s="14"/>
      <c r="Q9" s="14"/>
      <c r="R9" s="14"/>
      <c r="S9" s="14"/>
      <c r="T9" s="14"/>
      <c r="U9" s="14"/>
      <c r="V9" s="14"/>
      <c r="W9" s="14"/>
      <c r="X9" s="14"/>
      <c r="Y9" s="14"/>
      <c r="Z9" s="14"/>
      <c r="AA9" s="14"/>
      <c r="AB9" s="14"/>
      <c r="AC9" s="14"/>
      <c r="AD9" s="14"/>
      <c r="AE9" s="14"/>
      <c r="AF9" s="14"/>
    </row>
    <row r="10" spans="2:34" ht="20.100000000000001" customHeight="1" thickTop="1" thickBot="1">
      <c r="B10" s="159"/>
      <c r="C10" s="11"/>
      <c r="D10" s="16"/>
      <c r="E10" s="17"/>
      <c r="F10" s="17"/>
      <c r="G10" s="180" t="s">
        <v>118</v>
      </c>
      <c r="H10" s="181" t="s">
        <v>119</v>
      </c>
      <c r="I10" s="464" t="str">
        <f>RESUMEN!$E$15</f>
        <v>ADMISIBLE</v>
      </c>
      <c r="J10" s="464"/>
      <c r="K10" s="464"/>
      <c r="L10" s="452" t="str">
        <f>RESUMEN!$E$16</f>
        <v>ADMISIBLE</v>
      </c>
      <c r="M10" s="453"/>
      <c r="N10" s="454"/>
      <c r="O10" s="452" t="str">
        <f>RESUMEN!$E$17</f>
        <v>ADMISIBLE</v>
      </c>
      <c r="P10" s="453"/>
      <c r="Q10" s="454"/>
      <c r="R10" s="452" t="str">
        <f>RESUMEN!$E$18</f>
        <v>ADMISIBLE</v>
      </c>
      <c r="S10" s="453"/>
      <c r="T10" s="454"/>
      <c r="U10" s="452" t="str">
        <f>RESUMEN!$E$19</f>
        <v>ADMISIBLE</v>
      </c>
      <c r="V10" s="453"/>
      <c r="W10" s="454"/>
      <c r="X10" s="452" t="str">
        <f>RESUMEN!$E$20</f>
        <v>ADMISIBLE</v>
      </c>
      <c r="Y10" s="453"/>
      <c r="Z10" s="454"/>
      <c r="AA10" s="452" t="str">
        <f>RESUMEN!$E$21</f>
        <v>ADMISIBLE</v>
      </c>
      <c r="AB10" s="453"/>
      <c r="AC10" s="454"/>
      <c r="AD10" s="452" t="str">
        <f>RESUMEN!$E$22</f>
        <v>ADMISIBLE</v>
      </c>
      <c r="AE10" s="453"/>
      <c r="AF10" s="454"/>
      <c r="AH10" s="176" t="s">
        <v>117</v>
      </c>
    </row>
    <row r="11" spans="2:34" s="8" customFormat="1" ht="20.25" customHeight="1" thickTop="1">
      <c r="B11" s="465"/>
      <c r="C11" s="465"/>
      <c r="D11" s="465"/>
      <c r="E11" s="465"/>
      <c r="F11" s="465"/>
      <c r="G11" s="465"/>
      <c r="H11" s="465"/>
      <c r="I11" s="467">
        <f>RESUMEN!$C$15</f>
        <v>1</v>
      </c>
      <c r="J11" s="467"/>
      <c r="K11" s="467"/>
      <c r="L11" s="455">
        <f>RESUMEN!$C$16</f>
        <v>2</v>
      </c>
      <c r="M11" s="455"/>
      <c r="N11" s="455"/>
      <c r="O11" s="455">
        <f>RESUMEN!$C$17</f>
        <v>3</v>
      </c>
      <c r="P11" s="455"/>
      <c r="Q11" s="455"/>
      <c r="R11" s="455">
        <f>RESUMEN!$C$18</f>
        <v>4</v>
      </c>
      <c r="S11" s="455"/>
      <c r="T11" s="455"/>
      <c r="U11" s="455">
        <f>RESUMEN!$C$19</f>
        <v>5</v>
      </c>
      <c r="V11" s="455"/>
      <c r="W11" s="455"/>
      <c r="X11" s="455">
        <f>RESUMEN!$C$20</f>
        <v>6</v>
      </c>
      <c r="Y11" s="455"/>
      <c r="Z11" s="455"/>
      <c r="AA11" s="455">
        <f>RESUMEN!$C$21</f>
        <v>7</v>
      </c>
      <c r="AB11" s="455"/>
      <c r="AC11" s="455"/>
      <c r="AD11" s="455">
        <f>RESUMEN!$C$22</f>
        <v>8</v>
      </c>
      <c r="AE11" s="455"/>
      <c r="AF11" s="455"/>
    </row>
    <row r="12" spans="2:34" s="9" customFormat="1" ht="17.25" customHeight="1" thickBot="1">
      <c r="B12" s="466" t="s">
        <v>0</v>
      </c>
      <c r="C12" s="466"/>
      <c r="D12" s="466"/>
      <c r="E12" s="466"/>
      <c r="F12" s="466"/>
      <c r="G12" s="466"/>
      <c r="H12" s="466"/>
      <c r="I12" s="468" t="str">
        <f>RESUMEN!$D$15</f>
        <v>CONSORCIO CORREDORES FERREOS SI</v>
      </c>
      <c r="J12" s="468"/>
      <c r="K12" s="468"/>
      <c r="L12" s="456" t="str">
        <f>RESUMEN!$D$16</f>
        <v>CONSORCIO FERREO CHIRIGUANA</v>
      </c>
      <c r="M12" s="456"/>
      <c r="N12" s="456"/>
      <c r="O12" s="456" t="str">
        <f>RESUMEN!$D$17</f>
        <v>CONSORCIO SAN FELIPE FERREO</v>
      </c>
      <c r="P12" s="456"/>
      <c r="Q12" s="456"/>
      <c r="R12" s="456" t="str">
        <f>RESUMEN!$D$18</f>
        <v>CONSORCIO FERROVIARIO RYC</v>
      </c>
      <c r="S12" s="456"/>
      <c r="T12" s="456"/>
      <c r="U12" s="456" t="str">
        <f>RESUMEN!$D$19</f>
        <v>CONSORCIO INGED</v>
      </c>
      <c r="V12" s="456"/>
      <c r="W12" s="456"/>
      <c r="X12" s="456" t="str">
        <f>RESUMEN!$D$20</f>
        <v>CONSORCIO FERROVIARIO DE LOS ANDES</v>
      </c>
      <c r="Y12" s="456"/>
      <c r="Z12" s="456"/>
      <c r="AA12" s="456" t="str">
        <f>RESUMEN!$D$21</f>
        <v>CONSORCIO INFRAESTRUCTURA LA DORADA</v>
      </c>
      <c r="AB12" s="456"/>
      <c r="AC12" s="456"/>
      <c r="AD12" s="456" t="str">
        <f>RESUMEN!$D$22</f>
        <v>CONSORCIO FERREO CONYRAHS</v>
      </c>
      <c r="AE12" s="456"/>
      <c r="AF12" s="456"/>
    </row>
    <row r="13" spans="2:34" ht="30.6" customHeight="1" thickBot="1">
      <c r="B13" s="457" t="s">
        <v>231</v>
      </c>
      <c r="C13" s="458"/>
      <c r="D13" s="458"/>
      <c r="E13" s="458"/>
      <c r="F13" s="458"/>
      <c r="G13" s="458"/>
      <c r="H13" s="459"/>
      <c r="I13" s="446"/>
      <c r="J13" s="447"/>
      <c r="K13" s="447"/>
      <c r="L13" s="446"/>
      <c r="M13" s="447"/>
      <c r="N13" s="448"/>
      <c r="O13" s="446"/>
      <c r="P13" s="447"/>
      <c r="Q13" s="448"/>
      <c r="R13" s="446"/>
      <c r="S13" s="447"/>
      <c r="T13" s="448"/>
      <c r="U13" s="446"/>
      <c r="V13" s="447"/>
      <c r="W13" s="448"/>
      <c r="X13" s="446"/>
      <c r="Y13" s="447"/>
      <c r="Z13" s="448"/>
      <c r="AA13" s="446"/>
      <c r="AB13" s="447"/>
      <c r="AC13" s="448"/>
      <c r="AD13" s="446"/>
      <c r="AE13" s="447"/>
      <c r="AF13" s="448"/>
    </row>
    <row r="14" spans="2:34" ht="36" customHeight="1" thickBot="1">
      <c r="B14" s="160" t="s">
        <v>12</v>
      </c>
      <c r="C14" s="161" t="s">
        <v>15</v>
      </c>
      <c r="D14" s="126" t="s">
        <v>108</v>
      </c>
      <c r="E14" s="126" t="s">
        <v>1</v>
      </c>
      <c r="F14" s="127" t="s">
        <v>8</v>
      </c>
      <c r="G14" s="126" t="s">
        <v>2</v>
      </c>
      <c r="H14" s="128" t="s">
        <v>42</v>
      </c>
      <c r="I14" s="129" t="s">
        <v>2</v>
      </c>
      <c r="J14" s="126" t="s">
        <v>3</v>
      </c>
      <c r="K14" s="205" t="s">
        <v>4</v>
      </c>
      <c r="L14" s="129" t="s">
        <v>2</v>
      </c>
      <c r="M14" s="126" t="s">
        <v>3</v>
      </c>
      <c r="N14" s="370" t="s">
        <v>4</v>
      </c>
      <c r="O14" s="129" t="s">
        <v>2</v>
      </c>
      <c r="P14" s="126" t="s">
        <v>3</v>
      </c>
      <c r="Q14" s="370" t="s">
        <v>4</v>
      </c>
      <c r="R14" s="129" t="s">
        <v>2</v>
      </c>
      <c r="S14" s="126" t="s">
        <v>3</v>
      </c>
      <c r="T14" s="370" t="s">
        <v>4</v>
      </c>
      <c r="U14" s="129" t="s">
        <v>2</v>
      </c>
      <c r="V14" s="126" t="s">
        <v>3</v>
      </c>
      <c r="W14" s="370" t="s">
        <v>4</v>
      </c>
      <c r="X14" s="129" t="s">
        <v>2</v>
      </c>
      <c r="Y14" s="126" t="s">
        <v>3</v>
      </c>
      <c r="Z14" s="370" t="s">
        <v>4</v>
      </c>
      <c r="AA14" s="129" t="s">
        <v>2</v>
      </c>
      <c r="AB14" s="126" t="s">
        <v>3</v>
      </c>
      <c r="AC14" s="370" t="s">
        <v>4</v>
      </c>
      <c r="AD14" s="129" t="s">
        <v>2</v>
      </c>
      <c r="AE14" s="126" t="s">
        <v>3</v>
      </c>
      <c r="AF14" s="370" t="s">
        <v>4</v>
      </c>
    </row>
    <row r="15" spans="2:34" ht="20.25" customHeight="1">
      <c r="B15" s="332" t="s">
        <v>186</v>
      </c>
      <c r="C15" s="333"/>
      <c r="D15" s="333"/>
      <c r="E15" s="333"/>
      <c r="F15" s="334"/>
      <c r="G15" s="333"/>
      <c r="H15" s="335">
        <f>SUM(H16:H23)</f>
        <v>28379618413</v>
      </c>
      <c r="I15" s="347"/>
      <c r="J15" s="348">
        <f>SUM(J16:J23)</f>
        <v>26356964109</v>
      </c>
      <c r="K15" s="349"/>
      <c r="L15" s="347"/>
      <c r="M15" s="348">
        <f>SUM(M16:M23)</f>
        <v>26438682280</v>
      </c>
      <c r="N15" s="371"/>
      <c r="O15" s="347"/>
      <c r="P15" s="348">
        <f>SUM(P16:P23)</f>
        <v>25588755134</v>
      </c>
      <c r="Q15" s="371"/>
      <c r="R15" s="347"/>
      <c r="S15" s="348">
        <f>SUM(S16:S23)</f>
        <v>26475013000</v>
      </c>
      <c r="T15" s="371"/>
      <c r="U15" s="347"/>
      <c r="V15" s="348">
        <f>SUM(V16:V23)</f>
        <v>26125109361</v>
      </c>
      <c r="W15" s="371"/>
      <c r="X15" s="347"/>
      <c r="Y15" s="348">
        <f>SUM(Y16:Y23)</f>
        <v>27507108413</v>
      </c>
      <c r="Z15" s="371"/>
      <c r="AA15" s="347"/>
      <c r="AB15" s="348">
        <f>SUM(AB16:AB23)</f>
        <v>26791799761</v>
      </c>
      <c r="AC15" s="371"/>
      <c r="AD15" s="347"/>
      <c r="AE15" s="348">
        <f>SUM(AE16:AE23)</f>
        <v>27219599811</v>
      </c>
      <c r="AF15" s="371"/>
    </row>
    <row r="16" spans="2:34" ht="30.6" customHeight="1">
      <c r="B16" s="162">
        <f>ROW()-15</f>
        <v>1</v>
      </c>
      <c r="C16" s="163">
        <v>1</v>
      </c>
      <c r="D16" s="164" t="s">
        <v>175</v>
      </c>
      <c r="E16" s="163" t="s">
        <v>183</v>
      </c>
      <c r="F16" s="165">
        <v>1000</v>
      </c>
      <c r="G16" s="166">
        <v>884302</v>
      </c>
      <c r="H16" s="167">
        <f>ROUND(G16*F16,0)</f>
        <v>884302000</v>
      </c>
      <c r="I16" s="168">
        <v>840090</v>
      </c>
      <c r="J16" s="169">
        <f>ROUND($F16*ROUND(I16,0),0)</f>
        <v>840090000</v>
      </c>
      <c r="K16" s="206" t="str">
        <f>+IF(I16&gt;0,IF(OR(I16&gt;$G16,ROUND(I16,0)&gt;$G16),"NO VÁLIDA","VÁLIDA"),"NO VÁLIDA")</f>
        <v>VÁLIDA</v>
      </c>
      <c r="L16" s="168">
        <v>823423</v>
      </c>
      <c r="M16" s="169">
        <f>ROUND($F16*ROUND(L16,0),0)</f>
        <v>823423000</v>
      </c>
      <c r="N16" s="372" t="str">
        <f>+IF(L16&gt;0,IF(OR(L16&gt;$G16,ROUND(L16,0)&gt;$G16),"NO VÁLIDA","VÁLIDA"),"NO VÁLIDA")</f>
        <v>VÁLIDA</v>
      </c>
      <c r="O16" s="168">
        <v>812674</v>
      </c>
      <c r="P16" s="169">
        <f>ROUND($F16*ROUND(O16,0),0)</f>
        <v>812674000</v>
      </c>
      <c r="Q16" s="372" t="str">
        <f>+IF(O16&gt;0,IF(OR(O16&gt;$G16,ROUND(O16,0)&gt;$G16),"NO VÁLIDA","VÁLIDA"),"NO VÁLIDA")</f>
        <v>VÁLIDA</v>
      </c>
      <c r="R16" s="168">
        <v>825000</v>
      </c>
      <c r="S16" s="169">
        <f>ROUND($F16*ROUND(R16,0),0)</f>
        <v>825000000</v>
      </c>
      <c r="T16" s="372" t="str">
        <f>+IF(R16&gt;0,IF(OR(R16&gt;$G16,ROUND(R16,0)&gt;$G16),"NO VÁLIDA","VÁLIDA"),"NO VÁLIDA")</f>
        <v>VÁLIDA</v>
      </c>
      <c r="U16" s="168">
        <v>878713</v>
      </c>
      <c r="V16" s="169">
        <f>ROUND($F16*ROUND(U16,0),0)</f>
        <v>878713000</v>
      </c>
      <c r="W16" s="372" t="str">
        <f>+IF(U16&gt;0,IF(OR(U16&gt;$G16,ROUND(U16,0)&gt;$G16),"NO VÁLIDA","VÁLIDA"),"NO VÁLIDA")</f>
        <v>VÁLIDA</v>
      </c>
      <c r="X16" s="168">
        <v>884302</v>
      </c>
      <c r="Y16" s="169">
        <f>ROUND($F16*ROUND(X16,0),0)</f>
        <v>884302000</v>
      </c>
      <c r="Z16" s="372" t="str">
        <f>+IF(X16&gt;0,IF(OR(X16&gt;$G16,ROUND(X16,0)&gt;$G16),"NO VÁLIDA","VÁLIDA"),"NO VÁLIDA")</f>
        <v>VÁLIDA</v>
      </c>
      <c r="AA16" s="168">
        <v>832374</v>
      </c>
      <c r="AB16" s="169">
        <f>ROUND($F16*ROUND(AA16,0),0)</f>
        <v>832374000</v>
      </c>
      <c r="AC16" s="372" t="str">
        <f>+IF(AA16&gt;0,IF(OR(AA16&gt;$G16,ROUND(AA16,0)&gt;$G16),"NO VÁLIDA","VÁLIDA"),"NO VÁLIDA")</f>
        <v>VÁLIDA</v>
      </c>
      <c r="AD16" s="168">
        <v>846365</v>
      </c>
      <c r="AE16" s="169">
        <f>ROUND($F16*ROUND(AD16,0),0)</f>
        <v>846365000</v>
      </c>
      <c r="AF16" s="372" t="str">
        <f>+IF(AD16&gt;0,IF(OR(AD16&gt;$G16,ROUND(AD16,0)&gt;$G16),"NO VÁLIDA","VÁLIDA"),"NO VÁLIDA")</f>
        <v>VÁLIDA</v>
      </c>
    </row>
    <row r="17" spans="2:32" ht="30.6" customHeight="1">
      <c r="B17" s="162">
        <f>ROW()-15</f>
        <v>2</v>
      </c>
      <c r="C17" s="163">
        <v>2</v>
      </c>
      <c r="D17" s="164" t="s">
        <v>176</v>
      </c>
      <c r="E17" s="163" t="s">
        <v>184</v>
      </c>
      <c r="F17" s="165">
        <v>6000</v>
      </c>
      <c r="G17" s="166">
        <v>1455868</v>
      </c>
      <c r="H17" s="167">
        <f t="shared" ref="H17:H31" si="0">ROUND(G17*F17,0)</f>
        <v>8735208000</v>
      </c>
      <c r="I17" s="168">
        <v>1383075</v>
      </c>
      <c r="J17" s="169">
        <f t="shared" ref="J17:J23" si="1">ROUND($F17*ROUND(I17,0),0)</f>
        <v>8298450000</v>
      </c>
      <c r="K17" s="206" t="str">
        <f t="shared" ref="K17:K23" si="2">+IF(I17&gt;0,IF(OR(I17&gt;$G17,ROUND(I17,0)&gt;$G17),"NO VÁLIDA","VÁLIDA"),"NO VÁLIDA")</f>
        <v>VÁLIDA</v>
      </c>
      <c r="L17" s="168">
        <v>1355250</v>
      </c>
      <c r="M17" s="169">
        <f>ROUND($F17*ROUND(L17,0),0)</f>
        <v>8131500000</v>
      </c>
      <c r="N17" s="372" t="str">
        <f t="shared" ref="N17:N23" si="3">+IF(L17&gt;0,IF(OR(L17&gt;$G17,ROUND(L17,0)&gt;$G17),"NO VÁLIDA","VÁLIDA"),"NO VÁLIDA")</f>
        <v>VÁLIDA</v>
      </c>
      <c r="O17" s="168">
        <v>1337943</v>
      </c>
      <c r="P17" s="169">
        <f>ROUND($F17*ROUND(O17,0),0)</f>
        <v>8027658000</v>
      </c>
      <c r="Q17" s="372" t="str">
        <f t="shared" ref="Q17:Q23" si="4">+IF(O17&gt;0,IF(OR(O17&gt;$G17,ROUND(O17,0)&gt;$G17),"NO VÁLIDA","VÁLIDA"),"NO VÁLIDA")</f>
        <v>VÁLIDA</v>
      </c>
      <c r="R17" s="168">
        <v>1254049</v>
      </c>
      <c r="S17" s="169">
        <f>ROUND($F17*ROUND(R17,0),0)</f>
        <v>7524294000</v>
      </c>
      <c r="T17" s="372" t="str">
        <f t="shared" ref="T17:T23" si="5">+IF(R17&gt;0,IF(OR(R17&gt;$G17,ROUND(R17,0)&gt;$G17),"NO VÁLIDA","VÁLIDA"),"NO VÁLIDA")</f>
        <v>VÁLIDA</v>
      </c>
      <c r="U17" s="168">
        <v>1154351</v>
      </c>
      <c r="V17" s="169">
        <f>ROUND($F17*ROUND(U17,0),0)</f>
        <v>6926106000</v>
      </c>
      <c r="W17" s="372" t="str">
        <f t="shared" ref="W17:W23" si="6">+IF(U17&gt;0,IF(OR(U17&gt;$G17,ROUND(U17,0)&gt;$G17),"NO VÁLIDA","VÁLIDA"),"NO VÁLIDA")</f>
        <v>VÁLIDA</v>
      </c>
      <c r="X17" s="168">
        <v>1455868</v>
      </c>
      <c r="Y17" s="169">
        <f>ROUND($F17*ROUND(X17,0),0)</f>
        <v>8735208000</v>
      </c>
      <c r="Z17" s="372" t="str">
        <f t="shared" ref="Z17:Z23" si="7">+IF(X17&gt;0,IF(OR(X17&gt;$G17,ROUND(X17,0)&gt;$G17),"NO VÁLIDA","VÁLIDA"),"NO VÁLIDA")</f>
        <v>VÁLIDA</v>
      </c>
      <c r="AA17" s="168">
        <v>1370376</v>
      </c>
      <c r="AB17" s="169">
        <f>ROUND($F17*ROUND(AA17,0),0)</f>
        <v>8222256000</v>
      </c>
      <c r="AC17" s="372" t="str">
        <f>+IF(AA17&gt;0,IF(OR(AA17&gt;$G17,ROUND(AA17,0)&gt;$G17),"NO VÁLIDA","VÁLIDA"),"NO VÁLIDA")</f>
        <v>VÁLIDA</v>
      </c>
      <c r="AD17" s="168">
        <v>1393411</v>
      </c>
      <c r="AE17" s="169">
        <f>ROUND($F17*ROUND(AD17,0),0)</f>
        <v>8360466000</v>
      </c>
      <c r="AF17" s="372" t="str">
        <f>+IF(AD17&gt;0,IF(OR(AD17&gt;$G17,ROUND(AD17,0)&gt;$G17),"NO VÁLIDA","VÁLIDA"),"NO VÁLIDA")</f>
        <v>VÁLIDA</v>
      </c>
    </row>
    <row r="18" spans="2:32" ht="30.6" customHeight="1">
      <c r="B18" s="162">
        <v>3</v>
      </c>
      <c r="C18" s="163">
        <v>3</v>
      </c>
      <c r="D18" s="164" t="s">
        <v>177</v>
      </c>
      <c r="E18" s="163" t="s">
        <v>183</v>
      </c>
      <c r="F18" s="165">
        <v>130000</v>
      </c>
      <c r="G18" s="166">
        <v>23401</v>
      </c>
      <c r="H18" s="167">
        <f t="shared" si="0"/>
        <v>3042130000</v>
      </c>
      <c r="I18" s="168">
        <v>22231</v>
      </c>
      <c r="J18" s="169">
        <f t="shared" si="1"/>
        <v>2890030000</v>
      </c>
      <c r="K18" s="206" t="str">
        <f t="shared" si="2"/>
        <v>VÁLIDA</v>
      </c>
      <c r="L18" s="168">
        <v>21761</v>
      </c>
      <c r="M18" s="169">
        <f>ROUND($F18*ROUND(L18,0),0)</f>
        <v>2828930000</v>
      </c>
      <c r="N18" s="372" t="str">
        <f t="shared" si="3"/>
        <v>VÁLIDA</v>
      </c>
      <c r="O18" s="168">
        <v>21506</v>
      </c>
      <c r="P18" s="169">
        <f>ROUND($F18*ROUND(O18,0),0)</f>
        <v>2795780000</v>
      </c>
      <c r="Q18" s="372" t="str">
        <f t="shared" si="4"/>
        <v>VÁLIDA</v>
      </c>
      <c r="R18" s="168">
        <v>20749</v>
      </c>
      <c r="S18" s="169">
        <f>ROUND($F18*ROUND(R18,0),0)</f>
        <v>2697370000</v>
      </c>
      <c r="T18" s="372" t="str">
        <f t="shared" si="5"/>
        <v>VÁLIDA</v>
      </c>
      <c r="U18" s="168">
        <v>20584</v>
      </c>
      <c r="V18" s="169">
        <f>ROUND($F18*ROUND(U18,0),0)</f>
        <v>2675920000</v>
      </c>
      <c r="W18" s="372" t="str">
        <f t="shared" si="6"/>
        <v>VÁLIDA</v>
      </c>
      <c r="X18" s="168">
        <v>20000</v>
      </c>
      <c r="Y18" s="169">
        <f>ROUND($F18*ROUND(X18,0),0)</f>
        <v>2600000000</v>
      </c>
      <c r="Z18" s="372" t="str">
        <f t="shared" si="7"/>
        <v>VÁLIDA</v>
      </c>
      <c r="AA18" s="168">
        <v>22027</v>
      </c>
      <c r="AB18" s="169">
        <f>ROUND($F18*ROUND(AA18,0),0)</f>
        <v>2863510000</v>
      </c>
      <c r="AC18" s="372" t="str">
        <f>+IF(AA18&gt;0,IF(OR(AA18&gt;$G18,ROUND(AA18,0)&gt;$G18),"NO VÁLIDA","VÁLIDA"),"NO VÁLIDA")</f>
        <v>VÁLIDA</v>
      </c>
      <c r="AD18" s="168">
        <v>22397</v>
      </c>
      <c r="AE18" s="169">
        <f>ROUND($F18*ROUND(AD18,0),0)</f>
        <v>2911610000</v>
      </c>
      <c r="AF18" s="372" t="str">
        <f>+IF(AD18&gt;0,IF(OR(AD18&gt;$G18,ROUND(AD18,0)&gt;$G18),"NO VÁLIDA","VÁLIDA"),"NO VÁLIDA")</f>
        <v>VÁLIDA</v>
      </c>
    </row>
    <row r="19" spans="2:32" ht="30.6" customHeight="1">
      <c r="B19" s="162">
        <v>4</v>
      </c>
      <c r="C19" s="163">
        <v>4</v>
      </c>
      <c r="D19" s="164" t="s">
        <v>178</v>
      </c>
      <c r="E19" s="163" t="s">
        <v>155</v>
      </c>
      <c r="F19" s="165">
        <v>36000</v>
      </c>
      <c r="G19" s="166">
        <v>311955</v>
      </c>
      <c r="H19" s="167">
        <f t="shared" si="0"/>
        <v>11230380000</v>
      </c>
      <c r="I19" s="168">
        <v>280760</v>
      </c>
      <c r="J19" s="169">
        <f t="shared" si="1"/>
        <v>10107360000</v>
      </c>
      <c r="K19" s="206" t="str">
        <f t="shared" si="2"/>
        <v>VÁLIDA</v>
      </c>
      <c r="L19" s="168">
        <v>289950</v>
      </c>
      <c r="M19" s="169">
        <f>ROUND($F19*ROUND(L19,0),0)</f>
        <v>10438200000</v>
      </c>
      <c r="N19" s="372" t="str">
        <f t="shared" si="3"/>
        <v>VÁLIDA</v>
      </c>
      <c r="O19" s="168">
        <v>270000</v>
      </c>
      <c r="P19" s="169">
        <f>ROUND($F19*ROUND(O19,0),0)</f>
        <v>9720000000</v>
      </c>
      <c r="Q19" s="372" t="str">
        <f t="shared" si="4"/>
        <v>VÁLIDA</v>
      </c>
      <c r="R19" s="168">
        <v>306375</v>
      </c>
      <c r="S19" s="169">
        <f>ROUND($F19*ROUND(R19,0),0)</f>
        <v>11029500000</v>
      </c>
      <c r="T19" s="372" t="str">
        <f t="shared" si="5"/>
        <v>VÁLIDA</v>
      </c>
      <c r="U19" s="168">
        <v>311955</v>
      </c>
      <c r="V19" s="169">
        <f>ROUND($F19*ROUND(U19,0),0)</f>
        <v>11230380000</v>
      </c>
      <c r="W19" s="372" t="str">
        <f t="shared" si="6"/>
        <v>VÁLIDA</v>
      </c>
      <c r="X19" s="168">
        <v>300000</v>
      </c>
      <c r="Y19" s="169">
        <f>ROUND($F19*ROUND(X19,0),0)</f>
        <v>10800000000</v>
      </c>
      <c r="Z19" s="372" t="str">
        <f t="shared" si="7"/>
        <v>VÁLIDA</v>
      </c>
      <c r="AA19" s="168">
        <v>293636</v>
      </c>
      <c r="AB19" s="169">
        <f>ROUND($F19*ROUND(AA19,0),0)</f>
        <v>10570896000</v>
      </c>
      <c r="AC19" s="372" t="str">
        <f>+IF(AA19&gt;0,IF(OR(AA19&gt;$G19,ROUND(AA19,0)&gt;$G19),"NO VÁLIDA","VÁLIDA"),"NO VÁLIDA")</f>
        <v>VÁLIDA</v>
      </c>
      <c r="AD19" s="168">
        <v>298572</v>
      </c>
      <c r="AE19" s="169">
        <f>ROUND($F19*ROUND(AD19,0),0)</f>
        <v>10748592000</v>
      </c>
      <c r="AF19" s="372" t="str">
        <f>+IF(AD19&gt;0,IF(OR(AD19&gt;$G19,ROUND(AD19,0)&gt;$G19),"NO VÁLIDA","VÁLIDA"),"NO VÁLIDA")</f>
        <v>VÁLIDA</v>
      </c>
    </row>
    <row r="20" spans="2:32" ht="30.6" customHeight="1">
      <c r="B20" s="162">
        <v>5</v>
      </c>
      <c r="C20" s="163">
        <v>5</v>
      </c>
      <c r="D20" s="164" t="s">
        <v>179</v>
      </c>
      <c r="E20" s="163" t="s">
        <v>185</v>
      </c>
      <c r="F20" s="165">
        <v>1667</v>
      </c>
      <c r="G20" s="166">
        <v>578239</v>
      </c>
      <c r="H20" s="167">
        <f t="shared" si="0"/>
        <v>963924413</v>
      </c>
      <c r="I20" s="168">
        <v>549327</v>
      </c>
      <c r="J20" s="169">
        <f t="shared" si="1"/>
        <v>915728109</v>
      </c>
      <c r="K20" s="206" t="str">
        <f t="shared" si="2"/>
        <v>VÁLIDA</v>
      </c>
      <c r="L20" s="168">
        <v>537840</v>
      </c>
      <c r="M20" s="169">
        <f>ROUND($F20*ROUND(L20,0),0)</f>
        <v>896579280</v>
      </c>
      <c r="N20" s="372" t="str">
        <f t="shared" si="3"/>
        <v>VÁLIDA</v>
      </c>
      <c r="O20" s="168">
        <v>531402</v>
      </c>
      <c r="P20" s="169">
        <f>ROUND($F20*ROUND(O20,0),0)</f>
        <v>885847134</v>
      </c>
      <c r="Q20" s="372" t="str">
        <f t="shared" si="4"/>
        <v>VÁLIDA</v>
      </c>
      <c r="R20" s="168">
        <v>525000</v>
      </c>
      <c r="S20" s="169">
        <f>ROUND($F20*ROUND(R20,0),0)</f>
        <v>875175000</v>
      </c>
      <c r="T20" s="372" t="str">
        <f t="shared" si="5"/>
        <v>VÁLIDA</v>
      </c>
      <c r="U20" s="168">
        <v>534083</v>
      </c>
      <c r="V20" s="169">
        <f>ROUND($F20*ROUND(U20,0),0)</f>
        <v>890316361</v>
      </c>
      <c r="W20" s="372" t="str">
        <f t="shared" si="6"/>
        <v>VÁLIDA</v>
      </c>
      <c r="X20" s="168">
        <v>578239</v>
      </c>
      <c r="Y20" s="169">
        <f>ROUND($F20*ROUND(X20,0),0)</f>
        <v>963924413</v>
      </c>
      <c r="Z20" s="372" t="str">
        <f t="shared" si="7"/>
        <v>VÁLIDA</v>
      </c>
      <c r="AA20" s="168">
        <v>544283</v>
      </c>
      <c r="AB20" s="169">
        <f>ROUND($F20*ROUND(AA20,0),0)</f>
        <v>907319761</v>
      </c>
      <c r="AC20" s="372" t="str">
        <f>+IF(AA20&gt;0,IF(OR(AA20&gt;$G20,ROUND(AA20,0)&gt;$G20),"NO VÁLIDA","VÁLIDA"),"NO VÁLIDA")</f>
        <v>VÁLIDA</v>
      </c>
      <c r="AD20" s="168">
        <v>553433</v>
      </c>
      <c r="AE20" s="169">
        <f>ROUND($F20*ROUND(AD20,0),0)</f>
        <v>922572811</v>
      </c>
      <c r="AF20" s="372" t="str">
        <f>+IF(AD20&gt;0,IF(OR(AD20&gt;$G20,ROUND(AD20,0)&gt;$G20),"NO VÁLIDA","VÁLIDA"),"NO VÁLIDA")</f>
        <v>VÁLIDA</v>
      </c>
    </row>
    <row r="21" spans="2:32" ht="30.6" customHeight="1">
      <c r="B21" s="162">
        <v>6</v>
      </c>
      <c r="C21" s="163">
        <v>6</v>
      </c>
      <c r="D21" s="164" t="s">
        <v>180</v>
      </c>
      <c r="E21" s="163" t="s">
        <v>158</v>
      </c>
      <c r="F21" s="165">
        <v>1</v>
      </c>
      <c r="G21" s="383">
        <v>580000000</v>
      </c>
      <c r="H21" s="167">
        <f t="shared" si="0"/>
        <v>580000000</v>
      </c>
      <c r="I21" s="281" t="s">
        <v>100</v>
      </c>
      <c r="J21" s="169">
        <v>580000000</v>
      </c>
      <c r="K21" s="282" t="str">
        <f>+IF(J21&gt;0,IF(J21&lt;&gt;$H21,"NO VÁLIDA","VÁLIDA"),"NO VÁLIDA")</f>
        <v>VÁLIDA</v>
      </c>
      <c r="L21" s="281" t="s">
        <v>100</v>
      </c>
      <c r="M21" s="169">
        <v>580000000</v>
      </c>
      <c r="N21" s="372" t="str">
        <f>+IF(M21&gt;0,IF(M21&lt;&gt;$H21,"NO VÁLIDA","VÁLIDA"),"NO VÁLIDA")</f>
        <v>VÁLIDA</v>
      </c>
      <c r="O21" s="281" t="s">
        <v>100</v>
      </c>
      <c r="P21" s="169">
        <v>580000000</v>
      </c>
      <c r="Q21" s="372" t="str">
        <f>+IF(P21&gt;0,IF(P21&lt;&gt;$H21,"NO VÁLIDA","VÁLIDA"),"NO VÁLIDA")</f>
        <v>VÁLIDA</v>
      </c>
      <c r="R21" s="281" t="s">
        <v>100</v>
      </c>
      <c r="S21" s="169">
        <v>580000000</v>
      </c>
      <c r="T21" s="372" t="str">
        <f>+IF(S21&gt;0,IF(S21&lt;&gt;$H21,"NO VÁLIDA","VÁLIDA"),"NO VÁLIDA")</f>
        <v>VÁLIDA</v>
      </c>
      <c r="U21" s="281" t="s">
        <v>100</v>
      </c>
      <c r="V21" s="169">
        <v>580000000</v>
      </c>
      <c r="W21" s="372" t="str">
        <f>+IF(V21&gt;0,IF(V21&lt;&gt;$H21,"NO VÁLIDA","VÁLIDA"),"NO VÁLIDA")</f>
        <v>VÁLIDA</v>
      </c>
      <c r="X21" s="281" t="s">
        <v>100</v>
      </c>
      <c r="Y21" s="169">
        <v>580000000</v>
      </c>
      <c r="Z21" s="372" t="str">
        <f>+IF(Y21&gt;0,IF(Y21&lt;&gt;$H21,"NO VÁLIDA","VÁLIDA"),"NO VÁLIDA")</f>
        <v>VÁLIDA</v>
      </c>
      <c r="AA21" s="281" t="s">
        <v>100</v>
      </c>
      <c r="AB21" s="169">
        <v>580000000</v>
      </c>
      <c r="AC21" s="372" t="str">
        <f>+IF(AB21&gt;0,IF(AB21&lt;&gt;$H21,"NO VÁLIDA","VÁLIDA"),"NO VÁLIDA")</f>
        <v>VÁLIDA</v>
      </c>
      <c r="AD21" s="281" t="s">
        <v>100</v>
      </c>
      <c r="AE21" s="169">
        <v>580000000</v>
      </c>
      <c r="AF21" s="372" t="str">
        <f>+IF(AE21&gt;0,IF(AE21&lt;&gt;$H21,"NO VÁLIDA","VÁLIDA"),"NO VÁLIDA")</f>
        <v>VÁLIDA</v>
      </c>
    </row>
    <row r="22" spans="2:32" ht="30.6" customHeight="1">
      <c r="B22" s="162">
        <v>7</v>
      </c>
      <c r="C22" s="163">
        <v>7</v>
      </c>
      <c r="D22" s="164" t="s">
        <v>181</v>
      </c>
      <c r="E22" s="163" t="s">
        <v>158</v>
      </c>
      <c r="F22" s="165">
        <v>1</v>
      </c>
      <c r="G22" s="383">
        <v>760000000</v>
      </c>
      <c r="H22" s="167">
        <f t="shared" si="0"/>
        <v>760000000</v>
      </c>
      <c r="I22" s="281" t="s">
        <v>100</v>
      </c>
      <c r="J22" s="169">
        <v>760000000</v>
      </c>
      <c r="K22" s="282" t="str">
        <f>+IF(J22&gt;0,IF(J22&lt;&gt;$H22,"NO VÁLIDA","VÁLIDA"),"NO VÁLIDA")</f>
        <v>VÁLIDA</v>
      </c>
      <c r="L22" s="281" t="s">
        <v>100</v>
      </c>
      <c r="M22" s="169">
        <v>760000000</v>
      </c>
      <c r="N22" s="372" t="str">
        <f>+IF(M22&gt;0,IF(M22&lt;&gt;$H22,"NO VÁLIDA","VÁLIDA"),"NO VÁLIDA")</f>
        <v>VÁLIDA</v>
      </c>
      <c r="O22" s="281" t="s">
        <v>100</v>
      </c>
      <c r="P22" s="169">
        <v>760000000</v>
      </c>
      <c r="Q22" s="372" t="str">
        <f>+IF(P22&gt;0,IF(P22&lt;&gt;$H22,"NO VÁLIDA","VÁLIDA"),"NO VÁLIDA")</f>
        <v>VÁLIDA</v>
      </c>
      <c r="R22" s="281" t="s">
        <v>100</v>
      </c>
      <c r="S22" s="169">
        <v>760000000</v>
      </c>
      <c r="T22" s="372" t="str">
        <f>+IF(S22&gt;0,IF(S22&lt;&gt;$H22,"NO VÁLIDA","VÁLIDA"),"NO VÁLIDA")</f>
        <v>VÁLIDA</v>
      </c>
      <c r="U22" s="281" t="s">
        <v>100</v>
      </c>
      <c r="V22" s="169">
        <v>760000000</v>
      </c>
      <c r="W22" s="372" t="str">
        <f>+IF(V22&gt;0,IF(V22&lt;&gt;$H22,"NO VÁLIDA","VÁLIDA"),"NO VÁLIDA")</f>
        <v>VÁLIDA</v>
      </c>
      <c r="X22" s="281" t="s">
        <v>100</v>
      </c>
      <c r="Y22" s="169">
        <v>760000000</v>
      </c>
      <c r="Z22" s="372" t="str">
        <f>+IF(Y22&gt;0,IF(Y22&lt;&gt;$H22,"NO VÁLIDA","VÁLIDA"),"NO VÁLIDA")</f>
        <v>VÁLIDA</v>
      </c>
      <c r="AA22" s="281" t="s">
        <v>100</v>
      </c>
      <c r="AB22" s="169">
        <v>760000000</v>
      </c>
      <c r="AC22" s="372" t="str">
        <f>+IF(AB22&gt;0,IF(AB22&lt;&gt;$H22,"NO VÁLIDA","VÁLIDA"),"NO VÁLIDA")</f>
        <v>VÁLIDA</v>
      </c>
      <c r="AD22" s="281" t="s">
        <v>100</v>
      </c>
      <c r="AE22" s="169">
        <v>760000000</v>
      </c>
      <c r="AF22" s="372" t="str">
        <f>+IF(AE22&gt;0,IF(AE22&lt;&gt;$H22,"NO VÁLIDA","VÁLIDA"),"NO VÁLIDA")</f>
        <v>VÁLIDA</v>
      </c>
    </row>
    <row r="23" spans="2:32" ht="30.6" customHeight="1" thickBot="1">
      <c r="B23" s="162">
        <v>8</v>
      </c>
      <c r="C23" s="163">
        <v>8</v>
      </c>
      <c r="D23" s="164" t="s">
        <v>182</v>
      </c>
      <c r="E23" s="163" t="s">
        <v>156</v>
      </c>
      <c r="F23" s="165">
        <v>2000</v>
      </c>
      <c r="G23" s="166">
        <v>1091837</v>
      </c>
      <c r="H23" s="167">
        <f t="shared" si="0"/>
        <v>2183674000</v>
      </c>
      <c r="I23" s="168">
        <v>982653</v>
      </c>
      <c r="J23" s="169">
        <f t="shared" si="1"/>
        <v>1965306000</v>
      </c>
      <c r="K23" s="206" t="str">
        <f t="shared" si="2"/>
        <v>VÁLIDA</v>
      </c>
      <c r="L23" s="168">
        <v>990025</v>
      </c>
      <c r="M23" s="169">
        <f>ROUND($F23*ROUND(L23,0),0)</f>
        <v>1980050000</v>
      </c>
      <c r="N23" s="372" t="str">
        <f t="shared" si="3"/>
        <v>VÁLIDA</v>
      </c>
      <c r="O23" s="168">
        <v>1003398</v>
      </c>
      <c r="P23" s="169">
        <f>ROUND($F23*ROUND(O23,0),0)</f>
        <v>2006796000</v>
      </c>
      <c r="Q23" s="372" t="str">
        <f t="shared" si="4"/>
        <v>VÁLIDA</v>
      </c>
      <c r="R23" s="168">
        <v>1091837</v>
      </c>
      <c r="S23" s="169">
        <f>ROUND($F23*ROUND(R23,0),0)</f>
        <v>2183674000</v>
      </c>
      <c r="T23" s="372" t="str">
        <f t="shared" si="5"/>
        <v>VÁLIDA</v>
      </c>
      <c r="U23" s="168">
        <v>1091837</v>
      </c>
      <c r="V23" s="169">
        <f>ROUND($F23*ROUND(U23,0),0)</f>
        <v>2183674000</v>
      </c>
      <c r="W23" s="372" t="str">
        <f t="shared" si="6"/>
        <v>VÁLIDA</v>
      </c>
      <c r="X23" s="168">
        <v>1091837</v>
      </c>
      <c r="Y23" s="169">
        <f>ROUND($F23*ROUND(X23,0),0)</f>
        <v>2183674000</v>
      </c>
      <c r="Z23" s="372" t="str">
        <f t="shared" si="7"/>
        <v>VÁLIDA</v>
      </c>
      <c r="AA23" s="168">
        <v>1027722</v>
      </c>
      <c r="AB23" s="169">
        <f>ROUND($F23*ROUND(AA23,0),0)</f>
        <v>2055444000</v>
      </c>
      <c r="AC23" s="372" t="str">
        <f>+IF(AA23&gt;0,IF(OR(AA23&gt;$G23,ROUND(AA23,0)&gt;$G23),"NO VÁLIDA","VÁLIDA"),"NO VÁLIDA")</f>
        <v>VÁLIDA</v>
      </c>
      <c r="AD23" s="168">
        <v>1044997</v>
      </c>
      <c r="AE23" s="169">
        <f>ROUND($F23*ROUND(AD23,0),0)</f>
        <v>2089994000</v>
      </c>
      <c r="AF23" s="372" t="str">
        <f>+IF(AD23&gt;0,IF(OR(AD23&gt;$G23,ROUND(AD23,0)&gt;$G23),"NO VÁLIDA","VÁLIDA"),"NO VÁLIDA")</f>
        <v>VÁLIDA</v>
      </c>
    </row>
    <row r="24" spans="2:32" ht="20.25" customHeight="1">
      <c r="B24" s="332" t="s">
        <v>191</v>
      </c>
      <c r="C24" s="333"/>
      <c r="D24" s="333"/>
      <c r="E24" s="333"/>
      <c r="F24" s="334"/>
      <c r="G24" s="333"/>
      <c r="H24" s="335">
        <f>+H25</f>
        <v>6000000000</v>
      </c>
      <c r="I24" s="347"/>
      <c r="J24" s="348">
        <f>+J25</f>
        <v>6000000000</v>
      </c>
      <c r="K24" s="349"/>
      <c r="L24" s="347"/>
      <c r="M24" s="348">
        <f>+M25</f>
        <v>6000000000</v>
      </c>
      <c r="N24" s="371"/>
      <c r="O24" s="347"/>
      <c r="P24" s="348">
        <f>+P25</f>
        <v>6000000000</v>
      </c>
      <c r="Q24" s="371"/>
      <c r="R24" s="347"/>
      <c r="S24" s="348">
        <f>+S25</f>
        <v>6000000000</v>
      </c>
      <c r="T24" s="371"/>
      <c r="U24" s="347"/>
      <c r="V24" s="348">
        <f>+V25</f>
        <v>6000000000</v>
      </c>
      <c r="W24" s="371"/>
      <c r="X24" s="347"/>
      <c r="Y24" s="348">
        <f>+Y25</f>
        <v>6000000000</v>
      </c>
      <c r="Z24" s="371"/>
      <c r="AA24" s="347"/>
      <c r="AB24" s="348">
        <f>+AB25</f>
        <v>6000000000</v>
      </c>
      <c r="AC24" s="371"/>
      <c r="AD24" s="347"/>
      <c r="AE24" s="348">
        <f>+AE25</f>
        <v>6000000000</v>
      </c>
      <c r="AF24" s="371"/>
    </row>
    <row r="25" spans="2:32" ht="42.75" customHeight="1" thickBot="1">
      <c r="B25" s="162">
        <v>9</v>
      </c>
      <c r="C25" s="163">
        <v>9</v>
      </c>
      <c r="D25" s="164" t="s">
        <v>187</v>
      </c>
      <c r="E25" s="163" t="s">
        <v>158</v>
      </c>
      <c r="F25" s="165">
        <v>1</v>
      </c>
      <c r="G25" s="383">
        <v>6000000000</v>
      </c>
      <c r="H25" s="167">
        <f t="shared" si="0"/>
        <v>6000000000</v>
      </c>
      <c r="I25" s="281" t="s">
        <v>100</v>
      </c>
      <c r="J25" s="169">
        <v>6000000000</v>
      </c>
      <c r="K25" s="282" t="str">
        <f>+IF(J25&gt;0,IF(J25&lt;&gt;$H25,"NO VÁLIDA","VÁLIDA"),"NO VÁLIDA")</f>
        <v>VÁLIDA</v>
      </c>
      <c r="L25" s="281" t="s">
        <v>100</v>
      </c>
      <c r="M25" s="169">
        <v>6000000000</v>
      </c>
      <c r="N25" s="372" t="str">
        <f>+IF(M25&gt;0,IF(M25&lt;&gt;$H25,"NO VÁLIDA","VÁLIDA"),"NO VÁLIDA")</f>
        <v>VÁLIDA</v>
      </c>
      <c r="O25" s="281" t="s">
        <v>100</v>
      </c>
      <c r="P25" s="169">
        <v>6000000000</v>
      </c>
      <c r="Q25" s="372" t="str">
        <f>+IF(P25&gt;0,IF(P25&lt;&gt;$H25,"NO VÁLIDA","VÁLIDA"),"NO VÁLIDA")</f>
        <v>VÁLIDA</v>
      </c>
      <c r="R25" s="281" t="s">
        <v>100</v>
      </c>
      <c r="S25" s="169">
        <v>6000000000</v>
      </c>
      <c r="T25" s="372" t="str">
        <f>+IF(S25&gt;0,IF(S25&lt;&gt;$H25,"NO VÁLIDA","VÁLIDA"),"NO VÁLIDA")</f>
        <v>VÁLIDA</v>
      </c>
      <c r="U25" s="281" t="s">
        <v>100</v>
      </c>
      <c r="V25" s="169">
        <v>6000000000</v>
      </c>
      <c r="W25" s="372" t="str">
        <f>+IF(V25&gt;0,IF(V25&lt;&gt;$H25,"NO VÁLIDA","VÁLIDA"),"NO VÁLIDA")</f>
        <v>VÁLIDA</v>
      </c>
      <c r="X25" s="281" t="s">
        <v>100</v>
      </c>
      <c r="Y25" s="169">
        <v>6000000000</v>
      </c>
      <c r="Z25" s="372" t="str">
        <f>+IF(Y25&gt;0,IF(Y25&lt;&gt;$H25,"NO VÁLIDA","VÁLIDA"),"NO VÁLIDA")</f>
        <v>VÁLIDA</v>
      </c>
      <c r="AA25" s="281" t="s">
        <v>100</v>
      </c>
      <c r="AB25" s="169">
        <v>6000000000</v>
      </c>
      <c r="AC25" s="372" t="str">
        <f>+IF(AB25&gt;0,IF(AB25&lt;&gt;$H25,"NO VÁLIDA","VÁLIDA"),"NO VÁLIDA")</f>
        <v>VÁLIDA</v>
      </c>
      <c r="AD25" s="281" t="s">
        <v>100</v>
      </c>
      <c r="AE25" s="169">
        <v>6000000000</v>
      </c>
      <c r="AF25" s="372" t="str">
        <f>+IF(AE25&gt;0,IF(AE25&lt;&gt;$H25,"NO VÁLIDA","VÁLIDA"),"NO VÁLIDA")</f>
        <v>VÁLIDA</v>
      </c>
    </row>
    <row r="26" spans="2:32" ht="20.25" customHeight="1">
      <c r="B26" s="332" t="s">
        <v>192</v>
      </c>
      <c r="C26" s="333"/>
      <c r="D26" s="333"/>
      <c r="E26" s="333"/>
      <c r="F26" s="334"/>
      <c r="G26" s="333"/>
      <c r="H26" s="335">
        <f>+H27</f>
        <v>440000000</v>
      </c>
      <c r="I26" s="347"/>
      <c r="J26" s="348">
        <f>+J27</f>
        <v>440000000</v>
      </c>
      <c r="K26" s="349"/>
      <c r="L26" s="347"/>
      <c r="M26" s="348">
        <f>+M27</f>
        <v>440000000</v>
      </c>
      <c r="N26" s="371"/>
      <c r="O26" s="347"/>
      <c r="P26" s="348">
        <f>+P27</f>
        <v>440000000</v>
      </c>
      <c r="Q26" s="371"/>
      <c r="R26" s="347"/>
      <c r="S26" s="348">
        <f>+S27</f>
        <v>440000000</v>
      </c>
      <c r="T26" s="371"/>
      <c r="U26" s="347"/>
      <c r="V26" s="348">
        <f>+V27</f>
        <v>440000000</v>
      </c>
      <c r="W26" s="371"/>
      <c r="X26" s="347"/>
      <c r="Y26" s="348">
        <f>+Y27</f>
        <v>440000000</v>
      </c>
      <c r="Z26" s="371"/>
      <c r="AA26" s="347"/>
      <c r="AB26" s="348">
        <f>+AB27</f>
        <v>440000000</v>
      </c>
      <c r="AC26" s="371"/>
      <c r="AD26" s="347"/>
      <c r="AE26" s="348">
        <f>+AE27</f>
        <v>440000000</v>
      </c>
      <c r="AF26" s="371"/>
    </row>
    <row r="27" spans="2:32" ht="30.6" customHeight="1" thickBot="1">
      <c r="B27" s="162">
        <v>10</v>
      </c>
      <c r="C27" s="163">
        <v>10</v>
      </c>
      <c r="D27" s="164" t="s">
        <v>188</v>
      </c>
      <c r="E27" s="163" t="s">
        <v>158</v>
      </c>
      <c r="F27" s="165">
        <v>1</v>
      </c>
      <c r="G27" s="383">
        <v>440000000.11000001</v>
      </c>
      <c r="H27" s="167">
        <f t="shared" si="0"/>
        <v>440000000</v>
      </c>
      <c r="I27" s="281" t="s">
        <v>100</v>
      </c>
      <c r="J27" s="169">
        <v>440000000</v>
      </c>
      <c r="K27" s="282" t="str">
        <f>+IF(J27&gt;0,IF(J27&lt;&gt;$H27,"NO VÁLIDA","VÁLIDA"),"NO VÁLIDA")</f>
        <v>VÁLIDA</v>
      </c>
      <c r="L27" s="281" t="s">
        <v>100</v>
      </c>
      <c r="M27" s="169">
        <v>440000000</v>
      </c>
      <c r="N27" s="372" t="str">
        <f>+IF(M27&gt;0,IF(M27&lt;&gt;$H27,"NO VÁLIDA","VÁLIDA"),"NO VÁLIDA")</f>
        <v>VÁLIDA</v>
      </c>
      <c r="O27" s="281" t="s">
        <v>100</v>
      </c>
      <c r="P27" s="169">
        <v>440000000</v>
      </c>
      <c r="Q27" s="372" t="str">
        <f>+IF(P27&gt;0,IF(P27&lt;&gt;$H27,"NO VÁLIDA","VÁLIDA"),"NO VÁLIDA")</f>
        <v>VÁLIDA</v>
      </c>
      <c r="R27" s="281" t="s">
        <v>100</v>
      </c>
      <c r="S27" s="169">
        <v>440000000</v>
      </c>
      <c r="T27" s="372" t="str">
        <f>+IF(S27&gt;0,IF(S27&lt;&gt;$H27,"NO VÁLIDA","VÁLIDA"),"NO VÁLIDA")</f>
        <v>VÁLIDA</v>
      </c>
      <c r="U27" s="281" t="s">
        <v>100</v>
      </c>
      <c r="V27" s="169">
        <v>440000000</v>
      </c>
      <c r="W27" s="372" t="str">
        <f>+IF(V27&gt;0,IF(V27&lt;&gt;$H27,"NO VÁLIDA","VÁLIDA"),"NO VÁLIDA")</f>
        <v>VÁLIDA</v>
      </c>
      <c r="X27" s="281" t="s">
        <v>100</v>
      </c>
      <c r="Y27" s="169">
        <v>440000000</v>
      </c>
      <c r="Z27" s="372" t="str">
        <f>+IF(Y27&gt;0,IF(Y27&lt;&gt;$H27,"NO VÁLIDA","VÁLIDA"),"NO VÁLIDA")</f>
        <v>VÁLIDA</v>
      </c>
      <c r="AA27" s="281" t="s">
        <v>100</v>
      </c>
      <c r="AB27" s="169">
        <v>440000000</v>
      </c>
      <c r="AC27" s="372" t="str">
        <f>+IF(AB27&gt;0,IF(AB27&lt;&gt;$H27,"NO VÁLIDA","VÁLIDA"),"NO VÁLIDA")</f>
        <v>VÁLIDA</v>
      </c>
      <c r="AD27" s="281" t="s">
        <v>100</v>
      </c>
      <c r="AE27" s="169">
        <v>440000000</v>
      </c>
      <c r="AF27" s="372" t="str">
        <f>+IF(AE27&gt;0,IF(AE27&lt;&gt;$H27,"NO VÁLIDA","VÁLIDA"),"NO VÁLIDA")</f>
        <v>VÁLIDA</v>
      </c>
    </row>
    <row r="28" spans="2:32" ht="20.25" customHeight="1">
      <c r="B28" s="332" t="s">
        <v>193</v>
      </c>
      <c r="C28" s="333"/>
      <c r="D28" s="333"/>
      <c r="E28" s="333"/>
      <c r="F28" s="334"/>
      <c r="G28" s="333"/>
      <c r="H28" s="335">
        <f>+H29</f>
        <v>3455188243</v>
      </c>
      <c r="I28" s="347"/>
      <c r="J28" s="348">
        <f>+J29</f>
        <v>3455188243</v>
      </c>
      <c r="K28" s="349"/>
      <c r="L28" s="347"/>
      <c r="M28" s="348">
        <f>+M29</f>
        <v>3455188243</v>
      </c>
      <c r="N28" s="371"/>
      <c r="O28" s="347"/>
      <c r="P28" s="348">
        <f>+P29</f>
        <v>3455188243</v>
      </c>
      <c r="Q28" s="371"/>
      <c r="R28" s="347"/>
      <c r="S28" s="348">
        <f>+S29</f>
        <v>3455188243</v>
      </c>
      <c r="T28" s="371"/>
      <c r="U28" s="347"/>
      <c r="V28" s="348">
        <f>+V29</f>
        <v>3455188243</v>
      </c>
      <c r="W28" s="371"/>
      <c r="X28" s="347"/>
      <c r="Y28" s="348">
        <f>+Y29</f>
        <v>3455188243</v>
      </c>
      <c r="Z28" s="371"/>
      <c r="AA28" s="347"/>
      <c r="AB28" s="348">
        <f>+AB29</f>
        <v>3455188243</v>
      </c>
      <c r="AC28" s="371"/>
      <c r="AD28" s="347"/>
      <c r="AE28" s="348">
        <f>+AE29</f>
        <v>3455188243</v>
      </c>
      <c r="AF28" s="371"/>
    </row>
    <row r="29" spans="2:32" ht="30.6" customHeight="1" thickBot="1">
      <c r="B29" s="162">
        <v>11</v>
      </c>
      <c r="C29" s="163">
        <v>11</v>
      </c>
      <c r="D29" s="164" t="s">
        <v>189</v>
      </c>
      <c r="E29" s="163" t="s">
        <v>158</v>
      </c>
      <c r="F29" s="165">
        <v>1</v>
      </c>
      <c r="G29" s="383">
        <v>3455188243</v>
      </c>
      <c r="H29" s="167">
        <f t="shared" si="0"/>
        <v>3455188243</v>
      </c>
      <c r="I29" s="281" t="s">
        <v>100</v>
      </c>
      <c r="J29" s="169">
        <v>3455188243</v>
      </c>
      <c r="K29" s="282" t="str">
        <f>+IF(J29&gt;0,IF(J29&lt;&gt;$H29,"NO VÁLIDA","VÁLIDA"),"NO VÁLIDA")</f>
        <v>VÁLIDA</v>
      </c>
      <c r="L29" s="281" t="s">
        <v>100</v>
      </c>
      <c r="M29" s="169">
        <v>3455188243</v>
      </c>
      <c r="N29" s="372" t="str">
        <f>+IF(M29&gt;0,IF(M29&lt;&gt;$H29,"NO VÁLIDA","VÁLIDA"),"NO VÁLIDA")</f>
        <v>VÁLIDA</v>
      </c>
      <c r="O29" s="281" t="s">
        <v>100</v>
      </c>
      <c r="P29" s="169">
        <v>3455188243</v>
      </c>
      <c r="Q29" s="372" t="str">
        <f>+IF(P29&gt;0,IF(P29&lt;&gt;$H29,"NO VÁLIDA","VÁLIDA"),"NO VÁLIDA")</f>
        <v>VÁLIDA</v>
      </c>
      <c r="R29" s="281" t="s">
        <v>100</v>
      </c>
      <c r="S29" s="169">
        <v>3455188243</v>
      </c>
      <c r="T29" s="372" t="str">
        <f>+IF(S29&gt;0,IF(S29&lt;&gt;$H29,"NO VÁLIDA","VÁLIDA"),"NO VÁLIDA")</f>
        <v>VÁLIDA</v>
      </c>
      <c r="U29" s="281" t="s">
        <v>100</v>
      </c>
      <c r="V29" s="169">
        <v>3455188243</v>
      </c>
      <c r="W29" s="372" t="str">
        <f>+IF(V29&gt;0,IF(V29&lt;&gt;$H29,"NO VÁLIDA","VÁLIDA"),"NO VÁLIDA")</f>
        <v>VÁLIDA</v>
      </c>
      <c r="X29" s="281" t="s">
        <v>100</v>
      </c>
      <c r="Y29" s="169">
        <v>3455188243</v>
      </c>
      <c r="Z29" s="372" t="str">
        <f>+IF(Y29&gt;0,IF(Y29&lt;&gt;$H29,"NO VÁLIDA","VÁLIDA"),"NO VÁLIDA")</f>
        <v>VÁLIDA</v>
      </c>
      <c r="AA29" s="281" t="s">
        <v>100</v>
      </c>
      <c r="AB29" s="169">
        <v>3455188243</v>
      </c>
      <c r="AC29" s="372" t="str">
        <f>+IF(AB29&gt;0,IF(AB29&lt;&gt;$H29,"NO VÁLIDA","VÁLIDA"),"NO VÁLIDA")</f>
        <v>VÁLIDA</v>
      </c>
      <c r="AD29" s="281" t="s">
        <v>100</v>
      </c>
      <c r="AE29" s="169">
        <v>3455188243</v>
      </c>
      <c r="AF29" s="372" t="str">
        <f>+IF(AE29&gt;0,IF(AE29&lt;&gt;$H29,"NO VÁLIDA","VÁLIDA"),"NO VÁLIDA")</f>
        <v>VÁLIDA</v>
      </c>
    </row>
    <row r="30" spans="2:32" ht="20.25" customHeight="1">
      <c r="B30" s="332" t="s">
        <v>194</v>
      </c>
      <c r="C30" s="333"/>
      <c r="D30" s="333"/>
      <c r="E30" s="333"/>
      <c r="F30" s="334"/>
      <c r="G30" s="333"/>
      <c r="H30" s="335">
        <f>+H31</f>
        <v>5000000000</v>
      </c>
      <c r="I30" s="347"/>
      <c r="J30" s="348">
        <f>+J31</f>
        <v>5000000000</v>
      </c>
      <c r="K30" s="349"/>
      <c r="L30" s="347"/>
      <c r="M30" s="348">
        <f>+M31</f>
        <v>5000000000</v>
      </c>
      <c r="N30" s="371"/>
      <c r="O30" s="347"/>
      <c r="P30" s="348">
        <f>+P31</f>
        <v>5000000000</v>
      </c>
      <c r="Q30" s="371"/>
      <c r="R30" s="347"/>
      <c r="S30" s="348">
        <f>+S31</f>
        <v>5000000000</v>
      </c>
      <c r="T30" s="371"/>
      <c r="U30" s="347"/>
      <c r="V30" s="348">
        <f>+V31</f>
        <v>5000000000</v>
      </c>
      <c r="W30" s="371"/>
      <c r="X30" s="347"/>
      <c r="Y30" s="348">
        <f>+Y31</f>
        <v>5000000000</v>
      </c>
      <c r="Z30" s="371"/>
      <c r="AA30" s="347"/>
      <c r="AB30" s="348">
        <f>+AB31</f>
        <v>5000000000</v>
      </c>
      <c r="AC30" s="371"/>
      <c r="AD30" s="347"/>
      <c r="AE30" s="348">
        <f>+AE31</f>
        <v>5000000000</v>
      </c>
      <c r="AF30" s="371"/>
    </row>
    <row r="31" spans="2:32" ht="30.6" customHeight="1" thickBot="1">
      <c r="B31" s="162">
        <v>12</v>
      </c>
      <c r="C31" s="163">
        <v>12</v>
      </c>
      <c r="D31" s="164" t="s">
        <v>190</v>
      </c>
      <c r="E31" s="163" t="s">
        <v>158</v>
      </c>
      <c r="F31" s="165">
        <v>1</v>
      </c>
      <c r="G31" s="383">
        <v>5000000000</v>
      </c>
      <c r="H31" s="167">
        <f t="shared" si="0"/>
        <v>5000000000</v>
      </c>
      <c r="I31" s="281" t="s">
        <v>100</v>
      </c>
      <c r="J31" s="169">
        <v>5000000000</v>
      </c>
      <c r="K31" s="282" t="str">
        <f>+IF(J31&gt;0,IF(J31&lt;&gt;$H31,"NO VÁLIDA","VÁLIDA"),"NO VÁLIDA")</f>
        <v>VÁLIDA</v>
      </c>
      <c r="L31" s="281" t="s">
        <v>100</v>
      </c>
      <c r="M31" s="169">
        <v>5000000000</v>
      </c>
      <c r="N31" s="372" t="str">
        <f>+IF(M31&gt;0,IF(M31&lt;&gt;$H31,"NO VÁLIDA","VÁLIDA"),"NO VÁLIDA")</f>
        <v>VÁLIDA</v>
      </c>
      <c r="O31" s="281" t="s">
        <v>100</v>
      </c>
      <c r="P31" s="169">
        <v>5000000000</v>
      </c>
      <c r="Q31" s="372" t="str">
        <f>+IF(P31&gt;0,IF(P31&lt;&gt;$H31,"NO VÁLIDA","VÁLIDA"),"NO VÁLIDA")</f>
        <v>VÁLIDA</v>
      </c>
      <c r="R31" s="281" t="s">
        <v>100</v>
      </c>
      <c r="S31" s="169">
        <v>5000000000</v>
      </c>
      <c r="T31" s="372" t="str">
        <f>+IF(S31&gt;0,IF(S31&lt;&gt;$H31,"NO VÁLIDA","VÁLIDA"),"NO VÁLIDA")</f>
        <v>VÁLIDA</v>
      </c>
      <c r="U31" s="281" t="s">
        <v>100</v>
      </c>
      <c r="V31" s="169">
        <v>5000000000</v>
      </c>
      <c r="W31" s="372" t="str">
        <f>+IF(V31&gt;0,IF(V31&lt;&gt;$H31,"NO VÁLIDA","VÁLIDA"),"NO VÁLIDA")</f>
        <v>VÁLIDA</v>
      </c>
      <c r="X31" s="281" t="s">
        <v>100</v>
      </c>
      <c r="Y31" s="169">
        <v>5000000000</v>
      </c>
      <c r="Z31" s="372" t="str">
        <f>+IF(Y31&gt;0,IF(Y31&lt;&gt;$H31,"NO VÁLIDA","VÁLIDA"),"NO VÁLIDA")</f>
        <v>VÁLIDA</v>
      </c>
      <c r="AA31" s="281" t="s">
        <v>100</v>
      </c>
      <c r="AB31" s="169">
        <v>5000000000</v>
      </c>
      <c r="AC31" s="372" t="str">
        <f>+IF(AB31&gt;0,IF(AB31&lt;&gt;$H31,"NO VÁLIDA","VÁLIDA"),"NO VÁLIDA")</f>
        <v>VÁLIDA</v>
      </c>
      <c r="AD31" s="281" t="s">
        <v>100</v>
      </c>
      <c r="AE31" s="169">
        <v>5000000000</v>
      </c>
      <c r="AF31" s="372" t="str">
        <f>+IF(AE31&gt;0,IF(AE31&lt;&gt;$H31,"NO VÁLIDA","VÁLIDA"),"NO VÁLIDA")</f>
        <v>VÁLIDA</v>
      </c>
    </row>
    <row r="32" spans="2:32" ht="30.6" customHeight="1">
      <c r="B32" s="336"/>
      <c r="C32" s="337"/>
      <c r="D32" s="338"/>
      <c r="E32" s="337"/>
      <c r="F32" s="339"/>
      <c r="G32" s="340" t="s">
        <v>116</v>
      </c>
      <c r="H32" s="341">
        <f>H15+H24+H26+H28+H30</f>
        <v>43274806656</v>
      </c>
      <c r="I32" s="170"/>
      <c r="J32" s="341">
        <f>J15+J24+J26+J28+J30</f>
        <v>41252152352</v>
      </c>
      <c r="K32" s="207"/>
      <c r="L32" s="170"/>
      <c r="M32" s="341">
        <f>M15+M24+M26+M28+M30</f>
        <v>41333870523</v>
      </c>
      <c r="N32" s="373"/>
      <c r="O32" s="170"/>
      <c r="P32" s="341">
        <f>P15+P24+P26+P28+P30</f>
        <v>40483943377</v>
      </c>
      <c r="Q32" s="373"/>
      <c r="R32" s="170"/>
      <c r="S32" s="341">
        <f>S15+S24+S26+S28+S30</f>
        <v>41370201243</v>
      </c>
      <c r="T32" s="373"/>
      <c r="U32" s="170"/>
      <c r="V32" s="341">
        <f>V15+V24+V26+V28+V30</f>
        <v>41020297604</v>
      </c>
      <c r="W32" s="373"/>
      <c r="X32" s="170"/>
      <c r="Y32" s="341">
        <f>Y15+Y24+Y26+Y28+Y30</f>
        <v>42402296656</v>
      </c>
      <c r="Z32" s="373"/>
      <c r="AA32" s="170"/>
      <c r="AB32" s="341">
        <f>AB15+AB24+AB26+AB28+AB30</f>
        <v>41686988004</v>
      </c>
      <c r="AC32" s="373"/>
      <c r="AD32" s="170"/>
      <c r="AE32" s="341">
        <f>AE15+AE24+AE26+AE28+AE30</f>
        <v>42114788054</v>
      </c>
      <c r="AF32" s="373"/>
    </row>
    <row r="33" spans="2:32" s="24" customFormat="1" ht="32.25" customHeight="1">
      <c r="B33" s="342"/>
      <c r="C33" s="343"/>
      <c r="D33" s="344"/>
      <c r="E33" s="343"/>
      <c r="F33" s="345"/>
      <c r="G33" s="345" t="s">
        <v>105</v>
      </c>
      <c r="H33" s="346">
        <f>+ROUND((H16/1.27)*0.05*0.19,0)+ROUND((H17/1.27)*0.05*0.19,0)+ROUND((H18/1.27)*0.05*0.19,0)+ROUND((H19/1.27)*0.05*0.19,0)+ROUND((H20/1.27)*0.05*0.19,0)+ROUND((H21/1.27)*0.05*0.19,0)+ROUND((H22/1.27)*0.05*0.19,0)+ROUND((H23/1.27)*0.05*0.19,0)+ROUND((H25/1.27)*0.05*0.19,0)+ROUND((H27/1.27)*0.05*0.19,0)+ROUND((H29/1.27)*0.05*0.19,0)+ROUND((H31/1.27)*0.05*0.19,0)</f>
        <v>323709184</v>
      </c>
      <c r="I33" s="171"/>
      <c r="J33" s="346">
        <f>+ROUND((J16/1.27)*0.05*0.19,0)+ROUND((J17/1.27)*0.05*0.19,0)+ROUND((J18/1.27)*0.05*0.19,0)+ROUND((J19/1.27)*0.05*0.19,0)+ROUND((J20/1.27)*0.05*0.19,0)+ROUND((J21/1.27)*0.05*0.19,0)+ROUND((J22/1.27)*0.05*0.19,0)+ROUND((J23/1.27)*0.05*0.19,0)+ROUND((J25/1.27)*0.05*0.19,0)+ROUND((J27/1.27)*0.05*0.19,0)+ROUND((J29/1.27)*0.05*0.19,0)+ROUND((J31/1.27)*0.05*0.19,0)</f>
        <v>308579094</v>
      </c>
      <c r="K33" s="208"/>
      <c r="L33" s="171"/>
      <c r="M33" s="346">
        <f>+ROUND((M16/1.27)*0.05*0.19,0)+ROUND((M17/1.27)*0.05*0.19,0)+ROUND((M18/1.27)*0.05*0.19,0)+ROUND((M19/1.27)*0.05*0.19,0)+ROUND((M20/1.27)*0.05*0.19,0)+ROUND((M21/1.27)*0.05*0.19,0)+ROUND((M22/1.27)*0.05*0.19,0)+ROUND((M23/1.27)*0.05*0.19,0)+ROUND((M25/1.27)*0.05*0.19,0)+ROUND((M27/1.27)*0.05*0.19,0)+ROUND((M29/1.27)*0.05*0.19,0)+ROUND((M31/1.27)*0.05*0.19,0)</f>
        <v>309190370</v>
      </c>
      <c r="N33" s="374"/>
      <c r="O33" s="171"/>
      <c r="P33" s="346">
        <f>+ROUND((P16/1.27)*0.025*0.19,0)+ROUND((P17/1.27)*0.025*0.19,0)+ROUND((P18/1.27)*0.025*0.19,0)+ROUND((P19/1.27)*0.025*0.19,0)+ROUND((P20/1.27)*0.025*0.19,0)+ROUND((P21/1.27)*0.025*0.19,0)+ROUND((P22/1.27)*0.025*0.19,0)+ROUND((P23/1.27)*0.025*0.19,0)+ROUND((P25/1.27)*0.025*0.19,0)+ROUND((P27/1.27)*0.025*0.19,0)+ROUND((P29/1.27)*0.025*0.19,0)+ROUND((P31/1.27)*0.025*0.19,0)</f>
        <v>151416323</v>
      </c>
      <c r="Q33" s="374"/>
      <c r="R33" s="171"/>
      <c r="S33" s="346">
        <f>+ROUND((S16/1.27)*0.05*0.19,0)+ROUND((S17/1.27)*0.05*0.19,0)+ROUND((S18/1.27)*0.05*0.19,0)+ROUND((S19/1.27)*0.05*0.19,0)+ROUND((S20/1.27)*0.05*0.19,0)+ROUND((S21/1.27)*0.05*0.19,0)+ROUND((S22/1.27)*0.05*0.19,0)+ROUND((S23/1.27)*0.05*0.19,0)+ROUND((S25/1.27)*0.05*0.19,0)+ROUND((S27/1.27)*0.05*0.19,0)+ROUND((S29/1.27)*0.05*0.19,0)+ROUND((S31/1.27)*0.05*0.19,0)</f>
        <v>309462136</v>
      </c>
      <c r="T33" s="374"/>
      <c r="U33" s="171"/>
      <c r="V33" s="346">
        <f>+ROUND((V16/1.27)*0.05*0.19,0)+ROUND((V17/1.27)*0.05*0.19,0)+ROUND((V18/1.27)*0.05*0.19,0)+ROUND((V19/1.27)*0.05*0.19,0)+ROUND((V20/1.27)*0.05*0.19,0)+ROUND((V21/1.27)*0.05*0.19,0)+ROUND((V22/1.27)*0.05*0.19,0)+ROUND((V23/1.27)*0.05*0.19,0)+ROUND((V25/1.27)*0.05*0.19,0)+ROUND((V27/1.27)*0.05*0.19,0)+ROUND((V29/1.27)*0.05*0.19,0)+ROUND((V31/1.27)*0.05*0.19,0)</f>
        <v>306844746</v>
      </c>
      <c r="W33" s="374"/>
      <c r="X33" s="171"/>
      <c r="Y33" s="346">
        <f>+ROUND((Y16/1.27)*0.05*0.19,0)+ROUND((Y17/1.27)*0.05*0.19,0)+ROUND((Y18/1.27)*0.05*0.19,0)+ROUND((Y19/1.27)*0.05*0.19,0)+ROUND((Y20/1.27)*0.05*0.19,0)+ROUND((Y21/1.27)*0.05*0.19,0)+ROUND((Y22/1.27)*0.05*0.19,0)+ROUND((Y23/1.27)*0.05*0.19,0)+ROUND((Y25/1.27)*0.05*0.19,0)+ROUND((Y27/1.27)*0.05*0.19,0)+ROUND((Y29/1.27)*0.05*0.19,0)+ROUND((Y31/1.27)*0.05*0.19,0)</f>
        <v>317182534</v>
      </c>
      <c r="Z33" s="374"/>
      <c r="AA33" s="171"/>
      <c r="AB33" s="346">
        <f>+ROUND((AB16/1.27)*0.05*0.19,0)+ROUND((AB17/1.27)*0.05*0.19,0)+ROUND((AB18/1.27)*0.05*0.19,0)+ROUND((AB19/1.27)*0.05*0.19,0)+ROUND((AB20/1.27)*0.05*0.19,0)+ROUND((AB21/1.27)*0.05*0.19,0)+ROUND((AB22/1.27)*0.05*0.19,0)+ROUND((AB23/1.27)*0.05*0.19,0)+ROUND((AB25/1.27)*0.05*0.19,0)+ROUND((AB27/1.27)*0.05*0.19,0)+ROUND((AB29/1.27)*0.05*0.19,0)+ROUND((AB31/1.27)*0.05*0.19,0)</f>
        <v>311831802</v>
      </c>
      <c r="AC33" s="374"/>
      <c r="AD33" s="171"/>
      <c r="AE33" s="346">
        <f>+ROUND((AE16/1.27)*0.05*0.19,0)+ROUND((AE17/1.27)*0.05*0.19,0)+ROUND((AE18/1.27)*0.05*0.19,0)+ROUND((AE19/1.27)*0.05*0.19,0)+ROUND((AE20/1.27)*0.05*0.19,0)+ROUND((AE21/1.27)*0.05*0.19,0)+ROUND((AE22/1.27)*0.05*0.19,0)+ROUND((AE23/1.27)*0.05*0.19,0)+ROUND((AE25/1.27)*0.05*0.19,0)+ROUND((AE27/1.27)*0.05*0.19,0)+ROUND((AE29/1.27)*0.05*0.19,0)+ROUND((AE31/1.27)*0.05*0.19,0)</f>
        <v>315031880</v>
      </c>
      <c r="AF33" s="374"/>
    </row>
    <row r="34" spans="2:32" s="24" customFormat="1" ht="32.25" customHeight="1" thickBot="1">
      <c r="B34" s="342"/>
      <c r="C34" s="343"/>
      <c r="D34" s="344"/>
      <c r="E34" s="343"/>
      <c r="F34" s="345"/>
      <c r="G34" s="345" t="s">
        <v>157</v>
      </c>
      <c r="H34" s="346">
        <f>SUM(H32+H33)</f>
        <v>43598515840</v>
      </c>
      <c r="I34" s="171"/>
      <c r="J34" s="346">
        <f>SUM(J32+J33)</f>
        <v>41560731446</v>
      </c>
      <c r="K34" s="208"/>
      <c r="L34" s="171"/>
      <c r="M34" s="346">
        <f>SUM(M32+M33)</f>
        <v>41643060893</v>
      </c>
      <c r="N34" s="374"/>
      <c r="O34" s="171"/>
      <c r="P34" s="346">
        <f>SUM(P32+P33)</f>
        <v>40635359700</v>
      </c>
      <c r="Q34" s="374"/>
      <c r="R34" s="171"/>
      <c r="S34" s="346">
        <f>SUM(S32+S33)</f>
        <v>41679663379</v>
      </c>
      <c r="T34" s="374"/>
      <c r="U34" s="171"/>
      <c r="V34" s="346">
        <f>SUM(V32+V33)</f>
        <v>41327142350</v>
      </c>
      <c r="W34" s="374"/>
      <c r="X34" s="171"/>
      <c r="Y34" s="346">
        <f>SUM(Y32+Y33)</f>
        <v>42719479190</v>
      </c>
      <c r="Z34" s="374"/>
      <c r="AA34" s="171"/>
      <c r="AB34" s="346">
        <f>SUM(AB32+AB33)</f>
        <v>41998819806</v>
      </c>
      <c r="AC34" s="374"/>
      <c r="AD34" s="171"/>
      <c r="AE34" s="346">
        <f>SUM(AE32+AE33)</f>
        <v>42429819934</v>
      </c>
      <c r="AF34" s="374"/>
    </row>
    <row r="35" spans="2:32" ht="30.6" customHeight="1" thickBot="1">
      <c r="B35" s="457" t="s">
        <v>230</v>
      </c>
      <c r="C35" s="458"/>
      <c r="D35" s="458"/>
      <c r="E35" s="458"/>
      <c r="F35" s="458"/>
      <c r="G35" s="458"/>
      <c r="H35" s="459"/>
      <c r="I35" s="446"/>
      <c r="J35" s="447"/>
      <c r="K35" s="447"/>
      <c r="L35" s="446"/>
      <c r="M35" s="447"/>
      <c r="N35" s="448"/>
      <c r="O35" s="446"/>
      <c r="P35" s="447"/>
      <c r="Q35" s="448"/>
      <c r="R35" s="446"/>
      <c r="S35" s="447"/>
      <c r="T35" s="448"/>
      <c r="U35" s="446"/>
      <c r="V35" s="447"/>
      <c r="W35" s="448"/>
      <c r="X35" s="446"/>
      <c r="Y35" s="447"/>
      <c r="Z35" s="448"/>
      <c r="AA35" s="446"/>
      <c r="AB35" s="447"/>
      <c r="AC35" s="448"/>
      <c r="AD35" s="446"/>
      <c r="AE35" s="447"/>
      <c r="AF35" s="448"/>
    </row>
    <row r="36" spans="2:32" ht="36" customHeight="1" thickBot="1">
      <c r="B36" s="160" t="s">
        <v>12</v>
      </c>
      <c r="C36" s="161" t="s">
        <v>15</v>
      </c>
      <c r="D36" s="126" t="s">
        <v>108</v>
      </c>
      <c r="E36" s="126" t="s">
        <v>1</v>
      </c>
      <c r="F36" s="127" t="s">
        <v>8</v>
      </c>
      <c r="G36" s="126" t="s">
        <v>2</v>
      </c>
      <c r="H36" s="128" t="s">
        <v>42</v>
      </c>
      <c r="I36" s="129" t="s">
        <v>2</v>
      </c>
      <c r="J36" s="126" t="s">
        <v>3</v>
      </c>
      <c r="K36" s="205" t="s">
        <v>4</v>
      </c>
      <c r="L36" s="129" t="s">
        <v>2</v>
      </c>
      <c r="M36" s="126" t="s">
        <v>3</v>
      </c>
      <c r="N36" s="370" t="s">
        <v>4</v>
      </c>
      <c r="O36" s="129" t="s">
        <v>2</v>
      </c>
      <c r="P36" s="126" t="s">
        <v>3</v>
      </c>
      <c r="Q36" s="370" t="s">
        <v>4</v>
      </c>
      <c r="R36" s="129" t="s">
        <v>2</v>
      </c>
      <c r="S36" s="126" t="s">
        <v>3</v>
      </c>
      <c r="T36" s="370" t="s">
        <v>4</v>
      </c>
      <c r="U36" s="129" t="s">
        <v>2</v>
      </c>
      <c r="V36" s="126" t="s">
        <v>3</v>
      </c>
      <c r="W36" s="370" t="s">
        <v>4</v>
      </c>
      <c r="X36" s="129" t="s">
        <v>2</v>
      </c>
      <c r="Y36" s="126" t="s">
        <v>3</v>
      </c>
      <c r="Z36" s="370" t="s">
        <v>4</v>
      </c>
      <c r="AA36" s="129" t="s">
        <v>2</v>
      </c>
      <c r="AB36" s="126" t="s">
        <v>3</v>
      </c>
      <c r="AC36" s="370" t="s">
        <v>4</v>
      </c>
      <c r="AD36" s="129" t="s">
        <v>2</v>
      </c>
      <c r="AE36" s="126" t="s">
        <v>3</v>
      </c>
      <c r="AF36" s="370" t="s">
        <v>4</v>
      </c>
    </row>
    <row r="37" spans="2:32" ht="20.25" customHeight="1">
      <c r="B37" s="332" t="s">
        <v>207</v>
      </c>
      <c r="C37" s="333"/>
      <c r="D37" s="333"/>
      <c r="E37" s="333"/>
      <c r="F37" s="334"/>
      <c r="G37" s="333"/>
      <c r="H37" s="335">
        <f>SUM(H38:H48)</f>
        <v>330719000</v>
      </c>
      <c r="I37" s="347"/>
      <c r="J37" s="348">
        <f>SUM(J38:J48)</f>
        <v>297647100</v>
      </c>
      <c r="K37" s="349"/>
      <c r="L37" s="347"/>
      <c r="M37" s="348">
        <f>SUM(M38:M48)</f>
        <v>305818796</v>
      </c>
      <c r="N37" s="371"/>
      <c r="O37" s="347"/>
      <c r="P37" s="348">
        <f>SUM(P38:P48)</f>
        <v>327663050</v>
      </c>
      <c r="Q37" s="371"/>
      <c r="R37" s="347"/>
      <c r="S37" s="348">
        <f>SUM(S38:S48)</f>
        <v>310875860</v>
      </c>
      <c r="T37" s="371"/>
      <c r="U37" s="347"/>
      <c r="V37" s="348">
        <f>SUM(V38:V48)</f>
        <v>298639257</v>
      </c>
      <c r="W37" s="371"/>
      <c r="X37" s="347"/>
      <c r="Y37" s="348">
        <f>SUM(Y38:Y48)</f>
        <v>292723424</v>
      </c>
      <c r="Z37" s="371"/>
      <c r="AA37" s="347"/>
      <c r="AB37" s="348">
        <f>SUM(AB38:AB48)</f>
        <v>311298451</v>
      </c>
      <c r="AC37" s="371"/>
      <c r="AD37" s="347"/>
      <c r="AE37" s="348">
        <f>SUM(AE38:AE48)</f>
        <v>305454636</v>
      </c>
      <c r="AF37" s="371"/>
    </row>
    <row r="38" spans="2:32" ht="30.6" customHeight="1">
      <c r="B38" s="162">
        <v>1</v>
      </c>
      <c r="C38" s="163"/>
      <c r="D38" s="164" t="s">
        <v>195</v>
      </c>
      <c r="E38" s="163" t="s">
        <v>196</v>
      </c>
      <c r="F38" s="165">
        <v>1</v>
      </c>
      <c r="G38" s="166">
        <v>14237000</v>
      </c>
      <c r="H38" s="167">
        <f>ROUND(G38*F38,0)</f>
        <v>14237000</v>
      </c>
      <c r="I38" s="168">
        <v>12813300</v>
      </c>
      <c r="J38" s="169">
        <f>ROUND($F38*ROUND(I38,0),0)</f>
        <v>12813300</v>
      </c>
      <c r="K38" s="206" t="str">
        <f>+IF(I38&gt;0,IF(OR(I38&gt;$G38,ROUND(I38,0)&gt;$G38),"NO VÁLIDA","VÁLIDA"),"NO VÁLIDA")</f>
        <v>VÁLIDA</v>
      </c>
      <c r="L38" s="168">
        <v>13108936</v>
      </c>
      <c r="M38" s="169">
        <f>ROUND($F38*ROUND(L38,0),0)</f>
        <v>13108936</v>
      </c>
      <c r="N38" s="372" t="str">
        <f>+IF(L38&gt;0,IF(OR(L38&gt;$G38,ROUND(L38,0)&gt;$G38),"NO VÁLIDA","VÁLIDA"),"NO VÁLIDA")</f>
        <v>VÁLIDA</v>
      </c>
      <c r="O38" s="168">
        <v>13525150</v>
      </c>
      <c r="P38" s="169">
        <f>ROUND($F38*ROUND(O38,0),0)</f>
        <v>13525150</v>
      </c>
      <c r="Q38" s="372" t="str">
        <f>+IF(O38&gt;0,IF(OR(O38&gt;$G38,ROUND(O38,0)&gt;$G38),"NO VÁLIDA","VÁLIDA"),"NO VÁLIDA")</f>
        <v>VÁLIDA</v>
      </c>
      <c r="R38" s="168">
        <v>13382780</v>
      </c>
      <c r="S38" s="169">
        <f>ROUND($F38*ROUND(R38,0),0)</f>
        <v>13382780</v>
      </c>
      <c r="T38" s="372" t="str">
        <f>+IF(R38&gt;0,IF(OR(R38&gt;$G38,ROUND(R38,0)&gt;$G38),"NO VÁLIDA","VÁLIDA"),"NO VÁLIDA")</f>
        <v>VÁLIDA</v>
      </c>
      <c r="U38" s="168">
        <v>12856011</v>
      </c>
      <c r="V38" s="169">
        <f>ROUND($F38*ROUND(U38,0),0)</f>
        <v>12856011</v>
      </c>
      <c r="W38" s="372" t="str">
        <f>+IF(U38&gt;0,IF(OR(U38&gt;$G38,ROUND(U38,0)&gt;$G38),"NO VÁLIDA","VÁLIDA"),"NO VÁLIDA")</f>
        <v>VÁLIDA</v>
      </c>
      <c r="X38" s="168">
        <v>12820197.079564193</v>
      </c>
      <c r="Y38" s="169">
        <f t="shared" ref="Y38:Y46" si="8">ROUND($F38*ROUND(X38,0),0)</f>
        <v>12820197</v>
      </c>
      <c r="Z38" s="372" t="str">
        <f>+IF(X38&gt;0,IF(OR(X38&gt;$G38,ROUND(X38,0)&gt;$G38),"NO VÁLIDA","VÁLIDA"),"NO VÁLIDA")</f>
        <v>VÁLIDA</v>
      </c>
      <c r="AA38" s="168">
        <v>13400971</v>
      </c>
      <c r="AB38" s="169">
        <f>ROUND($F38*ROUND(AA38,0),0)</f>
        <v>13400971</v>
      </c>
      <c r="AC38" s="372" t="str">
        <f>+IF(AA38&gt;0,IF(OR(AA38&gt;$G38,ROUND(AA38,0)&gt;$G38),"NO VÁLIDA","VÁLIDA"),"NO VÁLIDA")</f>
        <v>VÁLIDA</v>
      </c>
      <c r="AD38" s="168">
        <v>12959941</v>
      </c>
      <c r="AE38" s="169">
        <f>ROUND($F38*ROUND(AD38,0),0)</f>
        <v>12959941</v>
      </c>
      <c r="AF38" s="372" t="str">
        <f>+IF(AD38&gt;0,IF(OR(AD38&gt;$G38,ROUND(AD38,0)&gt;$G38),"NO VÁLIDA","VÁLIDA"),"NO VÁLIDA")</f>
        <v>VÁLIDA</v>
      </c>
    </row>
    <row r="39" spans="2:32" ht="30.6" customHeight="1">
      <c r="B39" s="162">
        <v>2</v>
      </c>
      <c r="C39" s="163"/>
      <c r="D39" s="164" t="s">
        <v>197</v>
      </c>
      <c r="E39" s="163" t="s">
        <v>196</v>
      </c>
      <c r="F39" s="165">
        <v>2</v>
      </c>
      <c r="G39" s="166">
        <v>9254000</v>
      </c>
      <c r="H39" s="167">
        <f t="shared" ref="H39:H48" si="9">ROUND(G39*F39,0)</f>
        <v>18508000</v>
      </c>
      <c r="I39" s="168">
        <v>8328600</v>
      </c>
      <c r="J39" s="169">
        <f t="shared" ref="J39:J48" si="10">ROUND($F39*ROUND(I39,0),0)</f>
        <v>16657200</v>
      </c>
      <c r="K39" s="206" t="str">
        <f t="shared" ref="K39:K46" si="11">+IF(I39&gt;0,IF(OR(I39&gt;$G39,ROUND(I39,0)&gt;$G39),"NO VÁLIDA","VÁLIDA"),"NO VÁLIDA")</f>
        <v>VÁLIDA</v>
      </c>
      <c r="L39" s="168">
        <v>8525653</v>
      </c>
      <c r="M39" s="169">
        <f t="shared" ref="M39:M46" si="12">ROUND($F39*ROUND(L39,0),0)</f>
        <v>17051306</v>
      </c>
      <c r="N39" s="372" t="str">
        <f t="shared" ref="N39:N46" si="13">+IF(L39&gt;0,IF(OR(L39&gt;$G39,ROUND(L39,0)&gt;$G39),"NO VÁLIDA","VÁLIDA"),"NO VÁLIDA")</f>
        <v>VÁLIDA</v>
      </c>
      <c r="O39" s="168">
        <v>8791300</v>
      </c>
      <c r="P39" s="169">
        <f t="shared" ref="P39:P46" si="14">ROUND($F39*ROUND(O39,0),0)</f>
        <v>17582600</v>
      </c>
      <c r="Q39" s="372" t="str">
        <f t="shared" ref="Q39:Q46" si="15">+IF(O39&gt;0,IF(OR(O39&gt;$G39,ROUND(O39,0)&gt;$G39),"NO VÁLIDA","VÁLIDA"),"NO VÁLIDA")</f>
        <v>VÁLIDA</v>
      </c>
      <c r="R39" s="168">
        <v>8698760</v>
      </c>
      <c r="S39" s="169">
        <f t="shared" ref="S39:S46" si="16">ROUND($F39*ROUND(R39,0),0)</f>
        <v>17397520</v>
      </c>
      <c r="T39" s="372" t="str">
        <f t="shared" ref="T39:T46" si="17">+IF(R39&gt;0,IF(OR(R39&gt;$G39,ROUND(R39,0)&gt;$G39),"NO VÁLIDA","VÁLIDA"),"NO VÁLIDA")</f>
        <v>VÁLIDA</v>
      </c>
      <c r="U39" s="168">
        <v>8356362</v>
      </c>
      <c r="V39" s="169">
        <f t="shared" ref="V39:V47" si="18">ROUND($F39*ROUND(U39,0),0)</f>
        <v>16712724</v>
      </c>
      <c r="W39" s="372" t="str">
        <f t="shared" ref="W39:W46" si="19">+IF(U39&gt;0,IF(OR(U39&gt;$G39,ROUND(U39,0)&gt;$G39),"NO VÁLIDA","VÁLIDA"),"NO VÁLIDA")</f>
        <v>VÁLIDA</v>
      </c>
      <c r="X39" s="168">
        <v>8184432</v>
      </c>
      <c r="Y39" s="169">
        <f t="shared" si="8"/>
        <v>16368864</v>
      </c>
      <c r="Z39" s="372" t="str">
        <f t="shared" ref="Z39:Z46" si="20">+IF(X39&gt;0,IF(OR(X39&gt;$G39,ROUND(X39,0)&gt;$G39),"NO VÁLIDA","VÁLIDA"),"NO VÁLIDA")</f>
        <v>VÁLIDA</v>
      </c>
      <c r="AA39" s="168">
        <v>8710584</v>
      </c>
      <c r="AB39" s="169">
        <f t="shared" ref="AB39:AB46" si="21">ROUND($F39*ROUND(AA39,0),0)</f>
        <v>17421168</v>
      </c>
      <c r="AC39" s="372" t="str">
        <f t="shared" ref="AC39:AC46" si="22">+IF(AA39&gt;0,IF(OR(AA39&gt;$G39,ROUND(AA39,0)&gt;$G39),"NO VÁLIDA","VÁLIDA"),"NO VÁLIDA")</f>
        <v>VÁLIDA</v>
      </c>
      <c r="AD39" s="168">
        <v>8423916</v>
      </c>
      <c r="AE39" s="169">
        <f t="shared" ref="AE39:AE46" si="23">ROUND($F39*ROUND(AD39,0),0)</f>
        <v>16847832</v>
      </c>
      <c r="AF39" s="372" t="str">
        <f t="shared" ref="AF39:AF46" si="24">+IF(AD39&gt;0,IF(OR(AD39&gt;$G39,ROUND(AD39,0)&gt;$G39),"NO VÁLIDA","VÁLIDA"),"NO VÁLIDA")</f>
        <v>VÁLIDA</v>
      </c>
    </row>
    <row r="40" spans="2:32" ht="30.6" customHeight="1">
      <c r="B40" s="162">
        <v>3</v>
      </c>
      <c r="C40" s="163"/>
      <c r="D40" s="164" t="s">
        <v>198</v>
      </c>
      <c r="E40" s="163" t="s">
        <v>196</v>
      </c>
      <c r="F40" s="165">
        <v>2</v>
      </c>
      <c r="G40" s="166">
        <v>2656000</v>
      </c>
      <c r="H40" s="167">
        <f t="shared" si="9"/>
        <v>5312000</v>
      </c>
      <c r="I40" s="168">
        <v>2390400</v>
      </c>
      <c r="J40" s="169">
        <f t="shared" si="10"/>
        <v>4780800</v>
      </c>
      <c r="K40" s="206" t="str">
        <f t="shared" si="11"/>
        <v>VÁLIDA</v>
      </c>
      <c r="L40" s="168">
        <v>2458048</v>
      </c>
      <c r="M40" s="169">
        <f t="shared" si="12"/>
        <v>4916096</v>
      </c>
      <c r="N40" s="372" t="str">
        <f t="shared" si="13"/>
        <v>VÁLIDA</v>
      </c>
      <c r="O40" s="168">
        <v>2523200</v>
      </c>
      <c r="P40" s="169">
        <f t="shared" si="14"/>
        <v>5046400</v>
      </c>
      <c r="Q40" s="372" t="str">
        <f t="shared" si="15"/>
        <v>VÁLIDA</v>
      </c>
      <c r="R40" s="168">
        <v>2496640</v>
      </c>
      <c r="S40" s="169">
        <f t="shared" si="16"/>
        <v>4993280</v>
      </c>
      <c r="T40" s="372" t="str">
        <f t="shared" si="17"/>
        <v>VÁLIDA</v>
      </c>
      <c r="U40" s="168">
        <v>2398368</v>
      </c>
      <c r="V40" s="169">
        <f t="shared" si="18"/>
        <v>4796736</v>
      </c>
      <c r="W40" s="372" t="str">
        <f t="shared" si="19"/>
        <v>VÁLIDA</v>
      </c>
      <c r="X40" s="168">
        <v>2349022</v>
      </c>
      <c r="Y40" s="169">
        <f t="shared" si="8"/>
        <v>4698044</v>
      </c>
      <c r="Z40" s="372" t="str">
        <f t="shared" si="20"/>
        <v>VÁLIDA</v>
      </c>
      <c r="AA40" s="168">
        <v>2500034</v>
      </c>
      <c r="AB40" s="169">
        <f t="shared" si="21"/>
        <v>5000068</v>
      </c>
      <c r="AC40" s="372" t="str">
        <f t="shared" si="22"/>
        <v>VÁLIDA</v>
      </c>
      <c r="AD40" s="168">
        <v>2417757</v>
      </c>
      <c r="AE40" s="169">
        <f t="shared" si="23"/>
        <v>4835514</v>
      </c>
      <c r="AF40" s="372" t="str">
        <f t="shared" si="24"/>
        <v>VÁLIDA</v>
      </c>
    </row>
    <row r="41" spans="2:32" ht="30.6" customHeight="1">
      <c r="B41" s="162">
        <v>4</v>
      </c>
      <c r="C41" s="163"/>
      <c r="D41" s="164" t="s">
        <v>199</v>
      </c>
      <c r="E41" s="163" t="s">
        <v>196</v>
      </c>
      <c r="F41" s="165">
        <v>3</v>
      </c>
      <c r="G41" s="166">
        <v>3472000</v>
      </c>
      <c r="H41" s="167">
        <f t="shared" si="9"/>
        <v>10416000</v>
      </c>
      <c r="I41" s="168">
        <v>3124800</v>
      </c>
      <c r="J41" s="169">
        <f t="shared" si="10"/>
        <v>9374400</v>
      </c>
      <c r="K41" s="206" t="str">
        <f t="shared" si="11"/>
        <v>VÁLIDA</v>
      </c>
      <c r="L41" s="168">
        <v>3202710</v>
      </c>
      <c r="M41" s="169">
        <f t="shared" si="12"/>
        <v>9608130</v>
      </c>
      <c r="N41" s="372" t="str">
        <f t="shared" si="13"/>
        <v>VÁLIDA</v>
      </c>
      <c r="O41" s="168">
        <v>3298400</v>
      </c>
      <c r="P41" s="169">
        <f t="shared" si="14"/>
        <v>9895200</v>
      </c>
      <c r="Q41" s="372" t="str">
        <f t="shared" si="15"/>
        <v>VÁLIDA</v>
      </c>
      <c r="R41" s="168">
        <v>3263680</v>
      </c>
      <c r="S41" s="169">
        <f t="shared" si="16"/>
        <v>9791040</v>
      </c>
      <c r="T41" s="372" t="str">
        <f t="shared" si="17"/>
        <v>VÁLIDA</v>
      </c>
      <c r="U41" s="168">
        <v>3135216</v>
      </c>
      <c r="V41" s="169">
        <f t="shared" si="18"/>
        <v>9405648</v>
      </c>
      <c r="W41" s="372" t="str">
        <f t="shared" si="19"/>
        <v>VÁLIDA</v>
      </c>
      <c r="X41" s="168">
        <v>3070710</v>
      </c>
      <c r="Y41" s="169">
        <f t="shared" si="8"/>
        <v>9212130</v>
      </c>
      <c r="Z41" s="372" t="str">
        <f t="shared" si="20"/>
        <v>VÁLIDA</v>
      </c>
      <c r="AA41" s="168">
        <v>3268116</v>
      </c>
      <c r="AB41" s="169">
        <f t="shared" si="21"/>
        <v>9804348</v>
      </c>
      <c r="AC41" s="372" t="str">
        <f t="shared" si="22"/>
        <v>VÁLIDA</v>
      </c>
      <c r="AD41" s="168">
        <v>3160562</v>
      </c>
      <c r="AE41" s="169">
        <f t="shared" si="23"/>
        <v>9481686</v>
      </c>
      <c r="AF41" s="372" t="str">
        <f t="shared" si="24"/>
        <v>VÁLIDA</v>
      </c>
    </row>
    <row r="42" spans="2:32" ht="30.6" customHeight="1">
      <c r="B42" s="162">
        <v>5</v>
      </c>
      <c r="C42" s="163"/>
      <c r="D42" s="164" t="s">
        <v>200</v>
      </c>
      <c r="E42" s="163" t="s">
        <v>196</v>
      </c>
      <c r="F42" s="165">
        <v>8</v>
      </c>
      <c r="G42" s="166">
        <v>1857000</v>
      </c>
      <c r="H42" s="167">
        <f t="shared" si="9"/>
        <v>14856000</v>
      </c>
      <c r="I42" s="168">
        <v>1671300</v>
      </c>
      <c r="J42" s="169">
        <f t="shared" si="10"/>
        <v>13370400</v>
      </c>
      <c r="K42" s="206" t="str">
        <f t="shared" si="11"/>
        <v>VÁLIDA</v>
      </c>
      <c r="L42" s="168">
        <v>1724225</v>
      </c>
      <c r="M42" s="169">
        <f t="shared" si="12"/>
        <v>13793800</v>
      </c>
      <c r="N42" s="372" t="str">
        <f t="shared" si="13"/>
        <v>VÁLIDA</v>
      </c>
      <c r="O42" s="168">
        <v>1857000</v>
      </c>
      <c r="P42" s="169">
        <f t="shared" si="14"/>
        <v>14856000</v>
      </c>
      <c r="Q42" s="372" t="str">
        <f t="shared" si="15"/>
        <v>VÁLIDA</v>
      </c>
      <c r="R42" s="168">
        <v>1745580</v>
      </c>
      <c r="S42" s="169">
        <f t="shared" si="16"/>
        <v>13964640</v>
      </c>
      <c r="T42" s="372" t="str">
        <f t="shared" si="17"/>
        <v>VÁLIDA</v>
      </c>
      <c r="U42" s="168">
        <v>1676871</v>
      </c>
      <c r="V42" s="169">
        <f t="shared" si="18"/>
        <v>13414968</v>
      </c>
      <c r="W42" s="372" t="str">
        <f t="shared" si="19"/>
        <v>VÁLIDA</v>
      </c>
      <c r="X42" s="168">
        <v>1642369</v>
      </c>
      <c r="Y42" s="169">
        <f t="shared" si="8"/>
        <v>13138952</v>
      </c>
      <c r="Z42" s="372" t="str">
        <f t="shared" si="20"/>
        <v>VÁLIDA</v>
      </c>
      <c r="AA42" s="168">
        <v>1747953</v>
      </c>
      <c r="AB42" s="169">
        <f t="shared" si="21"/>
        <v>13983624</v>
      </c>
      <c r="AC42" s="372" t="str">
        <f t="shared" si="22"/>
        <v>VÁLIDA</v>
      </c>
      <c r="AD42" s="168">
        <v>1690427</v>
      </c>
      <c r="AE42" s="169">
        <f t="shared" si="23"/>
        <v>13523416</v>
      </c>
      <c r="AF42" s="372" t="str">
        <f t="shared" si="24"/>
        <v>VÁLIDA</v>
      </c>
    </row>
    <row r="43" spans="2:32" ht="30.6" customHeight="1">
      <c r="B43" s="162">
        <v>6</v>
      </c>
      <c r="C43" s="163"/>
      <c r="D43" s="164" t="s">
        <v>201</v>
      </c>
      <c r="E43" s="163" t="s">
        <v>196</v>
      </c>
      <c r="F43" s="165">
        <v>20</v>
      </c>
      <c r="G43" s="166">
        <v>2025000</v>
      </c>
      <c r="H43" s="167">
        <f t="shared" si="9"/>
        <v>40500000</v>
      </c>
      <c r="I43" s="168">
        <v>1822500</v>
      </c>
      <c r="J43" s="169">
        <f t="shared" si="10"/>
        <v>36450000</v>
      </c>
      <c r="K43" s="206" t="str">
        <f t="shared" si="11"/>
        <v>VÁLIDA</v>
      </c>
      <c r="L43" s="168">
        <v>1845374</v>
      </c>
      <c r="M43" s="169">
        <f t="shared" si="12"/>
        <v>36907480</v>
      </c>
      <c r="N43" s="372" t="str">
        <f t="shared" si="13"/>
        <v>VÁLIDA</v>
      </c>
      <c r="O43" s="168">
        <v>2025000</v>
      </c>
      <c r="P43" s="169">
        <f t="shared" si="14"/>
        <v>40500000</v>
      </c>
      <c r="Q43" s="372" t="str">
        <f t="shared" si="15"/>
        <v>VÁLIDA</v>
      </c>
      <c r="R43" s="168">
        <v>1903500</v>
      </c>
      <c r="S43" s="169">
        <f t="shared" si="16"/>
        <v>38070000</v>
      </c>
      <c r="T43" s="372" t="str">
        <f t="shared" si="17"/>
        <v>VÁLIDA</v>
      </c>
      <c r="U43" s="168">
        <v>1828575</v>
      </c>
      <c r="V43" s="169">
        <f t="shared" si="18"/>
        <v>36571500</v>
      </c>
      <c r="W43" s="372" t="str">
        <f t="shared" si="19"/>
        <v>VÁLIDA</v>
      </c>
      <c r="X43" s="168">
        <v>1790952</v>
      </c>
      <c r="Y43" s="169">
        <f t="shared" si="8"/>
        <v>35819040</v>
      </c>
      <c r="Z43" s="372" t="str">
        <f t="shared" si="20"/>
        <v>VÁLIDA</v>
      </c>
      <c r="AA43" s="168">
        <v>1906087</v>
      </c>
      <c r="AB43" s="169">
        <f t="shared" si="21"/>
        <v>38121740</v>
      </c>
      <c r="AC43" s="372" t="str">
        <f t="shared" si="22"/>
        <v>VÁLIDA</v>
      </c>
      <c r="AD43" s="168">
        <v>1843358</v>
      </c>
      <c r="AE43" s="169">
        <f t="shared" si="23"/>
        <v>36867160</v>
      </c>
      <c r="AF43" s="372" t="str">
        <f t="shared" si="24"/>
        <v>VÁLIDA</v>
      </c>
    </row>
    <row r="44" spans="2:32" ht="30.6" customHeight="1">
      <c r="B44" s="162">
        <v>7</v>
      </c>
      <c r="C44" s="163"/>
      <c r="D44" s="164" t="s">
        <v>202</v>
      </c>
      <c r="E44" s="163" t="s">
        <v>196</v>
      </c>
      <c r="F44" s="165">
        <v>160</v>
      </c>
      <c r="G44" s="166">
        <v>1310000</v>
      </c>
      <c r="H44" s="167">
        <f t="shared" si="9"/>
        <v>209600000</v>
      </c>
      <c r="I44" s="168">
        <v>1179000</v>
      </c>
      <c r="J44" s="169">
        <f t="shared" si="10"/>
        <v>188640000</v>
      </c>
      <c r="K44" s="206" t="str">
        <f t="shared" si="11"/>
        <v>VÁLIDA</v>
      </c>
      <c r="L44" s="168">
        <v>1214936</v>
      </c>
      <c r="M44" s="169">
        <f t="shared" si="12"/>
        <v>194389760</v>
      </c>
      <c r="N44" s="372" t="str">
        <f t="shared" si="13"/>
        <v>VÁLIDA</v>
      </c>
      <c r="O44" s="168">
        <v>1310000</v>
      </c>
      <c r="P44" s="169">
        <f t="shared" si="14"/>
        <v>209600000</v>
      </c>
      <c r="Q44" s="372" t="str">
        <f t="shared" si="15"/>
        <v>VÁLIDA</v>
      </c>
      <c r="R44" s="168">
        <v>1231400</v>
      </c>
      <c r="S44" s="169">
        <f t="shared" si="16"/>
        <v>197024000</v>
      </c>
      <c r="T44" s="372" t="str">
        <f t="shared" si="17"/>
        <v>VÁLIDA</v>
      </c>
      <c r="U44" s="168">
        <v>1182930</v>
      </c>
      <c r="V44" s="169">
        <f t="shared" si="18"/>
        <v>189268800</v>
      </c>
      <c r="W44" s="372" t="str">
        <f t="shared" si="19"/>
        <v>VÁLIDA</v>
      </c>
      <c r="X44" s="168">
        <v>1158591</v>
      </c>
      <c r="Y44" s="169">
        <f t="shared" si="8"/>
        <v>185374560</v>
      </c>
      <c r="Z44" s="372" t="str">
        <f t="shared" si="20"/>
        <v>VÁLIDA</v>
      </c>
      <c r="AA44" s="168">
        <v>1233074</v>
      </c>
      <c r="AB44" s="169">
        <f t="shared" si="21"/>
        <v>197291840</v>
      </c>
      <c r="AC44" s="372" t="str">
        <f t="shared" si="22"/>
        <v>VÁLIDA</v>
      </c>
      <c r="AD44" s="168">
        <v>1220000</v>
      </c>
      <c r="AE44" s="169">
        <f t="shared" si="23"/>
        <v>195200000</v>
      </c>
      <c r="AF44" s="372" t="str">
        <f t="shared" si="24"/>
        <v>VÁLIDA</v>
      </c>
    </row>
    <row r="45" spans="2:32" ht="30.6" customHeight="1">
      <c r="B45" s="162">
        <v>8</v>
      </c>
      <c r="C45" s="163"/>
      <c r="D45" s="164" t="s">
        <v>203</v>
      </c>
      <c r="E45" s="163" t="s">
        <v>196</v>
      </c>
      <c r="F45" s="165">
        <v>1</v>
      </c>
      <c r="G45" s="166">
        <v>3096000</v>
      </c>
      <c r="H45" s="167">
        <f t="shared" si="9"/>
        <v>3096000</v>
      </c>
      <c r="I45" s="168">
        <v>2786400</v>
      </c>
      <c r="J45" s="169">
        <f t="shared" si="10"/>
        <v>2786400</v>
      </c>
      <c r="K45" s="206" t="str">
        <f t="shared" si="11"/>
        <v>VÁLIDA</v>
      </c>
      <c r="L45" s="168">
        <v>2873088</v>
      </c>
      <c r="M45" s="169">
        <f t="shared" si="12"/>
        <v>2873088</v>
      </c>
      <c r="N45" s="372" t="str">
        <f t="shared" si="13"/>
        <v>VÁLIDA</v>
      </c>
      <c r="O45" s="168">
        <v>2941200</v>
      </c>
      <c r="P45" s="169">
        <f t="shared" si="14"/>
        <v>2941200</v>
      </c>
      <c r="Q45" s="372" t="str">
        <f t="shared" si="15"/>
        <v>VÁLIDA</v>
      </c>
      <c r="R45" s="168">
        <v>2910240</v>
      </c>
      <c r="S45" s="169">
        <f t="shared" si="16"/>
        <v>2910240</v>
      </c>
      <c r="T45" s="372" t="str">
        <f t="shared" si="17"/>
        <v>VÁLIDA</v>
      </c>
      <c r="U45" s="168">
        <v>2795688</v>
      </c>
      <c r="V45" s="169">
        <f t="shared" si="18"/>
        <v>2795688</v>
      </c>
      <c r="W45" s="372" t="str">
        <f t="shared" si="19"/>
        <v>VÁLIDA</v>
      </c>
      <c r="X45" s="168">
        <v>2738167</v>
      </c>
      <c r="Y45" s="169">
        <f t="shared" si="8"/>
        <v>2738167</v>
      </c>
      <c r="Z45" s="372" t="str">
        <f t="shared" si="20"/>
        <v>VÁLIDA</v>
      </c>
      <c r="AA45" s="168">
        <v>2914196</v>
      </c>
      <c r="AB45" s="169">
        <f t="shared" si="21"/>
        <v>2914196</v>
      </c>
      <c r="AC45" s="372" t="str">
        <f t="shared" si="22"/>
        <v>VÁLIDA</v>
      </c>
      <c r="AD45" s="168">
        <v>2818289</v>
      </c>
      <c r="AE45" s="169">
        <f t="shared" si="23"/>
        <v>2818289</v>
      </c>
      <c r="AF45" s="372" t="str">
        <f t="shared" si="24"/>
        <v>VÁLIDA</v>
      </c>
    </row>
    <row r="46" spans="2:32" ht="30.6" customHeight="1">
      <c r="B46" s="162">
        <v>9</v>
      </c>
      <c r="C46" s="163"/>
      <c r="D46" s="164" t="s">
        <v>204</v>
      </c>
      <c r="E46" s="163" t="s">
        <v>196</v>
      </c>
      <c r="F46" s="165">
        <v>3</v>
      </c>
      <c r="G46" s="166">
        <v>1548000</v>
      </c>
      <c r="H46" s="167">
        <f t="shared" si="9"/>
        <v>4644000</v>
      </c>
      <c r="I46" s="168">
        <v>1393200</v>
      </c>
      <c r="J46" s="169">
        <f t="shared" si="10"/>
        <v>4179600</v>
      </c>
      <c r="K46" s="206" t="str">
        <f t="shared" si="11"/>
        <v>VÁLIDA</v>
      </c>
      <c r="L46" s="168">
        <v>1436389</v>
      </c>
      <c r="M46" s="169">
        <f t="shared" si="12"/>
        <v>4309167</v>
      </c>
      <c r="N46" s="372" t="str">
        <f t="shared" si="13"/>
        <v>VÁLIDA</v>
      </c>
      <c r="O46" s="168">
        <v>1548000</v>
      </c>
      <c r="P46" s="169">
        <f t="shared" si="14"/>
        <v>4644000</v>
      </c>
      <c r="Q46" s="372" t="str">
        <f t="shared" si="15"/>
        <v>VÁLIDA</v>
      </c>
      <c r="R46" s="168">
        <v>1455120</v>
      </c>
      <c r="S46" s="169">
        <f t="shared" si="16"/>
        <v>4365360</v>
      </c>
      <c r="T46" s="372" t="str">
        <f t="shared" si="17"/>
        <v>VÁLIDA</v>
      </c>
      <c r="U46" s="168">
        <v>1397844</v>
      </c>
      <c r="V46" s="169">
        <f t="shared" si="18"/>
        <v>4193532</v>
      </c>
      <c r="W46" s="372" t="str">
        <f t="shared" si="19"/>
        <v>VÁLIDA</v>
      </c>
      <c r="X46" s="168">
        <v>1369083</v>
      </c>
      <c r="Y46" s="169">
        <f t="shared" si="8"/>
        <v>4107249</v>
      </c>
      <c r="Z46" s="372" t="str">
        <f t="shared" si="20"/>
        <v>VÁLIDA</v>
      </c>
      <c r="AA46" s="168">
        <v>1457098</v>
      </c>
      <c r="AB46" s="169">
        <f t="shared" si="21"/>
        <v>4371294</v>
      </c>
      <c r="AC46" s="372" t="str">
        <f t="shared" si="22"/>
        <v>VÁLIDA</v>
      </c>
      <c r="AD46" s="168">
        <v>1409144</v>
      </c>
      <c r="AE46" s="169">
        <f t="shared" si="23"/>
        <v>4227432</v>
      </c>
      <c r="AF46" s="372" t="str">
        <f t="shared" si="24"/>
        <v>VÁLIDA</v>
      </c>
    </row>
    <row r="47" spans="2:32" ht="30.6" customHeight="1">
      <c r="B47" s="162">
        <v>10</v>
      </c>
      <c r="C47" s="163"/>
      <c r="D47" s="164" t="s">
        <v>205</v>
      </c>
      <c r="E47" s="163" t="s">
        <v>196</v>
      </c>
      <c r="F47" s="165">
        <v>1</v>
      </c>
      <c r="G47" s="166">
        <v>4375000</v>
      </c>
      <c r="H47" s="167">
        <f t="shared" si="9"/>
        <v>4375000</v>
      </c>
      <c r="I47" s="168">
        <v>3937500</v>
      </c>
      <c r="J47" s="169">
        <f t="shared" si="10"/>
        <v>3937500</v>
      </c>
      <c r="K47" s="206" t="str">
        <f>+IF(I47&gt;0,IF(OR(I47&gt;$G47,ROUND(I47,0)&gt;$G47),"NO VÁLIDA","VÁLIDA"),"NO VÁLIDA")</f>
        <v>VÁLIDA</v>
      </c>
      <c r="L47" s="168">
        <v>4056563</v>
      </c>
      <c r="M47" s="169">
        <f>ROUND($F47*ROUND(L47,0),0)</f>
        <v>4056563</v>
      </c>
      <c r="N47" s="372" t="str">
        <f>+IF(L47&gt;0,IF(OR(L47&gt;$G47,ROUND(L47,0)&gt;$G47),"NO VÁLIDA","VÁLIDA"),"NO VÁLIDA")</f>
        <v>VÁLIDA</v>
      </c>
      <c r="O47" s="168">
        <v>4156250</v>
      </c>
      <c r="P47" s="169">
        <f>ROUND($F47*ROUND(O47,0),0)</f>
        <v>4156250</v>
      </c>
      <c r="Q47" s="372" t="str">
        <f>+IF(O47&gt;0,IF(OR(O47&gt;$G47,ROUND(O47,0)&gt;$G47),"NO VÁLIDA","VÁLIDA"),"NO VÁLIDA")</f>
        <v>VÁLIDA</v>
      </c>
      <c r="R47" s="168">
        <v>4112500</v>
      </c>
      <c r="S47" s="169">
        <f>ROUND($F47*ROUND(R47,0),0)</f>
        <v>4112500</v>
      </c>
      <c r="T47" s="372" t="str">
        <f>+IF(R47&gt;0,IF(OR(R47&gt;$G47,ROUND(R47,0)&gt;$G47),"NO VÁLIDA","VÁLIDA"),"NO VÁLIDA")</f>
        <v>VÁLIDA</v>
      </c>
      <c r="U47" s="168">
        <v>3950625</v>
      </c>
      <c r="V47" s="169">
        <f t="shared" si="18"/>
        <v>3950625</v>
      </c>
      <c r="W47" s="372" t="str">
        <f>+IF(U47&gt;0,IF(OR(U47&gt;$G47,ROUND(U47,0)&gt;$G47),"NO VÁLIDA","VÁLIDA"),"NO VÁLIDA")</f>
        <v>VÁLIDA</v>
      </c>
      <c r="X47" s="168">
        <v>3869342</v>
      </c>
      <c r="Y47" s="169">
        <f>ROUND($F47*ROUND(X47,0),0)</f>
        <v>3869342</v>
      </c>
      <c r="Z47" s="372" t="str">
        <f>+IF(X47&gt;0,IF(OR(X47&gt;$G47,ROUND(X47,0)&gt;$G47),"NO VÁLIDA","VÁLIDA"),"NO VÁLIDA")</f>
        <v>VÁLIDA</v>
      </c>
      <c r="AA47" s="168">
        <v>4118090</v>
      </c>
      <c r="AB47" s="169">
        <f>ROUND($F47*ROUND(AA47,0),0)</f>
        <v>4118090</v>
      </c>
      <c r="AC47" s="372" t="str">
        <f>+IF(AA47&gt;0,IF(OR(AA47&gt;$G47,ROUND(AA47,0)&gt;$G47),"NO VÁLIDA","VÁLIDA"),"NO VÁLIDA")</f>
        <v>VÁLIDA</v>
      </c>
      <c r="AD47" s="168">
        <v>3982563</v>
      </c>
      <c r="AE47" s="169">
        <f>ROUND($F47*ROUND(AD47,0),0)</f>
        <v>3982563</v>
      </c>
      <c r="AF47" s="372" t="str">
        <f>+IF(AD47&gt;0,IF(OR(AD47&gt;$G47,ROUND(AD47,0)&gt;$G47),"NO VÁLIDA","VÁLIDA"),"NO VÁLIDA")</f>
        <v>VÁLIDA</v>
      </c>
    </row>
    <row r="48" spans="2:32" ht="30.6" customHeight="1" thickBot="1">
      <c r="B48" s="162">
        <v>11</v>
      </c>
      <c r="C48" s="163"/>
      <c r="D48" s="164" t="s">
        <v>206</v>
      </c>
      <c r="E48" s="163" t="s">
        <v>196</v>
      </c>
      <c r="F48" s="165">
        <v>1</v>
      </c>
      <c r="G48" s="166">
        <v>5175000</v>
      </c>
      <c r="H48" s="167">
        <f t="shared" si="9"/>
        <v>5175000</v>
      </c>
      <c r="I48" s="168">
        <v>4657500</v>
      </c>
      <c r="J48" s="169">
        <f t="shared" si="10"/>
        <v>4657500</v>
      </c>
      <c r="K48" s="206" t="str">
        <f>+IF(I48&gt;0,IF(OR(I48&gt;$G48,ROUND(I48,0)&gt;$G48),"NO VÁLIDA","VÁLIDA"),"NO VÁLIDA")</f>
        <v>VÁLIDA</v>
      </c>
      <c r="L48" s="168">
        <v>4804470</v>
      </c>
      <c r="M48" s="169">
        <f>ROUND($F48*ROUND(L48,0),0)</f>
        <v>4804470</v>
      </c>
      <c r="N48" s="372" t="str">
        <f>+IF(L48&gt;0,IF(OR(L48&gt;$G48,ROUND(L48,0)&gt;$G48),"NO VÁLIDA","VÁLIDA"),"NO VÁLIDA")</f>
        <v>VÁLIDA</v>
      </c>
      <c r="O48" s="168">
        <v>4916250</v>
      </c>
      <c r="P48" s="169">
        <f>ROUND($F48*ROUND(O48,0),0)</f>
        <v>4916250</v>
      </c>
      <c r="Q48" s="372" t="str">
        <f>+IF(O48&gt;0,IF(OR(O48&gt;$G48,ROUND(O48,0)&gt;$G48),"NO VÁLIDA","VÁLIDA"),"NO VÁLIDA")</f>
        <v>VÁLIDA</v>
      </c>
      <c r="R48" s="168">
        <v>4864500</v>
      </c>
      <c r="S48" s="169">
        <f>ROUND($F48*ROUND(R48,0),0)</f>
        <v>4864500</v>
      </c>
      <c r="T48" s="372" t="str">
        <f>+IF(R48&gt;0,IF(OR(R48&gt;$G48,ROUND(R48,0)&gt;$G48),"NO VÁLIDA","VÁLIDA"),"NO VÁLIDA")</f>
        <v>VÁLIDA</v>
      </c>
      <c r="U48" s="168">
        <v>4673025</v>
      </c>
      <c r="V48" s="169">
        <f>ROUND($F48*ROUND(U48,0),0)</f>
        <v>4673025</v>
      </c>
      <c r="W48" s="372" t="str">
        <f>+IF(U48&gt;0,IF(OR(U48&gt;$G48,ROUND(U48,0)&gt;$G48),"NO VÁLIDA","VÁLIDA"),"NO VÁLIDA")</f>
        <v>VÁLIDA</v>
      </c>
      <c r="X48" s="168">
        <v>4576879</v>
      </c>
      <c r="Y48" s="169">
        <f>ROUND($F48*ROUND(X48,0),0)</f>
        <v>4576879</v>
      </c>
      <c r="Z48" s="372" t="str">
        <f>+IF(X48&gt;0,IF(OR(X48&gt;$G48,ROUND(X48,0)&gt;$G48),"NO VÁLIDA","VÁLIDA"),"NO VÁLIDA")</f>
        <v>VÁLIDA</v>
      </c>
      <c r="AA48" s="168">
        <v>4871112</v>
      </c>
      <c r="AB48" s="169">
        <f>ROUND($F48*ROUND(AA48,0),0)</f>
        <v>4871112</v>
      </c>
      <c r="AC48" s="372" t="str">
        <f>+IF(AA48&gt;0,IF(OR(AA48&gt;$G48,ROUND(AA48,0)&gt;$G48),"NO VÁLIDA","VÁLIDA"),"NO VÁLIDA")</f>
        <v>VÁLIDA</v>
      </c>
      <c r="AD48" s="168">
        <v>4710803</v>
      </c>
      <c r="AE48" s="169">
        <f>ROUND($F48*ROUND(AD48,0),0)</f>
        <v>4710803</v>
      </c>
      <c r="AF48" s="372" t="str">
        <f>+IF(AD48&gt;0,IF(OR(AD48&gt;$G48,ROUND(AD48,0)&gt;$G48),"NO VÁLIDA","VÁLIDA"),"NO VÁLIDA")</f>
        <v>VÁLIDA</v>
      </c>
    </row>
    <row r="49" spans="2:32" ht="20.25" customHeight="1">
      <c r="B49" s="332" t="s">
        <v>208</v>
      </c>
      <c r="C49" s="333"/>
      <c r="D49" s="333"/>
      <c r="E49" s="333"/>
      <c r="F49" s="334"/>
      <c r="G49" s="333"/>
      <c r="H49" s="335">
        <f>SUM(H50:H51)</f>
        <v>40376000</v>
      </c>
      <c r="I49" s="347"/>
      <c r="J49" s="348">
        <f>SUM(J50:J51)</f>
        <v>36338400</v>
      </c>
      <c r="K49" s="349"/>
      <c r="L49" s="347"/>
      <c r="M49" s="348">
        <f>SUM(M50:M51)</f>
        <v>37540072</v>
      </c>
      <c r="N49" s="371"/>
      <c r="O49" s="347"/>
      <c r="P49" s="348">
        <f>SUM(P50:P51)</f>
        <v>39264000</v>
      </c>
      <c r="Q49" s="371"/>
      <c r="R49" s="347"/>
      <c r="S49" s="348">
        <f>SUM(S50:S51)</f>
        <v>37953440</v>
      </c>
      <c r="T49" s="371"/>
      <c r="U49" s="347"/>
      <c r="V49" s="348">
        <f>SUM(V50:V51)</f>
        <v>36459528</v>
      </c>
      <c r="W49" s="371"/>
      <c r="X49" s="347"/>
      <c r="Y49" s="348">
        <f>SUM(Y50:Y51)</f>
        <v>35709380</v>
      </c>
      <c r="Z49" s="371"/>
      <c r="AA49" s="347"/>
      <c r="AB49" s="348">
        <f>SUM(AB50:AB51)</f>
        <v>38005032</v>
      </c>
      <c r="AC49" s="371"/>
      <c r="AD49" s="347"/>
      <c r="AE49" s="348">
        <f>SUM(AE50:AE51)</f>
        <v>36754272</v>
      </c>
      <c r="AF49" s="371"/>
    </row>
    <row r="50" spans="2:32" ht="30.6" customHeight="1">
      <c r="B50" s="162">
        <v>12</v>
      </c>
      <c r="C50" s="163"/>
      <c r="D50" s="164" t="s">
        <v>209</v>
      </c>
      <c r="E50" s="163" t="s">
        <v>196</v>
      </c>
      <c r="F50" s="165">
        <v>4</v>
      </c>
      <c r="G50" s="166">
        <v>5560000</v>
      </c>
      <c r="H50" s="167">
        <f>ROUND(G50*F50,0)</f>
        <v>22240000</v>
      </c>
      <c r="I50" s="168">
        <v>5004000</v>
      </c>
      <c r="J50" s="169">
        <f>ROUND($F50*ROUND(I50,0),0)</f>
        <v>20016000</v>
      </c>
      <c r="K50" s="206" t="str">
        <f>+IF(I50&gt;0,IF(OR(I50&gt;$G50,ROUND(I50,0)&gt;$G50),"NO VÁLIDA","VÁLIDA"),"NO VÁLIDA")</f>
        <v>VÁLIDA</v>
      </c>
      <c r="L50" s="168">
        <v>5160236</v>
      </c>
      <c r="M50" s="169">
        <f>ROUND($F50*ROUND(L50,0),0)</f>
        <v>20640944</v>
      </c>
      <c r="N50" s="372" t="str">
        <f>+IF(L50&gt;0,IF(OR(L50&gt;$G50,ROUND(L50,0)&gt;$G50),"NO VÁLIDA","VÁLIDA"),"NO VÁLIDA")</f>
        <v>VÁLIDA</v>
      </c>
      <c r="O50" s="168">
        <v>5282000</v>
      </c>
      <c r="P50" s="169">
        <f>ROUND($F50*ROUND(O50,0),0)</f>
        <v>21128000</v>
      </c>
      <c r="Q50" s="372" t="str">
        <f>+IF(O50&gt;0,IF(OR(O50&gt;$G50,ROUND(O50,0)&gt;$G50),"NO VÁLIDA","VÁLIDA"),"NO VÁLIDA")</f>
        <v>VÁLIDA</v>
      </c>
      <c r="R50" s="168">
        <v>5226400</v>
      </c>
      <c r="S50" s="169">
        <f>ROUND($F50*ROUND(R50,0),0)</f>
        <v>20905600</v>
      </c>
      <c r="T50" s="372" t="str">
        <f>+IF(R50&gt;0,IF(OR(R50&gt;$G50,ROUND(R50,0)&gt;$G50),"NO VÁLIDA","VÁLIDA"),"NO VÁLIDA")</f>
        <v>VÁLIDA</v>
      </c>
      <c r="U50" s="168">
        <v>5020680</v>
      </c>
      <c r="V50" s="169">
        <f>ROUND($F50*ROUND(U50,0),0)</f>
        <v>20082720</v>
      </c>
      <c r="W50" s="372" t="str">
        <f>+IF(U50&gt;0,IF(OR(U50&gt;$G50,ROUND(U50,0)&gt;$G50),"NO VÁLIDA","VÁLIDA"),"NO VÁLIDA")</f>
        <v>VÁLIDA</v>
      </c>
      <c r="X50" s="168">
        <v>4917381</v>
      </c>
      <c r="Y50" s="169">
        <f>ROUND($F50*ROUND(X50,0),0)</f>
        <v>19669524</v>
      </c>
      <c r="Z50" s="372" t="str">
        <f>+IF(X50&gt;0,IF(OR(X50&gt;$G50,ROUND(X50,0)&gt;$G50),"NO VÁLIDA","VÁLIDA"),"NO VÁLIDA")</f>
        <v>VÁLIDA</v>
      </c>
      <c r="AA50" s="168">
        <v>5233504</v>
      </c>
      <c r="AB50" s="169">
        <f>ROUND($F50*ROUND(AA50,0),0)</f>
        <v>20934016</v>
      </c>
      <c r="AC50" s="372" t="str">
        <f>+IF(AA50&gt;0,IF(OR(AA50&gt;$G50,ROUND(AA50,0)&gt;$G50),"NO VÁLIDA","VÁLIDA"),"NO VÁLIDA")</f>
        <v>VÁLIDA</v>
      </c>
      <c r="AD50" s="168">
        <v>5061268</v>
      </c>
      <c r="AE50" s="169">
        <f>ROUND($F50*ROUND(AD50,0),0)</f>
        <v>20245072</v>
      </c>
      <c r="AF50" s="372" t="str">
        <f>+IF(AD50&gt;0,IF(OR(AD50&gt;$G50,ROUND(AD50,0)&gt;$G50),"NO VÁLIDA","VÁLIDA"),"NO VÁLIDA")</f>
        <v>VÁLIDA</v>
      </c>
    </row>
    <row r="51" spans="2:32" ht="30.6" customHeight="1" thickBot="1">
      <c r="B51" s="162">
        <v>13</v>
      </c>
      <c r="C51" s="163"/>
      <c r="D51" s="164" t="s">
        <v>210</v>
      </c>
      <c r="E51" s="163" t="s">
        <v>196</v>
      </c>
      <c r="F51" s="165">
        <v>8</v>
      </c>
      <c r="G51" s="166">
        <v>2267000</v>
      </c>
      <c r="H51" s="167">
        <f>ROUND(G51*F51,0)</f>
        <v>18136000</v>
      </c>
      <c r="I51" s="168">
        <v>2040300</v>
      </c>
      <c r="J51" s="169">
        <f>ROUND($F51*ROUND(I51,0),0)</f>
        <v>16322400</v>
      </c>
      <c r="K51" s="206" t="str">
        <f>+IF(I51&gt;0,IF(OR(I51&gt;$G51,ROUND(I51,0)&gt;$G51),"NO VÁLIDA","VÁLIDA"),"NO VÁLIDA")</f>
        <v>VÁLIDA</v>
      </c>
      <c r="L51" s="168">
        <v>2112391</v>
      </c>
      <c r="M51" s="169">
        <f>ROUND($F51*ROUND(L51,0),0)</f>
        <v>16899128</v>
      </c>
      <c r="N51" s="372" t="str">
        <f>+IF(L51&gt;0,IF(OR(L51&gt;$G51,ROUND(L51,0)&gt;$G51),"NO VÁLIDA","VÁLIDA"),"NO VÁLIDA")</f>
        <v>VÁLIDA</v>
      </c>
      <c r="O51" s="168">
        <v>2267000</v>
      </c>
      <c r="P51" s="169">
        <f>ROUND($F51*ROUND(O51,0),0)</f>
        <v>18136000</v>
      </c>
      <c r="Q51" s="372" t="str">
        <f>+IF(O51&gt;0,IF(OR(O51&gt;$G51,ROUND(O51,0)&gt;$G51),"NO VÁLIDA","VÁLIDA"),"NO VÁLIDA")</f>
        <v>VÁLIDA</v>
      </c>
      <c r="R51" s="168">
        <v>2130980</v>
      </c>
      <c r="S51" s="169">
        <f>ROUND($F51*ROUND(R51,0),0)</f>
        <v>17047840</v>
      </c>
      <c r="T51" s="372" t="str">
        <f>+IF(R51&gt;0,IF(OR(R51&gt;$G51,ROUND(R51,0)&gt;$G51),"NO VÁLIDA","VÁLIDA"),"NO VÁLIDA")</f>
        <v>VÁLIDA</v>
      </c>
      <c r="U51" s="168">
        <v>2047101</v>
      </c>
      <c r="V51" s="169">
        <f>ROUND($F51*ROUND(U51,0),0)</f>
        <v>16376808</v>
      </c>
      <c r="W51" s="372" t="str">
        <f>+IF(U51&gt;0,IF(OR(U51&gt;$G51,ROUND(U51,0)&gt;$G51),"NO VÁLIDA","VÁLIDA"),"NO VÁLIDA")</f>
        <v>VÁLIDA</v>
      </c>
      <c r="X51" s="168">
        <v>2004982</v>
      </c>
      <c r="Y51" s="169">
        <f>ROUND($F51*ROUND(X51,0),0)</f>
        <v>16039856</v>
      </c>
      <c r="Z51" s="372" t="str">
        <f>+IF(X51&gt;0,IF(OR(X51&gt;$G51,ROUND(X51,0)&gt;$G51),"NO VÁLIDA","VÁLIDA"),"NO VÁLIDA")</f>
        <v>VÁLIDA</v>
      </c>
      <c r="AA51" s="168">
        <v>2133877</v>
      </c>
      <c r="AB51" s="169">
        <f>ROUND($F51*ROUND(AA51,0),0)</f>
        <v>17071016</v>
      </c>
      <c r="AC51" s="372" t="str">
        <f>+IF(AA51&gt;0,IF(OR(AA51&gt;$G51,ROUND(AA51,0)&gt;$G51),"NO VÁLIDA","VÁLIDA"),"NO VÁLIDA")</f>
        <v>VÁLIDA</v>
      </c>
      <c r="AD51" s="168">
        <v>2063650</v>
      </c>
      <c r="AE51" s="169">
        <f>ROUND($F51*ROUND(AD51,0),0)</f>
        <v>16509200</v>
      </c>
      <c r="AF51" s="372" t="str">
        <f>+IF(AD51&gt;0,IF(OR(AD51&gt;$G51,ROUND(AD51,0)&gt;$G51),"NO VÁLIDA","VÁLIDA"),"NO VÁLIDA")</f>
        <v>VÁLIDA</v>
      </c>
    </row>
    <row r="52" spans="2:32" ht="20.25" customHeight="1">
      <c r="B52" s="332" t="s">
        <v>211</v>
      </c>
      <c r="C52" s="333"/>
      <c r="D52" s="333"/>
      <c r="E52" s="333"/>
      <c r="F52" s="334"/>
      <c r="G52" s="333"/>
      <c r="H52" s="335">
        <f>SUM(H53:H57)</f>
        <v>26272000</v>
      </c>
      <c r="I52" s="347"/>
      <c r="J52" s="348">
        <f>SUM(J53:J57)</f>
        <v>23644800</v>
      </c>
      <c r="K52" s="349"/>
      <c r="L52" s="347"/>
      <c r="M52" s="348">
        <f>SUM(M53:M57)</f>
        <v>24236301</v>
      </c>
      <c r="N52" s="371"/>
      <c r="O52" s="347"/>
      <c r="P52" s="348">
        <f>SUM(P53:P57)</f>
        <v>25071750</v>
      </c>
      <c r="Q52" s="371"/>
      <c r="R52" s="347"/>
      <c r="S52" s="348">
        <f>SUM(S53:S57)</f>
        <v>24695680</v>
      </c>
      <c r="T52" s="371"/>
      <c r="U52" s="347"/>
      <c r="V52" s="348">
        <f>SUM(V53:V57)</f>
        <v>23723616</v>
      </c>
      <c r="W52" s="371"/>
      <c r="X52" s="347">
        <v>0</v>
      </c>
      <c r="Y52" s="348">
        <f>SUM(Y53:Y57)</f>
        <v>23235506</v>
      </c>
      <c r="Z52" s="371"/>
      <c r="AA52" s="347"/>
      <c r="AB52" s="348">
        <f>SUM(AB53:AB57)</f>
        <v>24729248</v>
      </c>
      <c r="AC52" s="371"/>
      <c r="AD52" s="347"/>
      <c r="AE52" s="348">
        <f>SUM(AE53:AE57)</f>
        <v>23915400</v>
      </c>
      <c r="AF52" s="371"/>
    </row>
    <row r="53" spans="2:32" ht="40.5" customHeight="1">
      <c r="B53" s="162">
        <v>14</v>
      </c>
      <c r="C53" s="163"/>
      <c r="D53" s="164" t="s">
        <v>212</v>
      </c>
      <c r="E53" s="163" t="s">
        <v>196</v>
      </c>
      <c r="F53" s="165">
        <v>1</v>
      </c>
      <c r="G53" s="166">
        <v>9254000</v>
      </c>
      <c r="H53" s="167">
        <f>ROUND(G53*F53,0)</f>
        <v>9254000</v>
      </c>
      <c r="I53" s="168">
        <v>8328600</v>
      </c>
      <c r="J53" s="169">
        <f>ROUND($F53*ROUND(I53,0),0)</f>
        <v>8328600</v>
      </c>
      <c r="K53" s="206" t="str">
        <f>+IF(I53&gt;0,IF(OR(I53&gt;$G53,ROUND(I53,0)&gt;$G53),"NO VÁLIDA","VÁLIDA"),"NO VÁLIDA")</f>
        <v>VÁLIDA</v>
      </c>
      <c r="L53" s="168">
        <v>8614549</v>
      </c>
      <c r="M53" s="169">
        <f>ROUND($F53*ROUND(L53,0),0)</f>
        <v>8614549</v>
      </c>
      <c r="N53" s="372" t="str">
        <f>+IF(L53&gt;0,IF(OR(L53&gt;$G53,ROUND(L53,0)&gt;$G53),"NO VÁLIDA","VÁLIDA"),"NO VÁLIDA")</f>
        <v>VÁLIDA</v>
      </c>
      <c r="O53" s="168">
        <v>8791300</v>
      </c>
      <c r="P53" s="169">
        <f>ROUND($F53*ROUND(O53,0),0)</f>
        <v>8791300</v>
      </c>
      <c r="Q53" s="372" t="str">
        <f>+IF(O53&gt;0,IF(OR(O53&gt;$G53,ROUND(O53,0)&gt;$G53),"NO VÁLIDA","VÁLIDA"),"NO VÁLIDA")</f>
        <v>VÁLIDA</v>
      </c>
      <c r="R53" s="168">
        <v>8698760</v>
      </c>
      <c r="S53" s="169">
        <f>ROUND($F53*ROUND(R53,0),0)</f>
        <v>8698760</v>
      </c>
      <c r="T53" s="372" t="str">
        <f>+IF(R53&gt;0,IF(OR(R53&gt;$G53,ROUND(R53,0)&gt;$G53),"NO VÁLIDA","VÁLIDA"),"NO VÁLIDA")</f>
        <v>VÁLIDA</v>
      </c>
      <c r="U53" s="168">
        <v>8356362</v>
      </c>
      <c r="V53" s="169">
        <f>ROUND($F53*ROUND(U53,0),0)</f>
        <v>8356362</v>
      </c>
      <c r="W53" s="372" t="str">
        <f>+IF(U53&gt;0,IF(OR(U53&gt;$G53,ROUND(U53,0)&gt;$G53),"NO VÁLIDA","VÁLIDA"),"NO VÁLIDA")</f>
        <v>VÁLIDA</v>
      </c>
      <c r="X53" s="168">
        <v>8184432</v>
      </c>
      <c r="Y53" s="169">
        <f>ROUND($F53*ROUND(X53,0),0)</f>
        <v>8184432</v>
      </c>
      <c r="Z53" s="372" t="str">
        <f>+IF(X53&gt;0,IF(OR(X53&gt;$G53,ROUND(X53,0)&gt;$G53),"NO VÁLIDA","VÁLIDA"),"NO VÁLIDA")</f>
        <v>VÁLIDA</v>
      </c>
      <c r="AA53" s="168">
        <v>8710584</v>
      </c>
      <c r="AB53" s="169">
        <f>ROUND($F53*ROUND(AA53,0),0)</f>
        <v>8710584</v>
      </c>
      <c r="AC53" s="372" t="str">
        <f>+IF(AA53&gt;0,IF(OR(AA53&gt;$G53,ROUND(AA53,0)&gt;$G53),"NO VÁLIDA","VÁLIDA"),"NO VÁLIDA")</f>
        <v>VÁLIDA</v>
      </c>
      <c r="AD53" s="168">
        <v>8423916</v>
      </c>
      <c r="AE53" s="169">
        <f>ROUND($F53*ROUND(AD53,0),0)</f>
        <v>8423916</v>
      </c>
      <c r="AF53" s="372" t="str">
        <f>+IF(AD53&gt;0,IF(OR(AD53&gt;$G53,ROUND(AD53,0)&gt;$G53),"NO VÁLIDA","VÁLIDA"),"NO VÁLIDA")</f>
        <v>VÁLIDA</v>
      </c>
    </row>
    <row r="54" spans="2:32" ht="30.6" customHeight="1">
      <c r="B54" s="162">
        <v>15</v>
      </c>
      <c r="C54" s="163"/>
      <c r="D54" s="164" t="s">
        <v>213</v>
      </c>
      <c r="E54" s="163" t="s">
        <v>196</v>
      </c>
      <c r="F54" s="165">
        <v>1</v>
      </c>
      <c r="G54" s="166">
        <v>3417000</v>
      </c>
      <c r="H54" s="167">
        <f>ROUND(G54*F54,0)</f>
        <v>3417000</v>
      </c>
      <c r="I54" s="168">
        <v>3075300</v>
      </c>
      <c r="J54" s="169">
        <f>ROUND($F54*ROUND(I54,0),0)</f>
        <v>3075300</v>
      </c>
      <c r="K54" s="206" t="str">
        <f>+IF(I54&gt;0,IF(OR(I54&gt;$G54,ROUND(I54,0)&gt;$G54),"NO VÁLIDA","VÁLIDA"),"NO VÁLIDA")</f>
        <v>VÁLIDA</v>
      </c>
      <c r="L54" s="168">
        <v>3170026</v>
      </c>
      <c r="M54" s="169">
        <f>ROUND($F54*ROUND(L54,0),0)</f>
        <v>3170026</v>
      </c>
      <c r="N54" s="372" t="str">
        <f>+IF(L54&gt;0,IF(OR(L54&gt;$G54,ROUND(L54,0)&gt;$G54),"NO VÁLIDA","VÁLIDA"),"NO VÁLIDA")</f>
        <v>VÁLIDA</v>
      </c>
      <c r="O54" s="168">
        <v>3246150</v>
      </c>
      <c r="P54" s="169">
        <f>ROUND($F54*ROUND(O54,0),0)</f>
        <v>3246150</v>
      </c>
      <c r="Q54" s="372" t="str">
        <f>+IF(O54&gt;0,IF(OR(O54&gt;$G54,ROUND(O54,0)&gt;$G54),"NO VÁLIDA","VÁLIDA"),"NO VÁLIDA")</f>
        <v>VÁLIDA</v>
      </c>
      <c r="R54" s="168">
        <v>3211980</v>
      </c>
      <c r="S54" s="169">
        <f>ROUND($F54*ROUND(R54,0),0)</f>
        <v>3211980</v>
      </c>
      <c r="T54" s="372" t="str">
        <f>+IF(R54&gt;0,IF(OR(R54&gt;$G54,ROUND(R54,0)&gt;$G54),"NO VÁLIDA","VÁLIDA"),"NO VÁLIDA")</f>
        <v>VÁLIDA</v>
      </c>
      <c r="U54" s="168">
        <v>3085551</v>
      </c>
      <c r="V54" s="169">
        <f>ROUND($F54*ROUND(U54,0),0)</f>
        <v>3085551</v>
      </c>
      <c r="W54" s="372" t="str">
        <f>+IF(U54&gt;0,IF(OR(U54&gt;$G54,ROUND(U54,0)&gt;$G54),"NO VÁLIDA","VÁLIDA"),"NO VÁLIDA")</f>
        <v>VÁLIDA</v>
      </c>
      <c r="X54" s="168">
        <v>3022066</v>
      </c>
      <c r="Y54" s="169">
        <f>ROUND($F54*ROUND(X54,0),0)</f>
        <v>3022066</v>
      </c>
      <c r="Z54" s="372" t="str">
        <f>+IF(X54&gt;0,IF(OR(X54&gt;$G54,ROUND(X54,0)&gt;$G54),"NO VÁLIDA","VÁLIDA"),"NO VÁLIDA")</f>
        <v>VÁLIDA</v>
      </c>
      <c r="AA54" s="168">
        <v>3216346</v>
      </c>
      <c r="AB54" s="169">
        <f>ROUND($F54*ROUND(AA54,0),0)</f>
        <v>3216346</v>
      </c>
      <c r="AC54" s="372" t="str">
        <f>+IF(AA54&gt;0,IF(OR(AA54&gt;$G54,ROUND(AA54,0)&gt;$G54),"NO VÁLIDA","VÁLIDA"),"NO VÁLIDA")</f>
        <v>VÁLIDA</v>
      </c>
      <c r="AD54" s="168">
        <v>3110495</v>
      </c>
      <c r="AE54" s="169">
        <f>ROUND($F54*ROUND(AD54,0),0)</f>
        <v>3110495</v>
      </c>
      <c r="AF54" s="372" t="str">
        <f>+IF(AD54&gt;0,IF(OR(AD54&gt;$G54,ROUND(AD54,0)&gt;$G54),"NO VÁLIDA","VÁLIDA"),"NO VÁLIDA")</f>
        <v>VÁLIDA</v>
      </c>
    </row>
    <row r="55" spans="2:32" ht="40.5" customHeight="1">
      <c r="B55" s="162">
        <v>16</v>
      </c>
      <c r="C55" s="163"/>
      <c r="D55" s="164" t="s">
        <v>214</v>
      </c>
      <c r="E55" s="163" t="s">
        <v>196</v>
      </c>
      <c r="F55" s="165">
        <v>2</v>
      </c>
      <c r="G55" s="166">
        <v>3778000</v>
      </c>
      <c r="H55" s="167">
        <f>ROUND(G55*F55,0)</f>
        <v>7556000</v>
      </c>
      <c r="I55" s="168">
        <v>3400200</v>
      </c>
      <c r="J55" s="169">
        <f>ROUND($F55*ROUND(I55,0),0)</f>
        <v>6800400</v>
      </c>
      <c r="K55" s="206" t="str">
        <f>+IF(I55&gt;0,IF(OR(I55&gt;$G55,ROUND(I55,0)&gt;$G55),"NO VÁLIDA","VÁLIDA"),"NO VÁLIDA")</f>
        <v>VÁLIDA</v>
      </c>
      <c r="L55" s="168">
        <v>3418074</v>
      </c>
      <c r="M55" s="169">
        <f>ROUND($F55*ROUND(L55,0),0)</f>
        <v>6836148</v>
      </c>
      <c r="N55" s="372" t="str">
        <f>+IF(L55&gt;0,IF(OR(L55&gt;$G55,ROUND(L55,0)&gt;$G55),"NO VÁLIDA","VÁLIDA"),"NO VÁLIDA")</f>
        <v>VÁLIDA</v>
      </c>
      <c r="O55" s="168">
        <v>3589100</v>
      </c>
      <c r="P55" s="169">
        <f>ROUND($F55*ROUND(O55,0),0)</f>
        <v>7178200</v>
      </c>
      <c r="Q55" s="372" t="str">
        <f>+IF(O55&gt;0,IF(OR(O55&gt;$G55,ROUND(O55,0)&gt;$G55),"NO VÁLIDA","VÁLIDA"),"NO VÁLIDA")</f>
        <v>VÁLIDA</v>
      </c>
      <c r="R55" s="168">
        <v>3551320</v>
      </c>
      <c r="S55" s="169">
        <f>ROUND($F55*ROUND(R55,0),0)</f>
        <v>7102640</v>
      </c>
      <c r="T55" s="372" t="str">
        <f>+IF(R55&gt;0,IF(OR(R55&gt;$G55,ROUND(R55,0)&gt;$G55),"NO VÁLIDA","VÁLIDA"),"NO VÁLIDA")</f>
        <v>VÁLIDA</v>
      </c>
      <c r="U55" s="168">
        <v>3411534</v>
      </c>
      <c r="V55" s="169">
        <f>ROUND($F55*ROUND(U55,0),0)</f>
        <v>6823068</v>
      </c>
      <c r="W55" s="372" t="str">
        <f>+IF(U55&gt;0,IF(OR(U55&gt;$G55,ROUND(U55,0)&gt;$G55),"NO VÁLIDA","VÁLIDA"),"NO VÁLIDA")</f>
        <v>VÁLIDA</v>
      </c>
      <c r="X55" s="168">
        <v>3341342</v>
      </c>
      <c r="Y55" s="169">
        <f>ROUND($F55*ROUND(X55,0),0)</f>
        <v>6682684</v>
      </c>
      <c r="Z55" s="372" t="str">
        <f>+IF(X55&gt;0,IF(OR(X55&gt;$G55,ROUND(X55,0)&gt;$G55),"NO VÁLIDA","VÁLIDA"),"NO VÁLIDA")</f>
        <v>VÁLIDA</v>
      </c>
      <c r="AA55" s="168">
        <v>3556147</v>
      </c>
      <c r="AB55" s="169">
        <f>ROUND($F55*ROUND(AA55,0),0)</f>
        <v>7112294</v>
      </c>
      <c r="AC55" s="372" t="str">
        <f>+IF(AA55&gt;0,IF(OR(AA55&gt;$G55,ROUND(AA55,0)&gt;$G55),"NO VÁLIDA","VÁLIDA"),"NO VÁLIDA")</f>
        <v>VÁLIDA</v>
      </c>
      <c r="AD55" s="168">
        <v>3439113</v>
      </c>
      <c r="AE55" s="169">
        <f>ROUND($F55*ROUND(AD55,0),0)</f>
        <v>6878226</v>
      </c>
      <c r="AF55" s="372" t="str">
        <f>+IF(AD55&gt;0,IF(OR(AD55&gt;$G55,ROUND(AD55,0)&gt;$G55),"NO VÁLIDA","VÁLIDA"),"NO VÁLIDA")</f>
        <v>VÁLIDA</v>
      </c>
    </row>
    <row r="56" spans="2:32" ht="30.6" customHeight="1">
      <c r="B56" s="162">
        <v>17</v>
      </c>
      <c r="C56" s="163"/>
      <c r="D56" s="164" t="s">
        <v>215</v>
      </c>
      <c r="E56" s="163" t="s">
        <v>196</v>
      </c>
      <c r="F56" s="165">
        <v>1</v>
      </c>
      <c r="G56" s="166">
        <v>2267000</v>
      </c>
      <c r="H56" s="167">
        <f>ROUND(G56*F56,0)</f>
        <v>2267000</v>
      </c>
      <c r="I56" s="168">
        <v>2040300</v>
      </c>
      <c r="J56" s="169">
        <f>ROUND($F56*ROUND(I56,0),0)</f>
        <v>2040300</v>
      </c>
      <c r="K56" s="206" t="str">
        <f>+IF(I56&gt;0,IF(OR(I56&gt;$G56,ROUND(I56,0)&gt;$G56),"NO VÁLIDA","VÁLIDA"),"NO VÁLIDA")</f>
        <v>VÁLIDA</v>
      </c>
      <c r="L56" s="168">
        <v>2102416</v>
      </c>
      <c r="M56" s="169">
        <f>ROUND($F56*ROUND(L56,0),0)</f>
        <v>2102416</v>
      </c>
      <c r="N56" s="372" t="str">
        <f>+IF(L56&gt;0,IF(OR(L56&gt;$G56,ROUND(L56,0)&gt;$G56),"NO VÁLIDA","VÁLIDA"),"NO VÁLIDA")</f>
        <v>VÁLIDA</v>
      </c>
      <c r="O56" s="168">
        <v>2267000</v>
      </c>
      <c r="P56" s="169">
        <f>ROUND($F56*ROUND(O56,0),0)</f>
        <v>2267000</v>
      </c>
      <c r="Q56" s="372" t="str">
        <f>+IF(O56&gt;0,IF(OR(O56&gt;$G56,ROUND(O56,0)&gt;$G56),"NO VÁLIDA","VÁLIDA"),"NO VÁLIDA")</f>
        <v>VÁLIDA</v>
      </c>
      <c r="R56" s="168">
        <v>2130980</v>
      </c>
      <c r="S56" s="169">
        <f>ROUND($F56*ROUND(R56,0),0)</f>
        <v>2130980</v>
      </c>
      <c r="T56" s="372" t="str">
        <f>+IF(R56&gt;0,IF(OR(R56&gt;$G56,ROUND(R56,0)&gt;$G56),"NO VÁLIDA","VÁLIDA"),"NO VÁLIDA")</f>
        <v>VÁLIDA</v>
      </c>
      <c r="U56" s="168">
        <v>2047101</v>
      </c>
      <c r="V56" s="169">
        <f>ROUND($F56*ROUND(U56,0),0)</f>
        <v>2047101</v>
      </c>
      <c r="W56" s="372" t="str">
        <f>+IF(U56&gt;0,IF(OR(U56&gt;$G56,ROUND(U56,0)&gt;$G56),"NO VÁLIDA","VÁLIDA"),"NO VÁLIDA")</f>
        <v>VÁLIDA</v>
      </c>
      <c r="X56" s="168">
        <v>2004982</v>
      </c>
      <c r="Y56" s="169">
        <f>ROUND($F56*ROUND(X56,0),0)</f>
        <v>2004982</v>
      </c>
      <c r="Z56" s="372" t="str">
        <f>+IF(X56&gt;0,IF(OR(X56&gt;$G56,ROUND(X56,0)&gt;$G56),"NO VÁLIDA","VÁLIDA"),"NO VÁLIDA")</f>
        <v>VÁLIDA</v>
      </c>
      <c r="AA56" s="168">
        <v>2133877</v>
      </c>
      <c r="AB56" s="169">
        <f>ROUND($F56*ROUND(AA56,0),0)</f>
        <v>2133877</v>
      </c>
      <c r="AC56" s="372" t="str">
        <f>+IF(AA56&gt;0,IF(OR(AA56&gt;$G56,ROUND(AA56,0)&gt;$G56),"NO VÁLIDA","VÁLIDA"),"NO VÁLIDA")</f>
        <v>VÁLIDA</v>
      </c>
      <c r="AD56" s="168">
        <v>2063650</v>
      </c>
      <c r="AE56" s="169">
        <f>ROUND($F56*ROUND(AD56,0),0)</f>
        <v>2063650</v>
      </c>
      <c r="AF56" s="372" t="str">
        <f>+IF(AD56&gt;0,IF(OR(AD56&gt;$G56,ROUND(AD56,0)&gt;$G56),"NO VÁLIDA","VÁLIDA"),"NO VÁLIDA")</f>
        <v>VÁLIDA</v>
      </c>
    </row>
    <row r="57" spans="2:32" ht="30.6" customHeight="1" thickBot="1">
      <c r="B57" s="162">
        <v>18</v>
      </c>
      <c r="C57" s="163"/>
      <c r="D57" s="164" t="s">
        <v>216</v>
      </c>
      <c r="E57" s="163" t="s">
        <v>196</v>
      </c>
      <c r="F57" s="165">
        <v>1</v>
      </c>
      <c r="G57" s="166">
        <v>3778000</v>
      </c>
      <c r="H57" s="167">
        <f>ROUND(G57*F57,0)</f>
        <v>3778000</v>
      </c>
      <c r="I57" s="168">
        <v>3400200</v>
      </c>
      <c r="J57" s="169">
        <f>ROUND($F57*ROUND(I57,0),0)</f>
        <v>3400200</v>
      </c>
      <c r="K57" s="206" t="str">
        <f>+IF(I57&gt;0,IF(OR(I57&gt;$G57,ROUND(I57,0)&gt;$G57),"NO VÁLIDA","VÁLIDA"),"NO VÁLIDA")</f>
        <v>VÁLIDA</v>
      </c>
      <c r="L57" s="168">
        <v>3513162</v>
      </c>
      <c r="M57" s="169">
        <f>ROUND($F57*ROUND(L57,0),0)</f>
        <v>3513162</v>
      </c>
      <c r="N57" s="372" t="str">
        <f>+IF(L57&gt;0,IF(OR(L57&gt;$G57,ROUND(L57,0)&gt;$G57),"NO VÁLIDA","VÁLIDA"),"NO VÁLIDA")</f>
        <v>VÁLIDA</v>
      </c>
      <c r="O57" s="168">
        <v>3589100</v>
      </c>
      <c r="P57" s="169">
        <f>ROUND($F57*ROUND(O57,0),0)</f>
        <v>3589100</v>
      </c>
      <c r="Q57" s="372" t="str">
        <f>+IF(O57&gt;0,IF(OR(O57&gt;$G57,ROUND(O57,0)&gt;$G57),"NO VÁLIDA","VÁLIDA"),"NO VÁLIDA")</f>
        <v>VÁLIDA</v>
      </c>
      <c r="R57" s="168">
        <v>3551320</v>
      </c>
      <c r="S57" s="169">
        <f>ROUND($F57*ROUND(R57,0),0)</f>
        <v>3551320</v>
      </c>
      <c r="T57" s="372" t="str">
        <f>+IF(R57&gt;0,IF(OR(R57&gt;$G57,ROUND(R57,0)&gt;$G57),"NO VÁLIDA","VÁLIDA"),"NO VÁLIDA")</f>
        <v>VÁLIDA</v>
      </c>
      <c r="U57" s="168">
        <v>3411534</v>
      </c>
      <c r="V57" s="169">
        <f>ROUND($F57*ROUND(U57,0),0)</f>
        <v>3411534</v>
      </c>
      <c r="W57" s="372" t="str">
        <f>+IF(U57&gt;0,IF(OR(U57&gt;$G57,ROUND(U57,0)&gt;$G57),"NO VÁLIDA","VÁLIDA"),"NO VÁLIDA")</f>
        <v>VÁLIDA</v>
      </c>
      <c r="X57" s="168">
        <v>3341342</v>
      </c>
      <c r="Y57" s="169">
        <f>ROUND($F57*ROUND(X57,0),0)</f>
        <v>3341342</v>
      </c>
      <c r="Z57" s="372" t="str">
        <f>+IF(X57&gt;0,IF(OR(X57&gt;$G57,ROUND(X57,0)&gt;$G57),"NO VÁLIDA","VÁLIDA"),"NO VÁLIDA")</f>
        <v>VÁLIDA</v>
      </c>
      <c r="AA57" s="168">
        <v>3556147</v>
      </c>
      <c r="AB57" s="169">
        <f>ROUND($F57*ROUND(AA57,0),0)</f>
        <v>3556147</v>
      </c>
      <c r="AC57" s="372" t="str">
        <f>+IF(AA57&gt;0,IF(OR(AA57&gt;$G57,ROUND(AA57,0)&gt;$G57),"NO VÁLIDA","VÁLIDA"),"NO VÁLIDA")</f>
        <v>VÁLIDA</v>
      </c>
      <c r="AD57" s="168">
        <v>3439113</v>
      </c>
      <c r="AE57" s="169">
        <f>ROUND($F57*ROUND(AD57,0),0)</f>
        <v>3439113</v>
      </c>
      <c r="AF57" s="372" t="str">
        <f>+IF(AD57&gt;0,IF(OR(AD57&gt;$G57,ROUND(AD57,0)&gt;$G57),"NO VÁLIDA","VÁLIDA"),"NO VÁLIDA")</f>
        <v>VÁLIDA</v>
      </c>
    </row>
    <row r="58" spans="2:32" ht="20.25" customHeight="1">
      <c r="B58" s="332" t="s">
        <v>217</v>
      </c>
      <c r="C58" s="333"/>
      <c r="D58" s="333"/>
      <c r="E58" s="333"/>
      <c r="F58" s="334"/>
      <c r="G58" s="333"/>
      <c r="H58" s="335">
        <f>SUM(H59:H62)</f>
        <v>138607000</v>
      </c>
      <c r="I58" s="347"/>
      <c r="J58" s="348">
        <f>SUM(J59:J62)</f>
        <v>124746300</v>
      </c>
      <c r="K58" s="349"/>
      <c r="L58" s="347"/>
      <c r="M58" s="348">
        <f>SUM(M59:M62)</f>
        <v>127433869</v>
      </c>
      <c r="N58" s="371"/>
      <c r="O58" s="347"/>
      <c r="P58" s="348">
        <f>SUM(P59:P62)</f>
        <v>132664350</v>
      </c>
      <c r="Q58" s="371"/>
      <c r="R58" s="347"/>
      <c r="S58" s="348">
        <f>SUM(S59:S62)</f>
        <v>130290580</v>
      </c>
      <c r="T58" s="371"/>
      <c r="U58" s="347"/>
      <c r="V58" s="348">
        <f>SUM(V59:V62)</f>
        <v>125162121</v>
      </c>
      <c r="W58" s="371"/>
      <c r="X58" s="347"/>
      <c r="Y58" s="348">
        <f>SUM(Y59:Y62)</f>
        <v>122586942</v>
      </c>
      <c r="Z58" s="371"/>
      <c r="AA58" s="347"/>
      <c r="AB58" s="348">
        <f>SUM(AB59:AB62)</f>
        <v>130467665</v>
      </c>
      <c r="AC58" s="371"/>
      <c r="AD58" s="347"/>
      <c r="AE58" s="348">
        <f>SUM(AE59:AE62)</f>
        <v>126173964</v>
      </c>
      <c r="AF58" s="371"/>
    </row>
    <row r="59" spans="2:32" ht="30.6" customHeight="1">
      <c r="B59" s="162">
        <v>19</v>
      </c>
      <c r="C59" s="163"/>
      <c r="D59" s="164" t="s">
        <v>218</v>
      </c>
      <c r="E59" s="163" t="s">
        <v>196</v>
      </c>
      <c r="F59" s="165">
        <v>1</v>
      </c>
      <c r="G59" s="166">
        <v>2783000</v>
      </c>
      <c r="H59" s="167">
        <f t="shared" ref="H59:H64" si="25">ROUND(G59*F59,0)</f>
        <v>2783000</v>
      </c>
      <c r="I59" s="168">
        <v>2504700</v>
      </c>
      <c r="J59" s="169">
        <f>ROUND($F59*ROUND(I59,0),0)</f>
        <v>2504700</v>
      </c>
      <c r="K59" s="206" t="str">
        <f>+IF(I59&gt;0,IF(OR(I59&gt;$G59,ROUND(I59,0)&gt;$G59),"NO VÁLIDA","VÁLIDA"),"NO VÁLIDA")</f>
        <v>VÁLIDA</v>
      </c>
      <c r="L59" s="168">
        <v>2590138</v>
      </c>
      <c r="M59" s="169">
        <f>ROUND($F59*ROUND(L59,0),0)</f>
        <v>2590138</v>
      </c>
      <c r="N59" s="372" t="str">
        <f>+IF(L59&gt;0,IF(OR(L59&gt;$G59,ROUND(L59,0)&gt;$G59),"NO VÁLIDA","VÁLIDA"),"NO VÁLIDA")</f>
        <v>VÁLIDA</v>
      </c>
      <c r="O59" s="168">
        <v>2643850</v>
      </c>
      <c r="P59" s="169">
        <f>ROUND($F59*ROUND(O59,0),0)</f>
        <v>2643850</v>
      </c>
      <c r="Q59" s="372" t="str">
        <f>+IF(O59&gt;0,IF(OR(O59&gt;$G59,ROUND(O59,0)&gt;$G59),"NO VÁLIDA","VÁLIDA"),"NO VÁLIDA")</f>
        <v>VÁLIDA</v>
      </c>
      <c r="R59" s="168">
        <v>2616020</v>
      </c>
      <c r="S59" s="169">
        <f>ROUND($F59*ROUND(R59,0),0)</f>
        <v>2616020</v>
      </c>
      <c r="T59" s="372" t="str">
        <f>+IF(R59&gt;0,IF(OR(R59&gt;$G59,ROUND(R59,0)&gt;$G59),"NO VÁLIDA","VÁLIDA"),"NO VÁLIDA")</f>
        <v>VÁLIDA</v>
      </c>
      <c r="U59" s="168">
        <v>2513049</v>
      </c>
      <c r="V59" s="169">
        <f>ROUND($F59*ROUND(U59,0),0)</f>
        <v>2513049</v>
      </c>
      <c r="W59" s="372" t="str">
        <f>+IF(U59&gt;0,IF(OR(U59&gt;$G59,ROUND(U59,0)&gt;$G59),"NO VÁLIDA","VÁLIDA"),"NO VÁLIDA")</f>
        <v>VÁLIDA</v>
      </c>
      <c r="X59" s="168">
        <v>2461343</v>
      </c>
      <c r="Y59" s="169">
        <f>ROUND($F59*ROUND(X59,0),0)</f>
        <v>2461343</v>
      </c>
      <c r="Z59" s="372" t="str">
        <f>+IF(X59&gt;0,IF(OR(X59&gt;$G59,ROUND(X59,0)&gt;$G59),"NO VÁLIDA","VÁLIDA"),"NO VÁLIDA")</f>
        <v>VÁLIDA</v>
      </c>
      <c r="AA59" s="168">
        <v>2619576</v>
      </c>
      <c r="AB59" s="169">
        <f>ROUND($F59*ROUND(AA59,0),0)</f>
        <v>2619576</v>
      </c>
      <c r="AC59" s="372" t="str">
        <f>+IF(AA59&gt;0,IF(OR(AA59&gt;$G59,ROUND(AA59,0)&gt;$G59),"NO VÁLIDA","VÁLIDA"),"NO VÁLIDA")</f>
        <v>VÁLIDA</v>
      </c>
      <c r="AD59" s="168">
        <v>2533365</v>
      </c>
      <c r="AE59" s="169">
        <f>ROUND($F59*ROUND(AD59,0),0)</f>
        <v>2533365</v>
      </c>
      <c r="AF59" s="372" t="str">
        <f>+IF(AD59&gt;0,IF(OR(AD59&gt;$G59,ROUND(AD59,0)&gt;$G59),"NO VÁLIDA","VÁLIDA"),"NO VÁLIDA")</f>
        <v>VÁLIDA</v>
      </c>
    </row>
    <row r="60" spans="2:32" ht="30.6" customHeight="1">
      <c r="B60" s="162">
        <v>20</v>
      </c>
      <c r="C60" s="163"/>
      <c r="D60" s="164" t="s">
        <v>219</v>
      </c>
      <c r="E60" s="163" t="s">
        <v>196</v>
      </c>
      <c r="F60" s="165">
        <v>30</v>
      </c>
      <c r="G60" s="166">
        <v>3869000</v>
      </c>
      <c r="H60" s="167">
        <f t="shared" si="25"/>
        <v>116070000</v>
      </c>
      <c r="I60" s="168">
        <v>3482100</v>
      </c>
      <c r="J60" s="169">
        <f>ROUND($F60*ROUND(I60,0),0)</f>
        <v>104463000</v>
      </c>
      <c r="K60" s="206" t="str">
        <f>+IF(I60&gt;0,IF(OR(I60&gt;$G60,ROUND(I60,0)&gt;$G60),"NO VÁLIDA","VÁLIDA"),"NO VÁLIDA")</f>
        <v>VÁLIDA</v>
      </c>
      <c r="L60" s="168">
        <v>3550490</v>
      </c>
      <c r="M60" s="169">
        <f>ROUND($F60*ROUND(L60,0),0)</f>
        <v>106514700</v>
      </c>
      <c r="N60" s="372" t="str">
        <f>+IF(L60&gt;0,IF(OR(L60&gt;$G60,ROUND(L60,0)&gt;$G60),"NO VÁLIDA","VÁLIDA"),"NO VÁLIDA")</f>
        <v>VÁLIDA</v>
      </c>
      <c r="O60" s="168">
        <v>3675550</v>
      </c>
      <c r="P60" s="169">
        <f>ROUND($F60*ROUND(O60,0),0)</f>
        <v>110266500</v>
      </c>
      <c r="Q60" s="372" t="str">
        <f>+IF(O60&gt;0,IF(OR(O60&gt;$G60,ROUND(O60,0)&gt;$G60),"NO VÁLIDA","VÁLIDA"),"NO VÁLIDA")</f>
        <v>VÁLIDA</v>
      </c>
      <c r="R60" s="168">
        <v>3636860</v>
      </c>
      <c r="S60" s="169">
        <f>ROUND($F60*ROUND(R60,0),0)</f>
        <v>109105800</v>
      </c>
      <c r="T60" s="372" t="str">
        <f>+IF(R60&gt;0,IF(OR(R60&gt;$G60,ROUND(R60,0)&gt;$G60),"NO VÁLIDA","VÁLIDA"),"NO VÁLIDA")</f>
        <v>VÁLIDA</v>
      </c>
      <c r="U60" s="168">
        <v>3493707</v>
      </c>
      <c r="V60" s="169">
        <f>ROUND($F60*ROUND(U60,0),0)</f>
        <v>104811210</v>
      </c>
      <c r="W60" s="372" t="str">
        <f>+IF(U60&gt;0,IF(OR(U60&gt;$G60,ROUND(U60,0)&gt;$G60),"NO VÁLIDA","VÁLIDA"),"NO VÁLIDA")</f>
        <v>VÁLIDA</v>
      </c>
      <c r="X60" s="168">
        <v>3421825</v>
      </c>
      <c r="Y60" s="169">
        <f>ROUND($F60*ROUND(X60,0),0)</f>
        <v>102654750</v>
      </c>
      <c r="Z60" s="372" t="str">
        <f>+IF(X60&gt;0,IF(OR(X60&gt;$G60,ROUND(X60,0)&gt;$G60),"NO VÁLIDA","VÁLIDA"),"NO VÁLIDA")</f>
        <v>VÁLIDA</v>
      </c>
      <c r="AA60" s="168">
        <v>3641803</v>
      </c>
      <c r="AB60" s="169">
        <f>ROUND($F60*ROUND(AA60,0),0)</f>
        <v>109254090</v>
      </c>
      <c r="AC60" s="372" t="str">
        <f>+IF(AA60&gt;0,IF(OR(AA60&gt;$G60,ROUND(AA60,0)&gt;$G60),"NO VÁLIDA","VÁLIDA"),"NO VÁLIDA")</f>
        <v>VÁLIDA</v>
      </c>
      <c r="AD60" s="168">
        <v>3521951</v>
      </c>
      <c r="AE60" s="169">
        <f>ROUND($F60*ROUND(AD60,0),0)</f>
        <v>105658530</v>
      </c>
      <c r="AF60" s="372" t="str">
        <f>+IF(AD60&gt;0,IF(OR(AD60&gt;$G60,ROUND(AD60,0)&gt;$G60),"NO VÁLIDA","VÁLIDA"),"NO VÁLIDA")</f>
        <v>VÁLIDA</v>
      </c>
    </row>
    <row r="61" spans="2:32" ht="30.6" customHeight="1">
      <c r="B61" s="162">
        <v>21</v>
      </c>
      <c r="C61" s="163"/>
      <c r="D61" s="164" t="s">
        <v>220</v>
      </c>
      <c r="E61" s="163" t="s">
        <v>196</v>
      </c>
      <c r="F61" s="165">
        <v>7</v>
      </c>
      <c r="G61" s="166">
        <v>1816000</v>
      </c>
      <c r="H61" s="167">
        <f t="shared" si="25"/>
        <v>12712000</v>
      </c>
      <c r="I61" s="168">
        <v>1634400</v>
      </c>
      <c r="J61" s="169">
        <f>ROUND($F61*ROUND(I61,0),0)</f>
        <v>11440800</v>
      </c>
      <c r="K61" s="206" t="str">
        <f>+IF(I61&gt;0,IF(OR(I61&gt;$G61,ROUND(I61,0)&gt;$G61),"NO VÁLIDA","VÁLIDA"),"NO VÁLIDA")</f>
        <v>VÁLIDA</v>
      </c>
      <c r="L61" s="168">
        <v>1685066</v>
      </c>
      <c r="M61" s="169">
        <f>ROUND($F61*ROUND(L61,0),0)</f>
        <v>11795462</v>
      </c>
      <c r="N61" s="372" t="str">
        <f>+IF(L61&gt;0,IF(OR(L61&gt;$G61,ROUND(L61,0)&gt;$G61),"NO VÁLIDA","VÁLIDA"),"NO VÁLIDA")</f>
        <v>VÁLIDA</v>
      </c>
      <c r="O61" s="168">
        <v>1816000</v>
      </c>
      <c r="P61" s="169">
        <f>ROUND($F61*ROUND(O61,0),0)</f>
        <v>12712000</v>
      </c>
      <c r="Q61" s="372" t="str">
        <f>+IF(O61&gt;0,IF(OR(O61&gt;$G61,ROUND(O61,0)&gt;$G61),"NO VÁLIDA","VÁLIDA"),"NO VÁLIDA")</f>
        <v>VÁLIDA</v>
      </c>
      <c r="R61" s="168">
        <v>1707040</v>
      </c>
      <c r="S61" s="169">
        <f>ROUND($F61*ROUND(R61,0),0)</f>
        <v>11949280</v>
      </c>
      <c r="T61" s="372" t="str">
        <f>+IF(R61&gt;0,IF(OR(R61&gt;$G61,ROUND(R61,0)&gt;$G61),"NO VÁLIDA","VÁLIDA"),"NO VÁLIDA")</f>
        <v>VÁLIDA</v>
      </c>
      <c r="U61" s="168">
        <v>1639848</v>
      </c>
      <c r="V61" s="169">
        <f>ROUND($F61*ROUND(U61,0),0)</f>
        <v>11478936</v>
      </c>
      <c r="W61" s="372" t="str">
        <f>+IF(U61&gt;0,IF(OR(U61&gt;$G61,ROUND(U61,0)&gt;$G61),"NO VÁLIDA","VÁLIDA"),"NO VÁLIDA")</f>
        <v>VÁLIDA</v>
      </c>
      <c r="X61" s="168">
        <v>1606108</v>
      </c>
      <c r="Y61" s="169">
        <f>ROUND($F61*ROUND(X61,0),0)</f>
        <v>11242756</v>
      </c>
      <c r="Z61" s="372" t="str">
        <f>+IF(X61&gt;0,IF(OR(X61&gt;$G61,ROUND(X61,0)&gt;$G61),"NO VÁLIDA","VÁLIDA"),"NO VÁLIDA")</f>
        <v>VÁLIDA</v>
      </c>
      <c r="AA61" s="168">
        <v>1709360</v>
      </c>
      <c r="AB61" s="169">
        <f>ROUND($F61*ROUND(AA61,0),0)</f>
        <v>11965520</v>
      </c>
      <c r="AC61" s="372" t="str">
        <f>+IF(AA61&gt;0,IF(OR(AA61&gt;$G61,ROUND(AA61,0)&gt;$G61),"NO VÁLIDA","VÁLIDA"),"NO VÁLIDA")</f>
        <v>VÁLIDA</v>
      </c>
      <c r="AD61" s="168">
        <v>1653105</v>
      </c>
      <c r="AE61" s="169">
        <f>ROUND($F61*ROUND(AD61,0),0)</f>
        <v>11571735</v>
      </c>
      <c r="AF61" s="372" t="str">
        <f>+IF(AD61&gt;0,IF(OR(AD61&gt;$G61,ROUND(AD61,0)&gt;$G61),"NO VÁLIDA","VÁLIDA"),"NO VÁLIDA")</f>
        <v>VÁLIDA</v>
      </c>
    </row>
    <row r="62" spans="2:32" ht="30.6" customHeight="1" thickBot="1">
      <c r="B62" s="162">
        <v>22</v>
      </c>
      <c r="C62" s="163"/>
      <c r="D62" s="164" t="s">
        <v>221</v>
      </c>
      <c r="E62" s="163" t="s">
        <v>196</v>
      </c>
      <c r="F62" s="165">
        <v>3.5</v>
      </c>
      <c r="G62" s="166">
        <v>2012000</v>
      </c>
      <c r="H62" s="167">
        <f t="shared" si="25"/>
        <v>7042000</v>
      </c>
      <c r="I62" s="168">
        <v>1810800</v>
      </c>
      <c r="J62" s="169">
        <f>ROUND($F62*ROUND(I62,0),0)</f>
        <v>6337800</v>
      </c>
      <c r="K62" s="206" t="str">
        <f>+IF(I62&gt;0,IF(OR(I62&gt;$G62,ROUND(I62,0)&gt;$G62),"NO VÁLIDA","VÁLIDA"),"NO VÁLIDA")</f>
        <v>VÁLIDA</v>
      </c>
      <c r="L62" s="168">
        <v>1866734</v>
      </c>
      <c r="M62" s="169">
        <f>ROUND($F62*ROUND(L62,0),0)</f>
        <v>6533569</v>
      </c>
      <c r="N62" s="372" t="str">
        <f>+IF(L62&gt;0,IF(OR(L62&gt;$G62,ROUND(L62,0)&gt;$G62),"NO VÁLIDA","VÁLIDA"),"NO VÁLIDA")</f>
        <v>VÁLIDA</v>
      </c>
      <c r="O62" s="168">
        <v>2012000</v>
      </c>
      <c r="P62" s="169">
        <f>ROUND($F62*ROUND(O62,0),0)</f>
        <v>7042000</v>
      </c>
      <c r="Q62" s="372" t="str">
        <f>+IF(O62&gt;0,IF(OR(O62&gt;$G62,ROUND(O62,0)&gt;$G62),"NO VÁLIDA","VÁLIDA"),"NO VÁLIDA")</f>
        <v>VÁLIDA</v>
      </c>
      <c r="R62" s="168">
        <v>1891280</v>
      </c>
      <c r="S62" s="169">
        <f>ROUND($F62*ROUND(R62,0),0)</f>
        <v>6619480</v>
      </c>
      <c r="T62" s="372" t="str">
        <f>+IF(R62&gt;0,IF(OR(R62&gt;$G62,ROUND(R62,0)&gt;$G62),"NO VÁLIDA","VÁLIDA"),"NO VÁLIDA")</f>
        <v>VÁLIDA</v>
      </c>
      <c r="U62" s="168">
        <v>1816836</v>
      </c>
      <c r="V62" s="169">
        <f>ROUND($F62*ROUND(U62,0),0)</f>
        <v>6358926</v>
      </c>
      <c r="W62" s="372" t="str">
        <f>+IF(U62&gt;0,IF(OR(U62&gt;$G62,ROUND(U62,0)&gt;$G62),"NO VÁLIDA","VÁLIDA"),"NO VÁLIDA")</f>
        <v>VÁLIDA</v>
      </c>
      <c r="X62" s="168">
        <v>1779455</v>
      </c>
      <c r="Y62" s="169">
        <f>ROUND($F62*ROUND(X62,0),0)</f>
        <v>6228093</v>
      </c>
      <c r="Z62" s="372" t="str">
        <f>+IF(X62&gt;0,IF(OR(X62&gt;$G62,ROUND(X62,0)&gt;$G62),"NO VÁLIDA","VÁLIDA"),"NO VÁLIDA")</f>
        <v>VÁLIDA</v>
      </c>
      <c r="AA62" s="168">
        <v>1893851</v>
      </c>
      <c r="AB62" s="169">
        <f>ROUND($F62*ROUND(AA62,0),0)</f>
        <v>6628479</v>
      </c>
      <c r="AC62" s="372" t="str">
        <f>+IF(AA62&gt;0,IF(OR(AA62&gt;$G62,ROUND(AA62,0)&gt;$G62),"NO VÁLIDA","VÁLIDA"),"NO VÁLIDA")</f>
        <v>VÁLIDA</v>
      </c>
      <c r="AD62" s="168">
        <v>1831524</v>
      </c>
      <c r="AE62" s="169">
        <f>ROUND($F62*ROUND(AD62,0),0)</f>
        <v>6410334</v>
      </c>
      <c r="AF62" s="372" t="str">
        <f>+IF(AD62&gt;0,IF(OR(AD62&gt;$G62,ROUND(AD62,0)&gt;$G62),"NO VÁLIDA","VÁLIDA"),"NO VÁLIDA")</f>
        <v>VÁLIDA</v>
      </c>
    </row>
    <row r="63" spans="2:32" ht="20.25" customHeight="1">
      <c r="B63" s="332" t="s">
        <v>222</v>
      </c>
      <c r="C63" s="333"/>
      <c r="D63" s="333"/>
      <c r="E63" s="333"/>
      <c r="F63" s="334"/>
      <c r="G63" s="333"/>
      <c r="H63" s="335">
        <f>SUM(H64:H66)</f>
        <v>64070000</v>
      </c>
      <c r="I63" s="347"/>
      <c r="J63" s="348">
        <f>SUM(J64:J66)</f>
        <v>57663000</v>
      </c>
      <c r="K63" s="349"/>
      <c r="L63" s="347"/>
      <c r="M63" s="348">
        <f>SUM(M64:M66)</f>
        <v>59458666</v>
      </c>
      <c r="N63" s="371"/>
      <c r="O63" s="347"/>
      <c r="P63" s="348">
        <f>SUM(P64:P66)</f>
        <v>60866500</v>
      </c>
      <c r="Q63" s="371"/>
      <c r="R63" s="347"/>
      <c r="S63" s="348">
        <f>SUM(S64:S66)</f>
        <v>60225800</v>
      </c>
      <c r="T63" s="371"/>
      <c r="U63" s="347"/>
      <c r="V63" s="348">
        <f>SUM(V64:V66)</f>
        <v>57855210</v>
      </c>
      <c r="W63" s="371"/>
      <c r="X63" s="347"/>
      <c r="Y63" s="348">
        <f>SUM(Y64:Y66)</f>
        <v>56664850</v>
      </c>
      <c r="Z63" s="371"/>
      <c r="AA63" s="347"/>
      <c r="AB63" s="348">
        <f>SUM(AB64:AB66)</f>
        <v>60307660</v>
      </c>
      <c r="AC63" s="371"/>
      <c r="AD63" s="347"/>
      <c r="AE63" s="348">
        <f>SUM(AE64:AE66)</f>
        <v>58322920</v>
      </c>
      <c r="AF63" s="371"/>
    </row>
    <row r="64" spans="2:32" ht="40.5" customHeight="1">
      <c r="B64" s="162">
        <v>23</v>
      </c>
      <c r="C64" s="163"/>
      <c r="D64" s="164" t="s">
        <v>223</v>
      </c>
      <c r="E64" s="163" t="s">
        <v>196</v>
      </c>
      <c r="F64" s="165">
        <v>3</v>
      </c>
      <c r="G64" s="166">
        <v>6407000</v>
      </c>
      <c r="H64" s="167">
        <f t="shared" si="25"/>
        <v>19221000</v>
      </c>
      <c r="I64" s="168">
        <v>5766300</v>
      </c>
      <c r="J64" s="169">
        <f>ROUND($F64*ROUND(I64,0),0)</f>
        <v>17298900</v>
      </c>
      <c r="K64" s="206" t="str">
        <f>+IF(I64&gt;0,IF(OR(I64&gt;$G64,ROUND(I64,0)&gt;$G64),"NO VÁLIDA","VÁLIDA"),"NO VÁLIDA")</f>
        <v>VÁLIDA</v>
      </c>
      <c r="L64" s="168">
        <v>5958510</v>
      </c>
      <c r="M64" s="169">
        <f>ROUND($F64*ROUND(L64,0),0)</f>
        <v>17875530</v>
      </c>
      <c r="N64" s="372" t="str">
        <f>+IF(L64&gt;0,IF(OR(L64&gt;$G64,ROUND(L64,0)&gt;$G64),"NO VÁLIDA","VÁLIDA"),"NO VÁLIDA")</f>
        <v>VÁLIDA</v>
      </c>
      <c r="O64" s="168">
        <v>6086650</v>
      </c>
      <c r="P64" s="169">
        <f>ROUND($F64*ROUND(O64,0),0)</f>
        <v>18259950</v>
      </c>
      <c r="Q64" s="372" t="str">
        <f>+IF(O64&gt;0,IF(OR(O64&gt;$G64,ROUND(O64,0)&gt;$G64),"NO VÁLIDA","VÁLIDA"),"NO VÁLIDA")</f>
        <v>VÁLIDA</v>
      </c>
      <c r="R64" s="168">
        <v>6022580</v>
      </c>
      <c r="S64" s="169">
        <f>ROUND($F64*ROUND(R64,0),0)</f>
        <v>18067740</v>
      </c>
      <c r="T64" s="372" t="str">
        <f>+IF(R64&gt;0,IF(OR(R64&gt;$G64,ROUND(R64,0)&gt;$G64),"NO VÁLIDA","VÁLIDA"),"NO VÁLIDA")</f>
        <v>VÁLIDA</v>
      </c>
      <c r="U64" s="168">
        <v>5785521</v>
      </c>
      <c r="V64" s="169">
        <f>ROUND($F64*ROUND(U64,0),0)</f>
        <v>17356563</v>
      </c>
      <c r="W64" s="372" t="str">
        <f>+IF(U64&gt;0,IF(OR(U64&gt;$G64,ROUND(U64,0)&gt;$G64),"NO VÁLIDA","VÁLIDA"),"NO VÁLIDA")</f>
        <v>VÁLIDA</v>
      </c>
      <c r="X64" s="168">
        <v>5666485</v>
      </c>
      <c r="Y64" s="169">
        <f>ROUND($F64*ROUND(X64,0),0)</f>
        <v>16999455</v>
      </c>
      <c r="Z64" s="372" t="str">
        <f>+IF(X64&gt;0,IF(OR(X64&gt;$G64,ROUND(X64,0)&gt;$G64),"NO VÁLIDA","VÁLIDA"),"NO VÁLIDA")</f>
        <v>VÁLIDA</v>
      </c>
      <c r="AA64" s="168">
        <v>6030766</v>
      </c>
      <c r="AB64" s="169">
        <f>ROUND($F64*ROUND(AA64,0),0)</f>
        <v>18092298</v>
      </c>
      <c r="AC64" s="372" t="str">
        <f>+IF(AA64&gt;0,IF(OR(AA64&gt;$G64,ROUND(AA64,0)&gt;$G64),"NO VÁLIDA","VÁLIDA"),"NO VÁLIDA")</f>
        <v>VÁLIDA</v>
      </c>
      <c r="AD64" s="168">
        <v>5832292</v>
      </c>
      <c r="AE64" s="169">
        <f>ROUND($F64*ROUND(AD64,0),0)</f>
        <v>17496876</v>
      </c>
      <c r="AF64" s="372" t="str">
        <f>+IF(AD64&gt;0,IF(OR(AD64&gt;$G64,ROUND(AD64,0)&gt;$G64),"NO VÁLIDA","VÁLIDA"),"NO VÁLIDA")</f>
        <v>VÁLIDA</v>
      </c>
    </row>
    <row r="65" spans="2:32" ht="40.5" customHeight="1">
      <c r="B65" s="162">
        <v>24</v>
      </c>
      <c r="C65" s="163"/>
      <c r="D65" s="164" t="s">
        <v>224</v>
      </c>
      <c r="E65" s="163" t="s">
        <v>196</v>
      </c>
      <c r="F65" s="165">
        <v>3</v>
      </c>
      <c r="G65" s="166">
        <v>6407000</v>
      </c>
      <c r="H65" s="167">
        <f>ROUND(G65*F65,0)</f>
        <v>19221000</v>
      </c>
      <c r="I65" s="168">
        <v>5766300</v>
      </c>
      <c r="J65" s="169">
        <f>ROUND($F65*ROUND(I65,0),0)</f>
        <v>17298900</v>
      </c>
      <c r="K65" s="206" t="str">
        <f>+IF(I65&gt;0,IF(OR(I65&gt;$G65,ROUND(I65,0)&gt;$G65),"NO VÁLIDA","VÁLIDA"),"NO VÁLIDA")</f>
        <v>VÁLIDA</v>
      </c>
      <c r="L65" s="168">
        <v>5941324</v>
      </c>
      <c r="M65" s="169">
        <f>ROUND($F65*ROUND(L65,0),0)</f>
        <v>17823972</v>
      </c>
      <c r="N65" s="372" t="str">
        <f>+IF(L65&gt;0,IF(OR(L65&gt;$G65,ROUND(L65,0)&gt;$G65),"NO VÁLIDA","VÁLIDA"),"NO VÁLIDA")</f>
        <v>VÁLIDA</v>
      </c>
      <c r="O65" s="168">
        <v>6086650</v>
      </c>
      <c r="P65" s="169">
        <f>ROUND($F65*ROUND(O65,0),0)</f>
        <v>18259950</v>
      </c>
      <c r="Q65" s="372" t="str">
        <f>+IF(O65&gt;0,IF(OR(O65&gt;$G65,ROUND(O65,0)&gt;$G65),"NO VÁLIDA","VÁLIDA"),"NO VÁLIDA")</f>
        <v>VÁLIDA</v>
      </c>
      <c r="R65" s="168">
        <v>6022580</v>
      </c>
      <c r="S65" s="169">
        <f>ROUND($F65*ROUND(R65,0),0)</f>
        <v>18067740</v>
      </c>
      <c r="T65" s="372" t="str">
        <f>+IF(R65&gt;0,IF(OR(R65&gt;$G65,ROUND(R65,0)&gt;$G65),"NO VÁLIDA","VÁLIDA"),"NO VÁLIDA")</f>
        <v>VÁLIDA</v>
      </c>
      <c r="U65" s="168">
        <v>5785521</v>
      </c>
      <c r="V65" s="169">
        <f>ROUND($F65*ROUND(U65,0),0)</f>
        <v>17356563</v>
      </c>
      <c r="W65" s="372" t="str">
        <f>+IF(U65&gt;0,IF(OR(U65&gt;$G65,ROUND(U65,0)&gt;$G65),"NO VÁLIDA","VÁLIDA"),"NO VÁLIDA")</f>
        <v>VÁLIDA</v>
      </c>
      <c r="X65" s="168">
        <v>5666485</v>
      </c>
      <c r="Y65" s="169">
        <f>ROUND($F65*ROUND(X65,0),0)</f>
        <v>16999455</v>
      </c>
      <c r="Z65" s="372" t="str">
        <f>+IF(X65&gt;0,IF(OR(X65&gt;$G65,ROUND(X65,0)&gt;$G65),"NO VÁLIDA","VÁLIDA"),"NO VÁLIDA")</f>
        <v>VÁLIDA</v>
      </c>
      <c r="AA65" s="168">
        <v>6030766</v>
      </c>
      <c r="AB65" s="169">
        <f>ROUND($F65*ROUND(AA65,0),0)</f>
        <v>18092298</v>
      </c>
      <c r="AC65" s="372" t="str">
        <f>+IF(AA65&gt;0,IF(OR(AA65&gt;$G65,ROUND(AA65,0)&gt;$G65),"NO VÁLIDA","VÁLIDA"),"NO VÁLIDA")</f>
        <v>VÁLIDA</v>
      </c>
      <c r="AD65" s="168">
        <v>5832292</v>
      </c>
      <c r="AE65" s="169">
        <f>ROUND($F65*ROUND(AD65,0),0)</f>
        <v>17496876</v>
      </c>
      <c r="AF65" s="372" t="str">
        <f>+IF(AD65&gt;0,IF(OR(AD65&gt;$G65,ROUND(AD65,0)&gt;$G65),"NO VÁLIDA","VÁLIDA"),"NO VÁLIDA")</f>
        <v>VÁLIDA</v>
      </c>
    </row>
    <row r="66" spans="2:32" ht="40.5" customHeight="1" thickBot="1">
      <c r="B66" s="162">
        <v>25</v>
      </c>
      <c r="C66" s="163"/>
      <c r="D66" s="164" t="s">
        <v>225</v>
      </c>
      <c r="E66" s="163" t="s">
        <v>196</v>
      </c>
      <c r="F66" s="165">
        <v>4</v>
      </c>
      <c r="G66" s="166">
        <v>6407000</v>
      </c>
      <c r="H66" s="167">
        <f>ROUND(G66*F66,0)</f>
        <v>25628000</v>
      </c>
      <c r="I66" s="168">
        <v>5766300</v>
      </c>
      <c r="J66" s="169">
        <f>ROUND($F66*ROUND(I66,0),0)</f>
        <v>23065200</v>
      </c>
      <c r="K66" s="206" t="str">
        <f>+IF(I66&gt;0,IF(OR(I66&gt;$G66,ROUND(I66,0)&gt;$G66),"NO VÁLIDA","VÁLIDA"),"NO VÁLIDA")</f>
        <v>VÁLIDA</v>
      </c>
      <c r="L66" s="168">
        <v>5939791</v>
      </c>
      <c r="M66" s="169">
        <f>ROUND($F66*ROUND(L66,0),0)</f>
        <v>23759164</v>
      </c>
      <c r="N66" s="372" t="str">
        <f>+IF(L66&gt;0,IF(OR(L66&gt;$G66,ROUND(L66,0)&gt;$G66),"NO VÁLIDA","VÁLIDA"),"NO VÁLIDA")</f>
        <v>VÁLIDA</v>
      </c>
      <c r="O66" s="168">
        <v>6086650</v>
      </c>
      <c r="P66" s="169">
        <f>ROUND($F66*ROUND(O66,0),0)</f>
        <v>24346600</v>
      </c>
      <c r="Q66" s="372" t="str">
        <f>+IF(O66&gt;0,IF(OR(O66&gt;$G66,ROUND(O66,0)&gt;$G66),"NO VÁLIDA","VÁLIDA"),"NO VÁLIDA")</f>
        <v>VÁLIDA</v>
      </c>
      <c r="R66" s="168">
        <v>6022580</v>
      </c>
      <c r="S66" s="169">
        <f>ROUND($F66*ROUND(R66,0),0)</f>
        <v>24090320</v>
      </c>
      <c r="T66" s="372" t="str">
        <f>+IF(R66&gt;0,IF(OR(R66&gt;$G66,ROUND(R66,0)&gt;$G66),"NO VÁLIDA","VÁLIDA"),"NO VÁLIDA")</f>
        <v>VÁLIDA</v>
      </c>
      <c r="U66" s="168">
        <v>5785521</v>
      </c>
      <c r="V66" s="169">
        <f>ROUND($F66*ROUND(U66,0),0)</f>
        <v>23142084</v>
      </c>
      <c r="W66" s="372" t="str">
        <f>+IF(U66&gt;0,IF(OR(U66&gt;$G66,ROUND(U66,0)&gt;$G66),"NO VÁLIDA","VÁLIDA"),"NO VÁLIDA")</f>
        <v>VÁLIDA</v>
      </c>
      <c r="X66" s="168">
        <v>5666485</v>
      </c>
      <c r="Y66" s="169">
        <f>ROUND($F66*ROUND(X66,0),0)</f>
        <v>22665940</v>
      </c>
      <c r="Z66" s="372" t="str">
        <f>+IF(X66&gt;0,IF(OR(X66&gt;$G66,ROUND(X66,0)&gt;$G66),"NO VÁLIDA","VÁLIDA"),"NO VÁLIDA")</f>
        <v>VÁLIDA</v>
      </c>
      <c r="AA66" s="168">
        <v>6030766</v>
      </c>
      <c r="AB66" s="169">
        <f>ROUND($F66*ROUND(AA66,0),0)</f>
        <v>24123064</v>
      </c>
      <c r="AC66" s="372" t="str">
        <f>+IF(AA66&gt;0,IF(OR(AA66&gt;$G66,ROUND(AA66,0)&gt;$G66),"NO VÁLIDA","VÁLIDA"),"NO VÁLIDA")</f>
        <v>VÁLIDA</v>
      </c>
      <c r="AD66" s="168">
        <v>5832292</v>
      </c>
      <c r="AE66" s="169">
        <f>ROUND($F66*ROUND(AD66,0),0)</f>
        <v>23329168</v>
      </c>
      <c r="AF66" s="372" t="str">
        <f>+IF(AD66&gt;0,IF(OR(AD66&gt;$G66,ROUND(AD66,0)&gt;$G66),"NO VÁLIDA","VÁLIDA"),"NO VÁLIDA")</f>
        <v>VÁLIDA</v>
      </c>
    </row>
    <row r="67" spans="2:32" ht="30.6" customHeight="1" thickBot="1">
      <c r="B67" s="336"/>
      <c r="C67" s="337"/>
      <c r="D67" s="338"/>
      <c r="E67" s="337"/>
      <c r="F67" s="339"/>
      <c r="G67" s="340" t="s">
        <v>124</v>
      </c>
      <c r="H67" s="341">
        <f>SUM(H37,H49,H52,H58,H63)</f>
        <v>600044000</v>
      </c>
      <c r="I67" s="170"/>
      <c r="J67" s="321">
        <f>SUM(J37,J49,J52,J58,J63)</f>
        <v>540039600</v>
      </c>
      <c r="K67" s="207"/>
      <c r="L67" s="170"/>
      <c r="M67" s="321">
        <f>SUM(M37,M49,M52,M58,M63)</f>
        <v>554487704</v>
      </c>
      <c r="N67" s="373"/>
      <c r="O67" s="170"/>
      <c r="P67" s="321">
        <f>SUM(P37,P49,P52,P58,P63)</f>
        <v>585529650</v>
      </c>
      <c r="Q67" s="373"/>
      <c r="R67" s="170"/>
      <c r="S67" s="321">
        <f>SUM(S37,S49,S52,S58,S63)</f>
        <v>564041360</v>
      </c>
      <c r="T67" s="373"/>
      <c r="U67" s="170"/>
      <c r="V67" s="321">
        <f>SUM(V37,V49,V52,V58,V63)</f>
        <v>541839732</v>
      </c>
      <c r="W67" s="373"/>
      <c r="X67" s="170"/>
      <c r="Y67" s="321">
        <f>SUM(Y37,Y49,Y52,Y58,Y63)</f>
        <v>530920102</v>
      </c>
      <c r="Z67" s="373"/>
      <c r="AA67" s="170"/>
      <c r="AB67" s="321">
        <f>SUM(AB37,AB49,AB52,AB58,AB63)</f>
        <v>564808056</v>
      </c>
      <c r="AC67" s="373"/>
      <c r="AD67" s="170"/>
      <c r="AE67" s="321">
        <f>SUM(AE37,AE49,AE52,AE58,AE63)</f>
        <v>550621192</v>
      </c>
      <c r="AF67" s="373"/>
    </row>
    <row r="68" spans="2:32" ht="30.6" customHeight="1" thickBot="1">
      <c r="B68" s="336"/>
      <c r="C68" s="337"/>
      <c r="D68" s="338"/>
      <c r="E68" s="337"/>
      <c r="F68" s="339"/>
      <c r="G68" s="340" t="s">
        <v>226</v>
      </c>
      <c r="H68" s="341">
        <v>12</v>
      </c>
      <c r="I68" s="281" t="s">
        <v>100</v>
      </c>
      <c r="J68" s="321">
        <v>12</v>
      </c>
      <c r="K68" s="282" t="str">
        <f>+IF(J68&gt;0,IF(J68&lt;&gt;$H68,"NO VÁLIDA","VÁLIDA"),"NO VÁLIDA")</f>
        <v>VÁLIDA</v>
      </c>
      <c r="L68" s="281" t="s">
        <v>100</v>
      </c>
      <c r="M68" s="321">
        <v>12</v>
      </c>
      <c r="N68" s="282" t="str">
        <f>+IF(M68&gt;0,IF(M68&lt;&gt;$H68,"NO VÁLIDA","VÁLIDA"),"NO VÁLIDA")</f>
        <v>VÁLIDA</v>
      </c>
      <c r="O68" s="281" t="s">
        <v>100</v>
      </c>
      <c r="P68" s="321">
        <v>12</v>
      </c>
      <c r="Q68" s="282" t="str">
        <f>+IF(P68&gt;0,IF(P68&lt;&gt;$H68,"NO VÁLIDA","VÁLIDA"),"NO VÁLIDA")</f>
        <v>VÁLIDA</v>
      </c>
      <c r="R68" s="170"/>
      <c r="S68" s="321">
        <v>12</v>
      </c>
      <c r="T68" s="373" t="str">
        <f>+IF(S68&gt;0,IF(S68&lt;&gt;$H68,"NO VÁLIDA","VÁLIDA"),"NO VÁLIDA")</f>
        <v>VÁLIDA</v>
      </c>
      <c r="U68" s="170"/>
      <c r="V68" s="321">
        <v>12</v>
      </c>
      <c r="W68" s="373" t="str">
        <f>+IF(V68&gt;0,IF(V68&lt;&gt;$H68,"NO VÁLIDA","VÁLIDA"),"NO VÁLIDA")</f>
        <v>VÁLIDA</v>
      </c>
      <c r="X68" s="170"/>
      <c r="Y68" s="321">
        <v>12</v>
      </c>
      <c r="Z68" s="373" t="str">
        <f>+IF(Y68&gt;0,IF(Y68&lt;&gt;$H68,"NO VÁLIDA","VÁLIDA"),"NO VÁLIDA")</f>
        <v>VÁLIDA</v>
      </c>
      <c r="AA68" s="170"/>
      <c r="AB68" s="321">
        <v>12</v>
      </c>
      <c r="AC68" s="373" t="str">
        <f>+IF(AB68&gt;0,IF(AB68&lt;&gt;$H68,"NO VÁLIDA","VÁLIDA"),"NO VÁLIDA")</f>
        <v>VÁLIDA</v>
      </c>
      <c r="AD68" s="170"/>
      <c r="AE68" s="321">
        <v>12</v>
      </c>
      <c r="AF68" s="373" t="str">
        <f>+IF(AE68&gt;0,IF(AE68&lt;&gt;$H68,"NO VÁLIDA","VÁLIDA"),"NO VÁLIDA")</f>
        <v>VÁLIDA</v>
      </c>
    </row>
    <row r="69" spans="2:32" ht="30.6" customHeight="1" thickBot="1">
      <c r="B69" s="336"/>
      <c r="C69" s="337"/>
      <c r="D69" s="338"/>
      <c r="E69" s="337"/>
      <c r="F69" s="339"/>
      <c r="G69" s="340" t="s">
        <v>227</v>
      </c>
      <c r="H69" s="341">
        <f>+H67*H68</f>
        <v>7200528000</v>
      </c>
      <c r="I69" s="170"/>
      <c r="J69" s="321">
        <f>+J67*J68</f>
        <v>6480475200</v>
      </c>
      <c r="K69" s="207"/>
      <c r="L69" s="170"/>
      <c r="M69" s="321">
        <f>+M67*M68</f>
        <v>6653852448</v>
      </c>
      <c r="N69" s="373"/>
      <c r="O69" s="170"/>
      <c r="P69" s="321">
        <f>+P67*P68</f>
        <v>7026355800</v>
      </c>
      <c r="Q69" s="373"/>
      <c r="R69" s="170"/>
      <c r="S69" s="321">
        <f>+S67*S68</f>
        <v>6768496320</v>
      </c>
      <c r="T69" s="373"/>
      <c r="U69" s="170"/>
      <c r="V69" s="321">
        <f>+V67*V68</f>
        <v>6502076784</v>
      </c>
      <c r="W69" s="373"/>
      <c r="X69" s="170"/>
      <c r="Y69" s="321">
        <f>+Y67*Y68</f>
        <v>6371041224</v>
      </c>
      <c r="Z69" s="373"/>
      <c r="AA69" s="170"/>
      <c r="AB69" s="321">
        <f>+AB67*AB68</f>
        <v>6777696672</v>
      </c>
      <c r="AC69" s="373"/>
      <c r="AD69" s="170"/>
      <c r="AE69" s="321">
        <f>+AE67*AE68</f>
        <v>6607454304</v>
      </c>
      <c r="AF69" s="373"/>
    </row>
    <row r="70" spans="2:32" ht="30.6" customHeight="1" thickBot="1">
      <c r="B70" s="336"/>
      <c r="C70" s="337"/>
      <c r="D70" s="338"/>
      <c r="E70" s="337"/>
      <c r="F70" s="339"/>
      <c r="G70" s="340" t="s">
        <v>228</v>
      </c>
      <c r="H70" s="341">
        <v>2</v>
      </c>
      <c r="I70" s="281" t="s">
        <v>100</v>
      </c>
      <c r="J70" s="321">
        <v>2</v>
      </c>
      <c r="K70" s="282" t="str">
        <f>+IF(J70&gt;0,IF(J70&lt;&gt;$H70,"NO VÁLIDA","VÁLIDA"),"NO VÁLIDA")</f>
        <v>VÁLIDA</v>
      </c>
      <c r="L70" s="281" t="s">
        <v>100</v>
      </c>
      <c r="M70" s="321">
        <v>2</v>
      </c>
      <c r="N70" s="282" t="str">
        <f>+IF(M70&gt;0,IF(M70&lt;&gt;$H70,"NO VÁLIDA","VÁLIDA"),"NO VÁLIDA")</f>
        <v>VÁLIDA</v>
      </c>
      <c r="O70" s="281" t="s">
        <v>100</v>
      </c>
      <c r="P70" s="321">
        <v>2</v>
      </c>
      <c r="Q70" s="282" t="str">
        <f>+IF(P70&gt;0,IF(P70&lt;&gt;$H70,"NO VÁLIDA","VÁLIDA"),"NO VÁLIDA")</f>
        <v>VÁLIDA</v>
      </c>
      <c r="R70" s="170"/>
      <c r="S70" s="321">
        <v>2</v>
      </c>
      <c r="T70" s="373" t="str">
        <f>+IF(S70&gt;0,IF(S70&lt;&gt;$H70,"NO VÁLIDA","VÁLIDA"),"NO VÁLIDA")</f>
        <v>VÁLIDA</v>
      </c>
      <c r="U70" s="170"/>
      <c r="V70" s="321">
        <v>2</v>
      </c>
      <c r="W70" s="373" t="str">
        <f>+IF(V70&gt;0,IF(V70&lt;&gt;$H70,"NO VÁLIDA","VÁLIDA"),"NO VÁLIDA")</f>
        <v>VÁLIDA</v>
      </c>
      <c r="X70" s="170"/>
      <c r="Y70" s="321">
        <v>2</v>
      </c>
      <c r="Z70" s="373" t="str">
        <f>+IF(Y70&gt;0,IF(Y70&lt;&gt;$H70,"NO VÁLIDA","VÁLIDA"),"NO VÁLIDA")</f>
        <v>VÁLIDA</v>
      </c>
      <c r="AA70" s="170"/>
      <c r="AB70" s="321">
        <v>2</v>
      </c>
      <c r="AC70" s="373" t="str">
        <f>+IF(AB70&gt;0,IF(AB70&lt;&gt;$H70,"NO VÁLIDA","VÁLIDA"),"NO VÁLIDA")</f>
        <v>VÁLIDA</v>
      </c>
      <c r="AD70" s="170"/>
      <c r="AE70" s="321">
        <v>2</v>
      </c>
      <c r="AF70" s="373" t="str">
        <f>+IF(AE70&gt;0,IF(AE70&lt;&gt;$H70,"NO VÁLIDA","VÁLIDA"),"NO VÁLIDA")</f>
        <v>VÁLIDA</v>
      </c>
    </row>
    <row r="71" spans="2:32" ht="30.6" customHeight="1" thickBot="1">
      <c r="B71" s="336"/>
      <c r="C71" s="337"/>
      <c r="D71" s="338"/>
      <c r="E71" s="337"/>
      <c r="F71" s="339"/>
      <c r="G71" s="340" t="s">
        <v>229</v>
      </c>
      <c r="H71" s="341">
        <f>+H69*H70</f>
        <v>14401056000</v>
      </c>
      <c r="I71" s="170"/>
      <c r="J71" s="321">
        <f>+J69*J70</f>
        <v>12960950400</v>
      </c>
      <c r="K71" s="207"/>
      <c r="L71" s="170"/>
      <c r="M71" s="321">
        <f>+M69*M70</f>
        <v>13307704896</v>
      </c>
      <c r="N71" s="373"/>
      <c r="O71" s="170"/>
      <c r="P71" s="321">
        <f>+P69*P70</f>
        <v>14052711600</v>
      </c>
      <c r="Q71" s="373"/>
      <c r="R71" s="170"/>
      <c r="S71" s="321">
        <f>+S69*S70</f>
        <v>13536992640</v>
      </c>
      <c r="T71" s="373"/>
      <c r="U71" s="170"/>
      <c r="V71" s="321">
        <f>+V69*V70</f>
        <v>13004153568</v>
      </c>
      <c r="W71" s="373"/>
      <c r="X71" s="170"/>
      <c r="Y71" s="321">
        <f>+Y69*Y70</f>
        <v>12742082448</v>
      </c>
      <c r="Z71" s="373"/>
      <c r="AA71" s="170"/>
      <c r="AB71" s="321">
        <f>+AB69*AB70</f>
        <v>13555393344</v>
      </c>
      <c r="AC71" s="373"/>
      <c r="AD71" s="170"/>
      <c r="AE71" s="321">
        <f>+AE69*AE70</f>
        <v>13214908608</v>
      </c>
      <c r="AF71" s="373"/>
    </row>
    <row r="72" spans="2:32" ht="30.6" customHeight="1" thickBot="1">
      <c r="B72" s="457" t="s">
        <v>232</v>
      </c>
      <c r="C72" s="458"/>
      <c r="D72" s="458"/>
      <c r="E72" s="458"/>
      <c r="F72" s="458"/>
      <c r="G72" s="458"/>
      <c r="H72" s="459"/>
      <c r="I72" s="446"/>
      <c r="J72" s="447"/>
      <c r="K72" s="447"/>
      <c r="L72" s="446"/>
      <c r="M72" s="447"/>
      <c r="N72" s="448"/>
      <c r="O72" s="446"/>
      <c r="P72" s="447"/>
      <c r="Q72" s="448"/>
      <c r="R72" s="446"/>
      <c r="S72" s="447"/>
      <c r="T72" s="448"/>
      <c r="U72" s="446"/>
      <c r="V72" s="447"/>
      <c r="W72" s="448"/>
      <c r="X72" s="446"/>
      <c r="Y72" s="447"/>
      <c r="Z72" s="448"/>
      <c r="AA72" s="446"/>
      <c r="AB72" s="447"/>
      <c r="AC72" s="448"/>
      <c r="AD72" s="446"/>
      <c r="AE72" s="447"/>
      <c r="AF72" s="448"/>
    </row>
    <row r="73" spans="2:32" ht="36" customHeight="1" thickBot="1">
      <c r="B73" s="160" t="s">
        <v>12</v>
      </c>
      <c r="C73" s="161" t="s">
        <v>15</v>
      </c>
      <c r="D73" s="126" t="s">
        <v>108</v>
      </c>
      <c r="E73" s="126" t="s">
        <v>1</v>
      </c>
      <c r="F73" s="127" t="s">
        <v>8</v>
      </c>
      <c r="G73" s="126" t="s">
        <v>2</v>
      </c>
      <c r="H73" s="128" t="s">
        <v>42</v>
      </c>
      <c r="I73" s="129" t="s">
        <v>2</v>
      </c>
      <c r="J73" s="126" t="s">
        <v>3</v>
      </c>
      <c r="K73" s="205" t="s">
        <v>4</v>
      </c>
      <c r="L73" s="129" t="s">
        <v>2</v>
      </c>
      <c r="M73" s="126" t="s">
        <v>3</v>
      </c>
      <c r="N73" s="370" t="s">
        <v>4</v>
      </c>
      <c r="O73" s="129" t="s">
        <v>2</v>
      </c>
      <c r="P73" s="126" t="s">
        <v>3</v>
      </c>
      <c r="Q73" s="370" t="s">
        <v>4</v>
      </c>
      <c r="R73" s="129" t="s">
        <v>2</v>
      </c>
      <c r="S73" s="126" t="s">
        <v>3</v>
      </c>
      <c r="T73" s="370" t="s">
        <v>4</v>
      </c>
      <c r="U73" s="129" t="s">
        <v>2</v>
      </c>
      <c r="V73" s="126" t="s">
        <v>3</v>
      </c>
      <c r="W73" s="370" t="s">
        <v>4</v>
      </c>
      <c r="X73" s="129" t="s">
        <v>2</v>
      </c>
      <c r="Y73" s="126" t="s">
        <v>3</v>
      </c>
      <c r="Z73" s="370" t="s">
        <v>4</v>
      </c>
      <c r="AA73" s="129" t="s">
        <v>2</v>
      </c>
      <c r="AB73" s="126" t="s">
        <v>3</v>
      </c>
      <c r="AC73" s="370" t="s">
        <v>4</v>
      </c>
      <c r="AD73" s="129" t="s">
        <v>2</v>
      </c>
      <c r="AE73" s="126" t="s">
        <v>3</v>
      </c>
      <c r="AF73" s="370" t="s">
        <v>4</v>
      </c>
    </row>
    <row r="74" spans="2:32" ht="20.25" customHeight="1">
      <c r="B74" s="332" t="s">
        <v>241</v>
      </c>
      <c r="C74" s="333"/>
      <c r="D74" s="333"/>
      <c r="E74" s="333"/>
      <c r="F74" s="334"/>
      <c r="G74" s="333"/>
      <c r="H74" s="335">
        <f>SUM(H75:H75)</f>
        <v>29358000</v>
      </c>
      <c r="I74" s="347"/>
      <c r="J74" s="348">
        <f>SUM(J75:J75)</f>
        <v>27890100</v>
      </c>
      <c r="K74" s="349"/>
      <c r="L74" s="347"/>
      <c r="M74" s="348">
        <f>SUM(M75:M75)</f>
        <v>27319656</v>
      </c>
      <c r="N74" s="371"/>
      <c r="O74" s="347"/>
      <c r="P74" s="348">
        <f>SUM(P75:P75)</f>
        <v>26422200</v>
      </c>
      <c r="Q74" s="371"/>
      <c r="R74" s="347"/>
      <c r="S74" s="348">
        <f>SUM(S75:S75)</f>
        <v>29358000</v>
      </c>
      <c r="T74" s="371"/>
      <c r="U74" s="347"/>
      <c r="V74" s="348">
        <f>SUM(V75:V75)</f>
        <v>28140000</v>
      </c>
      <c r="W74" s="371"/>
      <c r="X74" s="347"/>
      <c r="Y74" s="348">
        <f>SUM(Y75:Y75)</f>
        <v>29358000</v>
      </c>
      <c r="Z74" s="371"/>
      <c r="AA74" s="347"/>
      <c r="AB74" s="348">
        <f>SUM(AB75:AB75)</f>
        <v>27634026</v>
      </c>
      <c r="AC74" s="371"/>
      <c r="AD74" s="347"/>
      <c r="AE74" s="348">
        <f>SUM(AE75:AE75)</f>
        <v>26724600</v>
      </c>
      <c r="AF74" s="371"/>
    </row>
    <row r="75" spans="2:32" ht="75.75" customHeight="1" thickBot="1">
      <c r="B75" s="162">
        <v>1</v>
      </c>
      <c r="C75" s="163"/>
      <c r="D75" s="164" t="s">
        <v>233</v>
      </c>
      <c r="E75" s="163" t="s">
        <v>183</v>
      </c>
      <c r="F75" s="165">
        <v>42</v>
      </c>
      <c r="G75" s="166">
        <v>699000</v>
      </c>
      <c r="H75" s="167">
        <f>ROUND(G75*F75,0)</f>
        <v>29358000</v>
      </c>
      <c r="I75" s="168">
        <v>664050</v>
      </c>
      <c r="J75" s="169">
        <f>ROUND($F75*ROUND(I75,0),0)</f>
        <v>27890100</v>
      </c>
      <c r="K75" s="206" t="str">
        <f>+IF(I75&gt;0,IF(OR(I75&gt;$G75,ROUND(I75,0)&gt;$G75),"NO VÁLIDA","VÁLIDA"),"NO VÁLIDA")</f>
        <v>VÁLIDA</v>
      </c>
      <c r="L75" s="168">
        <v>650468</v>
      </c>
      <c r="M75" s="169">
        <f>ROUND($F75*ROUND(L75,0),0)</f>
        <v>27319656</v>
      </c>
      <c r="N75" s="372" t="str">
        <f>+IF(L75&gt;0,IF(OR(L75&gt;$G75,ROUND(L75,0)&gt;$G75),"NO VÁLIDA","VÁLIDA"),"NO VÁLIDA")</f>
        <v>VÁLIDA</v>
      </c>
      <c r="O75" s="168">
        <v>629100</v>
      </c>
      <c r="P75" s="169">
        <f>ROUND($F75*ROUND(O75,0),0)</f>
        <v>26422200</v>
      </c>
      <c r="Q75" s="372" t="str">
        <f>+IF(O75&gt;0,IF(OR(O75&gt;$G75,ROUND(O75,0)&gt;$G75),"NO VÁLIDA","VÁLIDA"),"NO VÁLIDA")</f>
        <v>VÁLIDA</v>
      </c>
      <c r="R75" s="168">
        <v>699000</v>
      </c>
      <c r="S75" s="169">
        <f>ROUND($F75*ROUND(R75,0),0)</f>
        <v>29358000</v>
      </c>
      <c r="T75" s="372" t="str">
        <f>+IF(R75&gt;0,IF(OR(R75&gt;$G75,ROUND(R75,0)&gt;$G75),"NO VÁLIDA","VÁLIDA"),"NO VÁLIDA")</f>
        <v>VÁLIDA</v>
      </c>
      <c r="U75" s="168">
        <v>670000</v>
      </c>
      <c r="V75" s="169">
        <f>ROUND($F75*ROUND(U75,0),0)</f>
        <v>28140000</v>
      </c>
      <c r="W75" s="372" t="str">
        <f>+IF(U75&gt;0,IF(OR(U75&gt;$G75,ROUND(U75,0)&gt;$G75),"NO VÁLIDA","VÁLIDA"),"NO VÁLIDA")</f>
        <v>VÁLIDA</v>
      </c>
      <c r="X75" s="168">
        <v>699000</v>
      </c>
      <c r="Y75" s="169">
        <f>ROUND($F75*ROUND(X75,0),0)</f>
        <v>29358000</v>
      </c>
      <c r="Z75" s="372" t="str">
        <f>+IF(X75&gt;0,IF(OR(X75&gt;$G75,ROUND(X75,0)&gt;$G75),"NO VÁLIDA","VÁLIDA"),"NO VÁLIDA")</f>
        <v>VÁLIDA</v>
      </c>
      <c r="AA75" s="168">
        <v>657953</v>
      </c>
      <c r="AB75" s="169">
        <f>ROUND($F75*ROUND(AA75,0),0)</f>
        <v>27634026</v>
      </c>
      <c r="AC75" s="372" t="str">
        <f>+IF(AA75&gt;0,IF(OR(AA75&gt;$G75,ROUND(AA75,0)&gt;$G75),"NO VÁLIDA","VÁLIDA"),"NO VÁLIDA")</f>
        <v>VÁLIDA</v>
      </c>
      <c r="AD75" s="168">
        <v>636300</v>
      </c>
      <c r="AE75" s="169">
        <f>ROUND($F75*ROUND(AD75,0),0)</f>
        <v>26724600</v>
      </c>
      <c r="AF75" s="372" t="str">
        <f>+IF(AD75&gt;0,IF(OR(AD75&gt;$G75,ROUND(AD75,0)&gt;$G75),"NO VÁLIDA","VÁLIDA"),"NO VÁLIDA")</f>
        <v>VÁLIDA</v>
      </c>
    </row>
    <row r="76" spans="2:32" ht="22.5" customHeight="1">
      <c r="B76" s="332" t="s">
        <v>242</v>
      </c>
      <c r="C76" s="333"/>
      <c r="D76" s="333"/>
      <c r="E76" s="333"/>
      <c r="F76" s="334"/>
      <c r="G76" s="333"/>
      <c r="H76" s="335">
        <f>SUM(H77:H77)</f>
        <v>244145000</v>
      </c>
      <c r="I76" s="347"/>
      <c r="J76" s="348">
        <f>SUM(J77:J77)</f>
        <v>231937750</v>
      </c>
      <c r="K76" s="349"/>
      <c r="L76" s="347"/>
      <c r="M76" s="348">
        <f>SUM(M77:M77)</f>
        <v>227176923</v>
      </c>
      <c r="N76" s="371"/>
      <c r="O76" s="347"/>
      <c r="P76" s="348">
        <f>SUM(P77:P77)</f>
        <v>219730500</v>
      </c>
      <c r="Q76" s="371"/>
      <c r="R76" s="347"/>
      <c r="S76" s="348">
        <f>SUM(S77:S77)</f>
        <v>244145000</v>
      </c>
      <c r="T76" s="371"/>
      <c r="U76" s="347"/>
      <c r="V76" s="348">
        <f>SUM(V77:V77)</f>
        <v>239694549</v>
      </c>
      <c r="W76" s="371"/>
      <c r="X76" s="347"/>
      <c r="Y76" s="348">
        <f>SUM(Y77:Y77)</f>
        <v>240000000</v>
      </c>
      <c r="Z76" s="371"/>
      <c r="AA76" s="347"/>
      <c r="AB76" s="348">
        <f>SUM(AB77:AB77)</f>
        <v>229808244</v>
      </c>
      <c r="AC76" s="371"/>
      <c r="AD76" s="347"/>
      <c r="AE76" s="348">
        <f>SUM(AE77:AE77)</f>
        <v>244145000</v>
      </c>
      <c r="AF76" s="371"/>
    </row>
    <row r="77" spans="2:32" ht="30.6" customHeight="1" thickBot="1">
      <c r="B77" s="162">
        <v>2</v>
      </c>
      <c r="C77" s="163"/>
      <c r="D77" s="164" t="s">
        <v>234</v>
      </c>
      <c r="E77" s="163" t="s">
        <v>235</v>
      </c>
      <c r="F77" s="165">
        <v>1</v>
      </c>
      <c r="G77" s="166">
        <v>244145000</v>
      </c>
      <c r="H77" s="167">
        <f>ROUND(G77*F77,0)</f>
        <v>244145000</v>
      </c>
      <c r="I77" s="168">
        <v>231937750</v>
      </c>
      <c r="J77" s="169">
        <f>ROUND($F77*ROUND(I77,0),0)</f>
        <v>231937750</v>
      </c>
      <c r="K77" s="206" t="str">
        <f>+IF(I77&gt;0,IF(OR(I77&gt;$G77,ROUND(I77,0)&gt;$G77),"NO VÁLIDA","VÁLIDA"),"NO VÁLIDA")</f>
        <v>VÁLIDA</v>
      </c>
      <c r="L77" s="168">
        <v>227176923</v>
      </c>
      <c r="M77" s="169">
        <f>ROUND($F77*ROUND(L77,0),0)</f>
        <v>227176923</v>
      </c>
      <c r="N77" s="372" t="str">
        <f>+IF(L77&gt;0,IF(OR(L77&gt;$G77,ROUND(L77,0)&gt;$G77),"NO VÁLIDA","VÁLIDA"),"NO VÁLIDA")</f>
        <v>VÁLIDA</v>
      </c>
      <c r="O77" s="168">
        <v>219730500</v>
      </c>
      <c r="P77" s="169">
        <f>ROUND($F77*ROUND(O77,0),0)</f>
        <v>219730500</v>
      </c>
      <c r="Q77" s="372" t="str">
        <f>+IF(O77&gt;0,IF(OR(O77&gt;$G77,ROUND(O77,0)&gt;$G77),"NO VÁLIDA","VÁLIDA"),"NO VÁLIDA")</f>
        <v>VÁLIDA</v>
      </c>
      <c r="R77" s="168">
        <v>244145000</v>
      </c>
      <c r="S77" s="169">
        <f>ROUND($F77*ROUND(R77,0),0)</f>
        <v>244145000</v>
      </c>
      <c r="T77" s="372" t="str">
        <f>+IF(R77&gt;0,IF(OR(R77&gt;$G77,ROUND(R77,0)&gt;$G77),"NO VÁLIDA","VÁLIDA"),"NO VÁLIDA")</f>
        <v>VÁLIDA</v>
      </c>
      <c r="U77" s="168">
        <v>239694549.12000006</v>
      </c>
      <c r="V77" s="169">
        <f>ROUND($F77*ROUND(U77,0),0)</f>
        <v>239694549</v>
      </c>
      <c r="W77" s="372" t="str">
        <f>+IF(U77&gt;0,IF(OR(U77&gt;$G77,ROUND(U77,0)&gt;$G77),"NO VÁLIDA","VÁLIDA"),"NO VÁLIDA")</f>
        <v>VÁLIDA</v>
      </c>
      <c r="X77" s="168">
        <v>240000000</v>
      </c>
      <c r="Y77" s="169">
        <f>ROUND($F77*ROUND(X77,0),0)</f>
        <v>240000000</v>
      </c>
      <c r="Z77" s="372" t="str">
        <f>+IF(X77&gt;0,IF(OR(X77&gt;$G77,ROUND(X77,0)&gt;$G77),"NO VÁLIDA","VÁLIDA"),"NO VÁLIDA")</f>
        <v>VÁLIDA</v>
      </c>
      <c r="AA77" s="168">
        <v>229808244</v>
      </c>
      <c r="AB77" s="169">
        <f>ROUND($F77*ROUND(AA77,0),0)</f>
        <v>229808244</v>
      </c>
      <c r="AC77" s="372" t="str">
        <f>+IF(AA77&gt;0,IF(OR(AA77&gt;$G77,ROUND(AA77,0)&gt;$G77),"NO VÁLIDA","VÁLIDA"),"NO VÁLIDA")</f>
        <v>VÁLIDA</v>
      </c>
      <c r="AD77" s="168">
        <v>244145000</v>
      </c>
      <c r="AE77" s="169">
        <f>ROUND($F77*ROUND(AD77,0),0)</f>
        <v>244145000</v>
      </c>
      <c r="AF77" s="372" t="str">
        <f>+IF(AD77&gt;0,IF(OR(AD77&gt;$G77,ROUND(AD77,0)&gt;$G77),"NO VÁLIDA","VÁLIDA"),"NO VÁLIDA")</f>
        <v>VÁLIDA</v>
      </c>
    </row>
    <row r="78" spans="2:32" ht="22.5" customHeight="1">
      <c r="B78" s="332" t="s">
        <v>243</v>
      </c>
      <c r="C78" s="333"/>
      <c r="D78" s="333"/>
      <c r="E78" s="333"/>
      <c r="F78" s="334"/>
      <c r="G78" s="333"/>
      <c r="H78" s="335">
        <f>SUM(H79:H79)</f>
        <v>35583000</v>
      </c>
      <c r="I78" s="347"/>
      <c r="J78" s="348">
        <f>SUM(J79:J79)</f>
        <v>33803850</v>
      </c>
      <c r="K78" s="349"/>
      <c r="L78" s="347"/>
      <c r="M78" s="348">
        <f>SUM(M79:M79)</f>
        <v>33003726</v>
      </c>
      <c r="N78" s="371"/>
      <c r="O78" s="347"/>
      <c r="P78" s="348">
        <f>SUM(P79:P79)</f>
        <v>32024700</v>
      </c>
      <c r="Q78" s="371"/>
      <c r="R78" s="347"/>
      <c r="S78" s="348">
        <f>SUM(S79:S79)</f>
        <v>35583000</v>
      </c>
      <c r="T78" s="371"/>
      <c r="U78" s="347"/>
      <c r="V78" s="348">
        <f>SUM(V79:V79)</f>
        <v>32131449</v>
      </c>
      <c r="W78" s="371"/>
      <c r="X78" s="347"/>
      <c r="Y78" s="348">
        <f>SUM(Y79:Y79)</f>
        <v>35583000</v>
      </c>
      <c r="Z78" s="371"/>
      <c r="AA78" s="347"/>
      <c r="AB78" s="348">
        <f>SUM(AB79:AB79)</f>
        <v>33493482</v>
      </c>
      <c r="AC78" s="371"/>
      <c r="AD78" s="347"/>
      <c r="AE78" s="348">
        <f>SUM(AE79:AE79)</f>
        <v>32391204</v>
      </c>
      <c r="AF78" s="371"/>
    </row>
    <row r="79" spans="2:32" ht="30.6" customHeight="1" thickBot="1">
      <c r="B79" s="162">
        <v>3</v>
      </c>
      <c r="C79" s="163"/>
      <c r="D79" s="164" t="s">
        <v>236</v>
      </c>
      <c r="E79" s="163" t="s">
        <v>237</v>
      </c>
      <c r="F79" s="165">
        <v>6</v>
      </c>
      <c r="G79" s="166">
        <v>5930500</v>
      </c>
      <c r="H79" s="167">
        <f>ROUND(G79*F79,0)</f>
        <v>35583000</v>
      </c>
      <c r="I79" s="168">
        <v>5633975</v>
      </c>
      <c r="J79" s="169">
        <f>ROUND($F79*ROUND(I79,0),0)</f>
        <v>33803850</v>
      </c>
      <c r="K79" s="206" t="str">
        <f>+IF(I79&gt;0,IF(OR(I79&gt;$G79,ROUND(I79,0)&gt;$G79),"NO VÁLIDA","VÁLIDA"),"NO VÁLIDA")</f>
        <v>VÁLIDA</v>
      </c>
      <c r="L79" s="168">
        <v>5500621</v>
      </c>
      <c r="M79" s="169">
        <f>ROUND($F79*ROUND(L79,0),0)</f>
        <v>33003726</v>
      </c>
      <c r="N79" s="372" t="str">
        <f>+IF(L79&gt;0,IF(OR(L79&gt;$G79,ROUND(L79,0)&gt;$G79),"NO VÁLIDA","VÁLIDA"),"NO VÁLIDA")</f>
        <v>VÁLIDA</v>
      </c>
      <c r="O79" s="168">
        <v>5337450</v>
      </c>
      <c r="P79" s="169">
        <f>ROUND($F79*ROUND(O79,0),0)</f>
        <v>32024700</v>
      </c>
      <c r="Q79" s="372" t="str">
        <f>+IF(O79&gt;0,IF(OR(O79&gt;$G79,ROUND(O79,0)&gt;$G79),"NO VÁLIDA","VÁLIDA"),"NO VÁLIDA")</f>
        <v>VÁLIDA</v>
      </c>
      <c r="R79" s="168">
        <v>5930500</v>
      </c>
      <c r="S79" s="169">
        <f>ROUND($F79*ROUND(R79,0),0)</f>
        <v>35583000</v>
      </c>
      <c r="T79" s="372" t="str">
        <f>+IF(R79&gt;0,IF(OR(R79&gt;$G79,ROUND(R79,0)&gt;$G79),"NO VÁLIDA","VÁLIDA"),"NO VÁLIDA")</f>
        <v>VÁLIDA</v>
      </c>
      <c r="U79" s="168">
        <v>5355241.5</v>
      </c>
      <c r="V79" s="169">
        <f>ROUND($F79*U79,0)</f>
        <v>32131449</v>
      </c>
      <c r="W79" s="372" t="str">
        <f>+IF(U79&gt;0,IF(OR(U79&gt;$G79,ROUND(U79,0)&gt;$G79),"NO VÁLIDA","VÁLIDA"),"NO VÁLIDA")</f>
        <v>VÁLIDA</v>
      </c>
      <c r="X79" s="168">
        <v>5930500</v>
      </c>
      <c r="Y79" s="169">
        <f>ROUND($F79*ROUND(X79,0),0)</f>
        <v>35583000</v>
      </c>
      <c r="Z79" s="372" t="str">
        <f>+IF(X79&gt;0,IF(OR(X79&gt;$G79,ROUND(X79,0)&gt;$G79),"NO VÁLIDA","VÁLIDA"),"NO VÁLIDA")</f>
        <v>VÁLIDA</v>
      </c>
      <c r="AA79" s="168">
        <v>5582247</v>
      </c>
      <c r="AB79" s="169">
        <f>ROUND($F79*ROUND(AA79,0),0)</f>
        <v>33493482</v>
      </c>
      <c r="AC79" s="372" t="str">
        <f>+IF(AA79&gt;0,IF(OR(AA79&gt;$G79,ROUND(AA79,0)&gt;$G79),"NO VÁLIDA","VÁLIDA"),"NO VÁLIDA")</f>
        <v>VÁLIDA</v>
      </c>
      <c r="AD79" s="168">
        <v>5398534</v>
      </c>
      <c r="AE79" s="169">
        <f>ROUND($F79*ROUND(AD79,0),0)</f>
        <v>32391204</v>
      </c>
      <c r="AF79" s="372" t="str">
        <f>+IF(AD79&gt;0,IF(OR(AD79&gt;$G79,ROUND(AD79,0)&gt;$G79),"NO VÁLIDA","VÁLIDA"),"NO VÁLIDA")</f>
        <v>VÁLIDA</v>
      </c>
    </row>
    <row r="80" spans="2:32" ht="22.5" customHeight="1">
      <c r="B80" s="332" t="s">
        <v>244</v>
      </c>
      <c r="C80" s="333"/>
      <c r="D80" s="333"/>
      <c r="E80" s="333"/>
      <c r="F80" s="334"/>
      <c r="G80" s="333"/>
      <c r="H80" s="335">
        <f>SUM(H81:H83)</f>
        <v>22679000</v>
      </c>
      <c r="I80" s="347"/>
      <c r="J80" s="348">
        <f>SUM(J81:J83)</f>
        <v>21545050</v>
      </c>
      <c r="K80" s="349"/>
      <c r="L80" s="347"/>
      <c r="M80" s="348">
        <f>SUM(M81:M83)</f>
        <v>21042716</v>
      </c>
      <c r="N80" s="371"/>
      <c r="O80" s="347"/>
      <c r="P80" s="348">
        <f>SUM(P81:P83)</f>
        <v>20411100</v>
      </c>
      <c r="Q80" s="371"/>
      <c r="R80" s="347"/>
      <c r="S80" s="348">
        <f>SUM(S81:S83)</f>
        <v>22679000</v>
      </c>
      <c r="T80" s="371"/>
      <c r="U80" s="347"/>
      <c r="V80" s="348">
        <f>SUM(V81:V83)</f>
        <v>20479137</v>
      </c>
      <c r="W80" s="371"/>
      <c r="X80" s="347"/>
      <c r="Y80" s="348">
        <f>SUM(Y81:Y83)</f>
        <v>22679000</v>
      </c>
      <c r="Z80" s="371"/>
      <c r="AA80" s="347"/>
      <c r="AB80" s="348">
        <f>SUM(AB81:AB83)</f>
        <v>21347236</v>
      </c>
      <c r="AC80" s="371"/>
      <c r="AD80" s="347"/>
      <c r="AE80" s="348">
        <f>SUM(AE81:AE83)</f>
        <v>20644694</v>
      </c>
      <c r="AF80" s="371"/>
    </row>
    <row r="81" spans="2:32" ht="30.6" customHeight="1">
      <c r="B81" s="162">
        <v>4</v>
      </c>
      <c r="C81" s="163"/>
      <c r="D81" s="164" t="s">
        <v>238</v>
      </c>
      <c r="E81" s="163" t="s">
        <v>196</v>
      </c>
      <c r="F81" s="165">
        <v>1</v>
      </c>
      <c r="G81" s="166">
        <v>12000000</v>
      </c>
      <c r="H81" s="167">
        <f>ROUND(G81*F81,0)</f>
        <v>12000000</v>
      </c>
      <c r="I81" s="168">
        <v>11400000</v>
      </c>
      <c r="J81" s="169">
        <f>ROUND($F81*ROUND(I81,0),0)</f>
        <v>11400000</v>
      </c>
      <c r="K81" s="206" t="str">
        <f>+IF(I81&gt;0,IF(OR(I81&gt;$G81,ROUND(I81,0)&gt;$G81),"NO VÁLIDA","VÁLIDA"),"NO VÁLIDA")</f>
        <v>VÁLIDA</v>
      </c>
      <c r="L81" s="168">
        <v>11136000</v>
      </c>
      <c r="M81" s="169">
        <f>ROUND($F81*ROUND(L81,0),0)</f>
        <v>11136000</v>
      </c>
      <c r="N81" s="372" t="str">
        <f>+IF(L81&gt;0,IF(OR(L81&gt;$G81,ROUND(L81,0)&gt;$G81),"NO VÁLIDA","VÁLIDA"),"NO VÁLIDA")</f>
        <v>VÁLIDA</v>
      </c>
      <c r="O81" s="168">
        <v>10800000</v>
      </c>
      <c r="P81" s="169">
        <f>ROUND($F81*ROUND(O81,0),0)</f>
        <v>10800000</v>
      </c>
      <c r="Q81" s="372" t="str">
        <f>+IF(O81&gt;0,IF(OR(O81&gt;$G81,ROUND(O81,0)&gt;$G81),"NO VÁLIDA","VÁLIDA"),"NO VÁLIDA")</f>
        <v>VÁLIDA</v>
      </c>
      <c r="R81" s="168">
        <v>12000000</v>
      </c>
      <c r="S81" s="169">
        <f>ROUND($F81*ROUND(R81,0),0)</f>
        <v>12000000</v>
      </c>
      <c r="T81" s="372" t="str">
        <f>+IF(R81&gt;0,IF(OR(R81&gt;$G81,ROUND(R81,0)&gt;$G81),"NO VÁLIDA","VÁLIDA"),"NO VÁLIDA")</f>
        <v>VÁLIDA</v>
      </c>
      <c r="U81" s="168">
        <v>10836000</v>
      </c>
      <c r="V81" s="169">
        <f>ROUND($F81*ROUND(U81,0),0)</f>
        <v>10836000</v>
      </c>
      <c r="W81" s="372" t="str">
        <f>+IF(U81&gt;0,IF(OR(U81&gt;$G81,ROUND(U81,0)&gt;$G81),"NO VÁLIDA","VÁLIDA"),"NO VÁLIDA")</f>
        <v>VÁLIDA</v>
      </c>
      <c r="X81" s="168">
        <v>12000000</v>
      </c>
      <c r="Y81" s="169">
        <f>ROUND($F81*ROUND(X81,0),0)</f>
        <v>12000000</v>
      </c>
      <c r="Z81" s="372" t="str">
        <f>+IF(X81&gt;0,IF(OR(X81&gt;$G81,ROUND(X81,0)&gt;$G81),"NO VÁLIDA","VÁLIDA"),"NO VÁLIDA")</f>
        <v>VÁLIDA</v>
      </c>
      <c r="AA81" s="168">
        <v>11295332</v>
      </c>
      <c r="AB81" s="169">
        <f>ROUND($F81*ROUND(AA81,0),0)</f>
        <v>11295332</v>
      </c>
      <c r="AC81" s="372" t="str">
        <f>+IF(AA81&gt;0,IF(OR(AA81&gt;$G81,ROUND(AA81,0)&gt;$G81),"NO VÁLIDA","VÁLIDA"),"NO VÁLIDA")</f>
        <v>VÁLIDA</v>
      </c>
      <c r="AD81" s="168">
        <v>10923600</v>
      </c>
      <c r="AE81" s="169">
        <f>ROUND($F81*ROUND(AD81,0),0)</f>
        <v>10923600</v>
      </c>
      <c r="AF81" s="372" t="str">
        <f>+IF(AD81&gt;0,IF(OR(AD81&gt;$G81,ROUND(AD81,0)&gt;$G81),"NO VÁLIDA","VÁLIDA"),"NO VÁLIDA")</f>
        <v>VÁLIDA</v>
      </c>
    </row>
    <row r="82" spans="2:32" ht="30.6" customHeight="1">
      <c r="B82" s="162">
        <v>5</v>
      </c>
      <c r="C82" s="163"/>
      <c r="D82" s="164" t="s">
        <v>239</v>
      </c>
      <c r="E82" s="163" t="s">
        <v>196</v>
      </c>
      <c r="F82" s="165">
        <v>1</v>
      </c>
      <c r="G82" s="166">
        <v>5500000</v>
      </c>
      <c r="H82" s="167">
        <f>ROUND(G82*F82,0)</f>
        <v>5500000</v>
      </c>
      <c r="I82" s="168">
        <v>5225000</v>
      </c>
      <c r="J82" s="169">
        <f>ROUND($F82*ROUND(I82,0),0)</f>
        <v>5225000</v>
      </c>
      <c r="K82" s="206" t="str">
        <f>+IF(I82&gt;0,IF(OR(I82&gt;$G82,ROUND(I82,0)&gt;$G82),"NO VÁLIDA","VÁLIDA"),"NO VÁLIDA")</f>
        <v>VÁLIDA</v>
      </c>
      <c r="L82" s="168">
        <v>5099050</v>
      </c>
      <c r="M82" s="169">
        <f>ROUND($F82*ROUND(L82,0),0)</f>
        <v>5099050</v>
      </c>
      <c r="N82" s="372" t="str">
        <f>+IF(L82&gt;0,IF(OR(L82&gt;$G82,ROUND(L82,0)&gt;$G82),"NO VÁLIDA","VÁLIDA"),"NO VÁLIDA")</f>
        <v>VÁLIDA</v>
      </c>
      <c r="O82" s="168">
        <v>4950000</v>
      </c>
      <c r="P82" s="169">
        <f>ROUND($F82*ROUND(O82,0),0)</f>
        <v>4950000</v>
      </c>
      <c r="Q82" s="372" t="str">
        <f>+IF(O82&gt;0,IF(OR(O82&gt;$G82,ROUND(O82,0)&gt;$G82),"NO VÁLIDA","VÁLIDA"),"NO VÁLIDA")</f>
        <v>VÁLIDA</v>
      </c>
      <c r="R82" s="168">
        <v>5500000</v>
      </c>
      <c r="S82" s="169">
        <f>ROUND($F82*ROUND(R82,0),0)</f>
        <v>5500000</v>
      </c>
      <c r="T82" s="372" t="str">
        <f>+IF(R82&gt;0,IF(OR(R82&gt;$G82,ROUND(R82,0)&gt;$G82),"NO VÁLIDA","VÁLIDA"),"NO VÁLIDA")</f>
        <v>VÁLIDA</v>
      </c>
      <c r="U82" s="168">
        <v>4966500</v>
      </c>
      <c r="V82" s="169">
        <f>ROUND($F82*ROUND(U82,0),0)</f>
        <v>4966500</v>
      </c>
      <c r="W82" s="372" t="str">
        <f>+IF(U82&gt;0,IF(OR(U82&gt;$G82,ROUND(U82,0)&gt;$G82),"NO VÁLIDA","VÁLIDA"),"NO VÁLIDA")</f>
        <v>VÁLIDA</v>
      </c>
      <c r="X82" s="168">
        <v>5500000</v>
      </c>
      <c r="Y82" s="169">
        <f>ROUND($F82*ROUND(X82,0),0)</f>
        <v>5500000</v>
      </c>
      <c r="Z82" s="372" t="str">
        <f>+IF(X82&gt;0,IF(OR(X82&gt;$G82,ROUND(X82,0)&gt;$G82),"NO VÁLIDA","VÁLIDA"),"NO VÁLIDA")</f>
        <v>VÁLIDA</v>
      </c>
      <c r="AA82" s="168">
        <v>5177027</v>
      </c>
      <c r="AB82" s="169">
        <f>ROUND($F82*ROUND(AA82,0),0)</f>
        <v>5177027</v>
      </c>
      <c r="AC82" s="372" t="str">
        <f>+IF(AA82&gt;0,IF(OR(AA82&gt;$G82,ROUND(AA82,0)&gt;$G82),"NO VÁLIDA","VÁLIDA"),"NO VÁLIDA")</f>
        <v>VÁLIDA</v>
      </c>
      <c r="AD82" s="168">
        <v>5006650</v>
      </c>
      <c r="AE82" s="169">
        <f>ROUND($F82*ROUND(AD82,0),0)</f>
        <v>5006650</v>
      </c>
      <c r="AF82" s="372" t="str">
        <f>+IF(AD82&gt;0,IF(OR(AD82&gt;$G82,ROUND(AD82,0)&gt;$G82),"NO VÁLIDA","VÁLIDA"),"NO VÁLIDA")</f>
        <v>VÁLIDA</v>
      </c>
    </row>
    <row r="83" spans="2:32" ht="30.6" customHeight="1" thickBot="1">
      <c r="B83" s="162">
        <v>6</v>
      </c>
      <c r="C83" s="163"/>
      <c r="D83" s="164" t="s">
        <v>240</v>
      </c>
      <c r="E83" s="163" t="s">
        <v>196</v>
      </c>
      <c r="F83" s="165">
        <v>1</v>
      </c>
      <c r="G83" s="166">
        <v>5179000</v>
      </c>
      <c r="H83" s="167">
        <f>ROUND(G83*F83,0)</f>
        <v>5179000</v>
      </c>
      <c r="I83" s="168">
        <v>4920050</v>
      </c>
      <c r="J83" s="169">
        <f>ROUND($F83*ROUND(I83,0),0)</f>
        <v>4920050</v>
      </c>
      <c r="K83" s="206" t="str">
        <f>+IF(I83&gt;0,IF(OR(I83&gt;$G83,ROUND(I83,0)&gt;$G83),"NO VÁLIDA","VÁLIDA"),"NO VÁLIDA")</f>
        <v>VÁLIDA</v>
      </c>
      <c r="L83" s="168">
        <v>4807666</v>
      </c>
      <c r="M83" s="169">
        <f>ROUND($F83*ROUND(L83,0),0)</f>
        <v>4807666</v>
      </c>
      <c r="N83" s="372" t="str">
        <f>+IF(L83&gt;0,IF(OR(L83&gt;$G83,ROUND(L83,0)&gt;$G83),"NO VÁLIDA","VÁLIDA"),"NO VÁLIDA")</f>
        <v>VÁLIDA</v>
      </c>
      <c r="O83" s="168">
        <v>4661100</v>
      </c>
      <c r="P83" s="169">
        <f>ROUND($F83*ROUND(O83,0),0)</f>
        <v>4661100</v>
      </c>
      <c r="Q83" s="372" t="str">
        <f>+IF(O83&gt;0,IF(OR(O83&gt;$G83,ROUND(O83,0)&gt;$G83),"NO VÁLIDA","VÁLIDA"),"NO VÁLIDA")</f>
        <v>VÁLIDA</v>
      </c>
      <c r="R83" s="168">
        <v>5179000</v>
      </c>
      <c r="S83" s="169">
        <f>ROUND($F83*ROUND(R83,0),0)</f>
        <v>5179000</v>
      </c>
      <c r="T83" s="372" t="str">
        <f>+IF(R83&gt;0,IF(OR(R83&gt;$G83,ROUND(R83,0)&gt;$G83),"NO VÁLIDA","VÁLIDA"),"NO VÁLIDA")</f>
        <v>VÁLIDA</v>
      </c>
      <c r="U83" s="168">
        <v>4676637</v>
      </c>
      <c r="V83" s="169">
        <f>ROUND($F83*ROUND(U83,0),0)</f>
        <v>4676637</v>
      </c>
      <c r="W83" s="372" t="str">
        <f>+IF(U83&gt;0,IF(OR(U83&gt;$G83,ROUND(U83,0)&gt;$G83),"NO VÁLIDA","VÁLIDA"),"NO VÁLIDA")</f>
        <v>VÁLIDA</v>
      </c>
      <c r="X83" s="168">
        <v>5179000</v>
      </c>
      <c r="Y83" s="169">
        <f>ROUND($F83*ROUND(X83,0),0)</f>
        <v>5179000</v>
      </c>
      <c r="Z83" s="372" t="str">
        <f>+IF(X83&gt;0,IF(OR(X83&gt;$G83,ROUND(X83,0)&gt;$G83),"NO VÁLIDA","VÁLIDA"),"NO VÁLIDA")</f>
        <v>VÁLIDA</v>
      </c>
      <c r="AA83" s="168">
        <v>4874877</v>
      </c>
      <c r="AB83" s="169">
        <f>ROUND($F83*ROUND(AA83,0),0)</f>
        <v>4874877</v>
      </c>
      <c r="AC83" s="372" t="str">
        <f>+IF(AA83&gt;0,IF(OR(AA83&gt;$G83,ROUND(AA83,0)&gt;$G83),"NO VÁLIDA","VÁLIDA"),"NO VÁLIDA")</f>
        <v>VÁLIDA</v>
      </c>
      <c r="AD83" s="168">
        <v>4714443.7</v>
      </c>
      <c r="AE83" s="169">
        <f>ROUND($F83*ROUND(AD83,0),0)</f>
        <v>4714444</v>
      </c>
      <c r="AF83" s="372" t="str">
        <f>+IF(AD83&gt;0,IF(OR(AD83&gt;$G83,ROUND(AD83,0)&gt;$G83),"NO VÁLIDA","VÁLIDA"),"NO VÁLIDA")</f>
        <v>VÁLIDA</v>
      </c>
    </row>
    <row r="84" spans="2:32" ht="30.6" customHeight="1" thickBot="1">
      <c r="B84" s="336"/>
      <c r="C84" s="337"/>
      <c r="D84" s="338"/>
      <c r="E84" s="337"/>
      <c r="F84" s="339"/>
      <c r="G84" s="340" t="s">
        <v>245</v>
      </c>
      <c r="H84" s="341">
        <f>SUM(H74,H76,H78,H80)</f>
        <v>331765000</v>
      </c>
      <c r="I84" s="170"/>
      <c r="J84" s="321">
        <f>SUM(J74,J76,J78,J80)</f>
        <v>315176750</v>
      </c>
      <c r="K84" s="207"/>
      <c r="L84" s="170"/>
      <c r="M84" s="321">
        <f>SUM(M74,M76,M78,M80)</f>
        <v>308543021</v>
      </c>
      <c r="N84" s="373"/>
      <c r="O84" s="170"/>
      <c r="P84" s="321">
        <f>SUM(P74,P76,P78,P80)</f>
        <v>298588500</v>
      </c>
      <c r="Q84" s="373"/>
      <c r="R84" s="170"/>
      <c r="S84" s="321">
        <f>SUM(S74,S76,S78,S80)</f>
        <v>331765000</v>
      </c>
      <c r="T84" s="373"/>
      <c r="U84" s="170"/>
      <c r="V84" s="321">
        <f>SUM(V74,V76,V78,V80)</f>
        <v>320445135</v>
      </c>
      <c r="W84" s="373"/>
      <c r="X84" s="170"/>
      <c r="Y84" s="321">
        <f>SUM(Y74,Y76,Y78,Y80)</f>
        <v>327620000</v>
      </c>
      <c r="Z84" s="373"/>
      <c r="AA84" s="170"/>
      <c r="AB84" s="321">
        <f>SUM(AB74,AB76,AB78,AB80)</f>
        <v>312282988</v>
      </c>
      <c r="AC84" s="373"/>
      <c r="AD84" s="170"/>
      <c r="AE84" s="321">
        <f>SUM(AE74,AE76,AE78,AE80)</f>
        <v>323905498</v>
      </c>
      <c r="AF84" s="373"/>
    </row>
    <row r="85" spans="2:32" ht="30.6" customHeight="1" thickBot="1">
      <c r="B85" s="336"/>
      <c r="C85" s="337"/>
      <c r="D85" s="338"/>
      <c r="E85" s="337"/>
      <c r="F85" s="339"/>
      <c r="G85" s="340" t="s">
        <v>246</v>
      </c>
      <c r="H85" s="341">
        <v>12</v>
      </c>
      <c r="I85" s="281" t="s">
        <v>100</v>
      </c>
      <c r="J85" s="321">
        <v>12</v>
      </c>
      <c r="K85" s="282" t="str">
        <f>+IF(J85&gt;0,IF(J85&lt;&gt;$H85,"NO VÁLIDA","VÁLIDA"),"NO VÁLIDA")</f>
        <v>VÁLIDA</v>
      </c>
      <c r="L85" s="281" t="s">
        <v>100</v>
      </c>
      <c r="M85" s="321">
        <v>12</v>
      </c>
      <c r="N85" s="282" t="str">
        <f>+IF(M85&gt;0,IF(M85&lt;&gt;$H85,"NO VÁLIDA","VÁLIDA"),"NO VÁLIDA")</f>
        <v>VÁLIDA</v>
      </c>
      <c r="O85" s="281" t="s">
        <v>100</v>
      </c>
      <c r="P85" s="321">
        <v>12</v>
      </c>
      <c r="Q85" s="282" t="str">
        <f>+IF(P85&gt;0,IF(P85&lt;&gt;$H85,"NO VÁLIDA","VÁLIDA"),"NO VÁLIDA")</f>
        <v>VÁLIDA</v>
      </c>
      <c r="R85" s="170"/>
      <c r="S85" s="321">
        <v>12</v>
      </c>
      <c r="T85" s="373" t="str">
        <f>+IF(S85&gt;0,IF(S85&lt;&gt;$H85,"NO VÁLIDA","VÁLIDA"),"NO VÁLIDA")</f>
        <v>VÁLIDA</v>
      </c>
      <c r="U85" s="170"/>
      <c r="V85" s="321">
        <v>12</v>
      </c>
      <c r="W85" s="373" t="str">
        <f>+IF(V85&gt;0,IF(V85&lt;&gt;$H85,"NO VÁLIDA","VÁLIDA"),"NO VÁLIDA")</f>
        <v>VÁLIDA</v>
      </c>
      <c r="X85" s="170"/>
      <c r="Y85" s="321">
        <v>12</v>
      </c>
      <c r="Z85" s="373" t="str">
        <f>+IF(Y85&gt;0,IF(Y85&lt;&gt;$H85,"NO VÁLIDA","VÁLIDA"),"NO VÁLIDA")</f>
        <v>VÁLIDA</v>
      </c>
      <c r="AA85" s="170"/>
      <c r="AB85" s="321">
        <v>12</v>
      </c>
      <c r="AC85" s="373" t="str">
        <f>+IF(AB85&gt;0,IF(AB85&lt;&gt;$H85,"NO VÁLIDA","VÁLIDA"),"NO VÁLIDA")</f>
        <v>VÁLIDA</v>
      </c>
      <c r="AD85" s="170"/>
      <c r="AE85" s="321">
        <v>12</v>
      </c>
      <c r="AF85" s="373" t="str">
        <f>+IF(AE85&gt;0,IF(AE85&lt;&gt;$H85,"NO VÁLIDA","VÁLIDA"),"NO VÁLIDA")</f>
        <v>VÁLIDA</v>
      </c>
    </row>
    <row r="86" spans="2:32" ht="30.6" customHeight="1" thickBot="1">
      <c r="B86" s="336"/>
      <c r="C86" s="337"/>
      <c r="D86" s="338"/>
      <c r="E86" s="337"/>
      <c r="F86" s="339"/>
      <c r="G86" s="340" t="s">
        <v>247</v>
      </c>
      <c r="H86" s="341">
        <f>+H84*H85</f>
        <v>3981180000</v>
      </c>
      <c r="I86" s="170"/>
      <c r="J86" s="321">
        <f>+J84*J85</f>
        <v>3782121000</v>
      </c>
      <c r="K86" s="207"/>
      <c r="L86" s="170"/>
      <c r="M86" s="321">
        <f>+M84*M85</f>
        <v>3702516252</v>
      </c>
      <c r="N86" s="373"/>
      <c r="O86" s="170"/>
      <c r="P86" s="321">
        <f>+P84*P85</f>
        <v>3583062000</v>
      </c>
      <c r="Q86" s="373"/>
      <c r="R86" s="170"/>
      <c r="S86" s="321">
        <f>+S84*S85</f>
        <v>3981180000</v>
      </c>
      <c r="T86" s="373"/>
      <c r="U86" s="170"/>
      <c r="V86" s="321">
        <f>+V84*V85</f>
        <v>3845341620</v>
      </c>
      <c r="W86" s="373"/>
      <c r="X86" s="170"/>
      <c r="Y86" s="321">
        <f>+Y84*Y85</f>
        <v>3931440000</v>
      </c>
      <c r="Z86" s="373"/>
      <c r="AA86" s="170"/>
      <c r="AB86" s="321">
        <f>+AB84*AB85</f>
        <v>3747395856</v>
      </c>
      <c r="AC86" s="373"/>
      <c r="AD86" s="170"/>
      <c r="AE86" s="321">
        <f>+AE84*AE85</f>
        <v>3886865976</v>
      </c>
      <c r="AF86" s="373"/>
    </row>
    <row r="87" spans="2:32" ht="30.6" customHeight="1" thickBot="1">
      <c r="B87" s="457"/>
      <c r="C87" s="458"/>
      <c r="D87" s="458"/>
      <c r="E87" s="458"/>
      <c r="F87" s="458"/>
      <c r="G87" s="458"/>
      <c r="H87" s="459"/>
      <c r="I87" s="446"/>
      <c r="J87" s="447"/>
      <c r="K87" s="447"/>
      <c r="L87" s="446"/>
      <c r="M87" s="447"/>
      <c r="N87" s="448"/>
      <c r="O87" s="446"/>
      <c r="P87" s="447"/>
      <c r="Q87" s="448"/>
      <c r="R87" s="446"/>
      <c r="S87" s="447"/>
      <c r="T87" s="448"/>
      <c r="U87" s="446"/>
      <c r="V87" s="447"/>
      <c r="W87" s="448"/>
      <c r="X87" s="446"/>
      <c r="Y87" s="447"/>
      <c r="Z87" s="448"/>
      <c r="AA87" s="446"/>
      <c r="AB87" s="447"/>
      <c r="AC87" s="448"/>
      <c r="AD87" s="446"/>
      <c r="AE87" s="447"/>
      <c r="AF87" s="448"/>
    </row>
    <row r="88" spans="2:32" ht="36" customHeight="1" thickBot="1">
      <c r="B88" s="160" t="s">
        <v>12</v>
      </c>
      <c r="C88" s="161" t="s">
        <v>15</v>
      </c>
      <c r="D88" s="126" t="s">
        <v>108</v>
      </c>
      <c r="E88" s="126" t="s">
        <v>1</v>
      </c>
      <c r="F88" s="127" t="s">
        <v>8</v>
      </c>
      <c r="G88" s="126" t="s">
        <v>2</v>
      </c>
      <c r="H88" s="128" t="s">
        <v>42</v>
      </c>
      <c r="I88" s="129" t="s">
        <v>2</v>
      </c>
      <c r="J88" s="126" t="s">
        <v>3</v>
      </c>
      <c r="K88" s="205" t="s">
        <v>4</v>
      </c>
      <c r="L88" s="129" t="s">
        <v>2</v>
      </c>
      <c r="M88" s="126" t="s">
        <v>3</v>
      </c>
      <c r="N88" s="370" t="s">
        <v>4</v>
      </c>
      <c r="O88" s="129" t="s">
        <v>2</v>
      </c>
      <c r="P88" s="126" t="s">
        <v>3</v>
      </c>
      <c r="Q88" s="370" t="s">
        <v>4</v>
      </c>
      <c r="R88" s="129" t="s">
        <v>2</v>
      </c>
      <c r="S88" s="126" t="s">
        <v>3</v>
      </c>
      <c r="T88" s="370" t="s">
        <v>4</v>
      </c>
      <c r="U88" s="129" t="s">
        <v>2</v>
      </c>
      <c r="V88" s="126" t="s">
        <v>3</v>
      </c>
      <c r="W88" s="370" t="s">
        <v>4</v>
      </c>
      <c r="X88" s="129" t="s">
        <v>2</v>
      </c>
      <c r="Y88" s="126" t="s">
        <v>3</v>
      </c>
      <c r="Z88" s="370" t="s">
        <v>4</v>
      </c>
      <c r="AA88" s="129" t="s">
        <v>2</v>
      </c>
      <c r="AB88" s="126" t="s">
        <v>3</v>
      </c>
      <c r="AC88" s="370" t="s">
        <v>4</v>
      </c>
      <c r="AD88" s="129" t="s">
        <v>2</v>
      </c>
      <c r="AE88" s="126" t="s">
        <v>3</v>
      </c>
      <c r="AF88" s="370" t="s">
        <v>4</v>
      </c>
    </row>
    <row r="89" spans="2:32" ht="20.25" customHeight="1">
      <c r="B89" s="332" t="s">
        <v>248</v>
      </c>
      <c r="C89" s="333"/>
      <c r="D89" s="333"/>
      <c r="E89" s="333"/>
      <c r="F89" s="334"/>
      <c r="G89" s="333"/>
      <c r="H89" s="335">
        <f>+H90+H91</f>
        <v>933000000</v>
      </c>
      <c r="I89" s="347"/>
      <c r="J89" s="348">
        <f>+J90+J91</f>
        <v>933000000</v>
      </c>
      <c r="K89" s="349"/>
      <c r="L89" s="347"/>
      <c r="M89" s="348">
        <f>+M90+M91</f>
        <v>933000000</v>
      </c>
      <c r="N89" s="371"/>
      <c r="O89" s="347"/>
      <c r="P89" s="348">
        <f>+P90+P91</f>
        <v>933000000</v>
      </c>
      <c r="Q89" s="371"/>
      <c r="R89" s="347"/>
      <c r="S89" s="348">
        <f>+S90+S91</f>
        <v>933000000</v>
      </c>
      <c r="T89" s="371"/>
      <c r="U89" s="347"/>
      <c r="V89" s="348">
        <f>+V90+V91</f>
        <v>933000000</v>
      </c>
      <c r="W89" s="371"/>
      <c r="X89" s="347"/>
      <c r="Y89" s="348">
        <f>+Y90+Y91</f>
        <v>933000000</v>
      </c>
      <c r="Z89" s="371"/>
      <c r="AA89" s="347"/>
      <c r="AB89" s="348">
        <f>+AB90+AB91</f>
        <v>933000000</v>
      </c>
      <c r="AC89" s="371"/>
      <c r="AD89" s="347"/>
      <c r="AE89" s="348">
        <f>+AE90+AE91</f>
        <v>933000000</v>
      </c>
      <c r="AF89" s="371"/>
    </row>
    <row r="90" spans="2:32" ht="38.25">
      <c r="B90" s="162">
        <v>1</v>
      </c>
      <c r="C90" s="163"/>
      <c r="D90" s="164" t="s">
        <v>252</v>
      </c>
      <c r="E90" s="163" t="s">
        <v>253</v>
      </c>
      <c r="F90" s="165">
        <v>1</v>
      </c>
      <c r="G90" s="166">
        <v>626000000</v>
      </c>
      <c r="H90" s="167">
        <f>ROUND(G90*F90,0)</f>
        <v>626000000</v>
      </c>
      <c r="I90" s="281" t="s">
        <v>100</v>
      </c>
      <c r="J90" s="169">
        <v>626000000</v>
      </c>
      <c r="K90" s="282" t="str">
        <f>+IF(J90&gt;0,IF(J90&lt;&gt;$H90,"NO VÁLIDA","VÁLIDA"),"NO VÁLIDA")</f>
        <v>VÁLIDA</v>
      </c>
      <c r="L90" s="281" t="s">
        <v>100</v>
      </c>
      <c r="M90" s="169">
        <v>626000000</v>
      </c>
      <c r="N90" s="372" t="str">
        <f>+IF(M90&gt;0,IF(M90&lt;&gt;$H90,"NO VÁLIDA","VÁLIDA"),"NO VÁLIDA")</f>
        <v>VÁLIDA</v>
      </c>
      <c r="O90" s="281" t="s">
        <v>100</v>
      </c>
      <c r="P90" s="169">
        <v>626000000</v>
      </c>
      <c r="Q90" s="372" t="str">
        <f>+IF(P90&gt;0,IF(P90&lt;&gt;$H90,"NO VÁLIDA","VÁLIDA"),"NO VÁLIDA")</f>
        <v>VÁLIDA</v>
      </c>
      <c r="R90" s="281" t="s">
        <v>100</v>
      </c>
      <c r="S90" s="169">
        <v>626000000</v>
      </c>
      <c r="T90" s="372" t="str">
        <f>+IF(S90&gt;0,IF(S90&lt;&gt;$H90,"NO VÁLIDA","VÁLIDA"),"NO VÁLIDA")</f>
        <v>VÁLIDA</v>
      </c>
      <c r="U90" s="281" t="s">
        <v>100</v>
      </c>
      <c r="V90" s="169">
        <v>626000000</v>
      </c>
      <c r="W90" s="372" t="str">
        <f>+IF(V90&gt;0,IF(V90&lt;&gt;$H90,"NO VÁLIDA","VÁLIDA"),"NO VÁLIDA")</f>
        <v>VÁLIDA</v>
      </c>
      <c r="X90" s="281" t="s">
        <v>100</v>
      </c>
      <c r="Y90" s="169">
        <v>626000000</v>
      </c>
      <c r="Z90" s="372" t="str">
        <f>+IF(Y90&gt;0,IF(Y90&lt;&gt;$H90,"NO VÁLIDA","VÁLIDA"),"NO VÁLIDA")</f>
        <v>VÁLIDA</v>
      </c>
      <c r="AA90" s="281" t="s">
        <v>100</v>
      </c>
      <c r="AB90" s="169">
        <v>626000000</v>
      </c>
      <c r="AC90" s="372" t="str">
        <f>+IF(AB90&gt;0,IF(AB90&lt;&gt;$H90,"NO VÁLIDA","VÁLIDA"),"NO VÁLIDA")</f>
        <v>VÁLIDA</v>
      </c>
      <c r="AD90" s="281" t="s">
        <v>100</v>
      </c>
      <c r="AE90" s="169">
        <v>626000000</v>
      </c>
      <c r="AF90" s="372" t="str">
        <f>+IF(AE90&gt;0,IF(AE90&lt;&gt;$H90,"NO VÁLIDA","VÁLIDA"),"NO VÁLIDA")</f>
        <v>VÁLIDA</v>
      </c>
    </row>
    <row r="91" spans="2:32" ht="39" thickBot="1">
      <c r="B91" s="162">
        <v>2</v>
      </c>
      <c r="C91" s="163"/>
      <c r="D91" s="164" t="s">
        <v>254</v>
      </c>
      <c r="E91" s="163" t="s">
        <v>253</v>
      </c>
      <c r="F91" s="165">
        <v>1</v>
      </c>
      <c r="G91" s="166">
        <v>307000000</v>
      </c>
      <c r="H91" s="167">
        <f>ROUND(G91*F91,0)</f>
        <v>307000000</v>
      </c>
      <c r="I91" s="281" t="s">
        <v>100</v>
      </c>
      <c r="J91" s="169">
        <v>307000000</v>
      </c>
      <c r="K91" s="282" t="str">
        <f>+IF(J91&gt;0,IF(J91&lt;&gt;$H91,"NO VÁLIDA","VÁLIDA"),"NO VÁLIDA")</f>
        <v>VÁLIDA</v>
      </c>
      <c r="L91" s="281" t="s">
        <v>100</v>
      </c>
      <c r="M91" s="169">
        <v>307000000</v>
      </c>
      <c r="N91" s="372" t="str">
        <f>+IF(M91&gt;0,IF(M91&lt;&gt;$H91,"NO VÁLIDA","VÁLIDA"),"NO VÁLIDA")</f>
        <v>VÁLIDA</v>
      </c>
      <c r="O91" s="281" t="s">
        <v>100</v>
      </c>
      <c r="P91" s="169">
        <v>307000000</v>
      </c>
      <c r="Q91" s="372" t="str">
        <f>+IF(P91&gt;0,IF(P91&lt;&gt;$H91,"NO VÁLIDA","VÁLIDA"),"NO VÁLIDA")</f>
        <v>VÁLIDA</v>
      </c>
      <c r="R91" s="281" t="s">
        <v>100</v>
      </c>
      <c r="S91" s="169">
        <v>307000000</v>
      </c>
      <c r="T91" s="372" t="str">
        <f>+IF(S91&gt;0,IF(S91&lt;&gt;$H91,"NO VÁLIDA","VÁLIDA"),"NO VÁLIDA")</f>
        <v>VÁLIDA</v>
      </c>
      <c r="U91" s="281" t="s">
        <v>100</v>
      </c>
      <c r="V91" s="169">
        <v>307000000</v>
      </c>
      <c r="W91" s="372" t="str">
        <f>+IF(V91&gt;0,IF(V91&lt;&gt;$H91,"NO VÁLIDA","VÁLIDA"),"NO VÁLIDA")</f>
        <v>VÁLIDA</v>
      </c>
      <c r="X91" s="281" t="s">
        <v>100</v>
      </c>
      <c r="Y91" s="169">
        <v>307000000</v>
      </c>
      <c r="Z91" s="372" t="str">
        <f>+IF(Y91&gt;0,IF(Y91&lt;&gt;$H91,"NO VÁLIDA","VÁLIDA"),"NO VÁLIDA")</f>
        <v>VÁLIDA</v>
      </c>
      <c r="AA91" s="281" t="s">
        <v>100</v>
      </c>
      <c r="AB91" s="169">
        <v>307000000</v>
      </c>
      <c r="AC91" s="372" t="str">
        <f>+IF(AB91&gt;0,IF(AB91&lt;&gt;$H91,"NO VÁLIDA","VÁLIDA"),"NO VÁLIDA")</f>
        <v>VÁLIDA</v>
      </c>
      <c r="AD91" s="281" t="s">
        <v>100</v>
      </c>
      <c r="AE91" s="169">
        <v>307000000</v>
      </c>
      <c r="AF91" s="372" t="str">
        <f>+IF(AE91&gt;0,IF(AE91&lt;&gt;$H91,"NO VÁLIDA","VÁLIDA"),"NO VÁLIDA")</f>
        <v>VÁLIDA</v>
      </c>
    </row>
    <row r="92" spans="2:32" ht="22.5" customHeight="1">
      <c r="B92" s="332" t="s">
        <v>249</v>
      </c>
      <c r="C92" s="333"/>
      <c r="D92" s="333"/>
      <c r="E92" s="333"/>
      <c r="F92" s="334"/>
      <c r="G92" s="333"/>
      <c r="H92" s="335">
        <f>+H93</f>
        <v>624000000</v>
      </c>
      <c r="I92" s="347"/>
      <c r="J92" s="348">
        <f>SUM(J93:J93)</f>
        <v>624000000</v>
      </c>
      <c r="K92" s="349"/>
      <c r="L92" s="347"/>
      <c r="M92" s="348">
        <f>SUM(M93:M93)</f>
        <v>624000000</v>
      </c>
      <c r="N92" s="371"/>
      <c r="O92" s="347"/>
      <c r="P92" s="348">
        <f>+P93</f>
        <v>624000000</v>
      </c>
      <c r="Q92" s="371"/>
      <c r="R92" s="347"/>
      <c r="S92" s="348">
        <f>+S93</f>
        <v>624000000</v>
      </c>
      <c r="T92" s="371"/>
      <c r="U92" s="347"/>
      <c r="V92" s="348">
        <f>+V93</f>
        <v>624000000</v>
      </c>
      <c r="W92" s="371"/>
      <c r="X92" s="347"/>
      <c r="Y92" s="348">
        <f>+Y93</f>
        <v>624000000</v>
      </c>
      <c r="Z92" s="371"/>
      <c r="AA92" s="347"/>
      <c r="AB92" s="348">
        <f>+AB93</f>
        <v>624000000</v>
      </c>
      <c r="AC92" s="371"/>
      <c r="AD92" s="347"/>
      <c r="AE92" s="348">
        <f>+AE93</f>
        <v>624000000</v>
      </c>
      <c r="AF92" s="371"/>
    </row>
    <row r="93" spans="2:32" ht="128.25" thickBot="1">
      <c r="B93" s="162">
        <v>3</v>
      </c>
      <c r="C93" s="163"/>
      <c r="D93" s="164" t="s">
        <v>255</v>
      </c>
      <c r="E93" s="163" t="s">
        <v>253</v>
      </c>
      <c r="F93" s="165">
        <v>1</v>
      </c>
      <c r="G93" s="166">
        <v>624000000</v>
      </c>
      <c r="H93" s="167">
        <f>ROUND(G93*F93,0)</f>
        <v>624000000</v>
      </c>
      <c r="I93" s="281" t="s">
        <v>100</v>
      </c>
      <c r="J93" s="169">
        <v>624000000</v>
      </c>
      <c r="K93" s="282" t="str">
        <f>+IF(J93&gt;0,IF(J93&lt;&gt;$H93,"NO VÁLIDA","VÁLIDA"),"NO VÁLIDA")</f>
        <v>VÁLIDA</v>
      </c>
      <c r="L93" s="281" t="s">
        <v>100</v>
      </c>
      <c r="M93" s="169">
        <v>624000000</v>
      </c>
      <c r="N93" s="372" t="str">
        <f>+IF(M93&gt;0,IF(M93&lt;&gt;$H93,"NO VÁLIDA","VÁLIDA"),"NO VÁLIDA")</f>
        <v>VÁLIDA</v>
      </c>
      <c r="O93" s="281" t="s">
        <v>100</v>
      </c>
      <c r="P93" s="169">
        <v>624000000</v>
      </c>
      <c r="Q93" s="372" t="str">
        <f>+IF(P93&gt;0,IF(P93&lt;&gt;$H93,"NO VÁLIDA","VÁLIDA"),"NO VÁLIDA")</f>
        <v>VÁLIDA</v>
      </c>
      <c r="R93" s="281" t="s">
        <v>100</v>
      </c>
      <c r="S93" s="169">
        <v>624000000</v>
      </c>
      <c r="T93" s="372" t="str">
        <f>+IF(S93&gt;0,IF(S93&lt;&gt;$H93,"NO VÁLIDA","VÁLIDA"),"NO VÁLIDA")</f>
        <v>VÁLIDA</v>
      </c>
      <c r="U93" s="281" t="s">
        <v>100</v>
      </c>
      <c r="V93" s="169">
        <v>624000000</v>
      </c>
      <c r="W93" s="372" t="str">
        <f>+IF(V93&gt;0,IF(V93&lt;&gt;$H93,"NO VÁLIDA","VÁLIDA"),"NO VÁLIDA")</f>
        <v>VÁLIDA</v>
      </c>
      <c r="X93" s="281" t="s">
        <v>100</v>
      </c>
      <c r="Y93" s="169">
        <v>624000000</v>
      </c>
      <c r="Z93" s="372" t="str">
        <f>+IF(Y93&gt;0,IF(Y93&lt;&gt;$H93,"NO VÁLIDA","VÁLIDA"),"NO VÁLIDA")</f>
        <v>VÁLIDA</v>
      </c>
      <c r="AA93" s="281" t="s">
        <v>100</v>
      </c>
      <c r="AB93" s="169">
        <v>624000000</v>
      </c>
      <c r="AC93" s="372" t="str">
        <f>+IF(AB93&gt;0,IF(AB93&lt;&gt;$H93,"NO VÁLIDA","VÁLIDA"),"NO VÁLIDA")</f>
        <v>VÁLIDA</v>
      </c>
      <c r="AD93" s="281" t="s">
        <v>100</v>
      </c>
      <c r="AE93" s="169">
        <v>624000000</v>
      </c>
      <c r="AF93" s="372" t="str">
        <f>+IF(AE93&gt;0,IF(AE93&lt;&gt;$H93,"NO VÁLIDA","VÁLIDA"),"NO VÁLIDA")</f>
        <v>VÁLIDA</v>
      </c>
    </row>
    <row r="94" spans="2:32" ht="22.5" customHeight="1">
      <c r="B94" s="332" t="s">
        <v>250</v>
      </c>
      <c r="C94" s="333"/>
      <c r="D94" s="333"/>
      <c r="E94" s="333"/>
      <c r="F94" s="334"/>
      <c r="G94" s="333"/>
      <c r="H94" s="335">
        <f>+H95</f>
        <v>747000000</v>
      </c>
      <c r="I94" s="347"/>
      <c r="J94" s="348">
        <f>SUM(J95:J95)</f>
        <v>747000000</v>
      </c>
      <c r="K94" s="349"/>
      <c r="L94" s="347"/>
      <c r="M94" s="348">
        <f>SUM(M95:M95)</f>
        <v>747000000</v>
      </c>
      <c r="N94" s="371"/>
      <c r="O94" s="347"/>
      <c r="P94" s="348">
        <f>+P95</f>
        <v>747000000</v>
      </c>
      <c r="Q94" s="371"/>
      <c r="R94" s="347"/>
      <c r="S94" s="348">
        <f>+S95</f>
        <v>747000000</v>
      </c>
      <c r="T94" s="371"/>
      <c r="U94" s="347"/>
      <c r="V94" s="348">
        <f>+V95</f>
        <v>747000000</v>
      </c>
      <c r="W94" s="371"/>
      <c r="X94" s="347"/>
      <c r="Y94" s="348">
        <f>+Y95</f>
        <v>747000000</v>
      </c>
      <c r="Z94" s="371"/>
      <c r="AA94" s="347"/>
      <c r="AB94" s="348">
        <f>+AB95</f>
        <v>747000000</v>
      </c>
      <c r="AC94" s="371"/>
      <c r="AD94" s="347"/>
      <c r="AE94" s="348">
        <f>+AE95</f>
        <v>747000000</v>
      </c>
      <c r="AF94" s="371"/>
    </row>
    <row r="95" spans="2:32" ht="51.75" thickBot="1">
      <c r="B95" s="162">
        <v>4</v>
      </c>
      <c r="C95" s="163"/>
      <c r="D95" s="164" t="s">
        <v>256</v>
      </c>
      <c r="E95" s="163" t="s">
        <v>253</v>
      </c>
      <c r="F95" s="165">
        <v>1</v>
      </c>
      <c r="G95" s="166">
        <v>747000000</v>
      </c>
      <c r="H95" s="167">
        <f>ROUND(G95*F95,0)</f>
        <v>747000000</v>
      </c>
      <c r="I95" s="281" t="s">
        <v>100</v>
      </c>
      <c r="J95" s="169">
        <v>747000000</v>
      </c>
      <c r="K95" s="282" t="str">
        <f>+IF(J95&gt;0,IF(J95&lt;&gt;$H95,"NO VÁLIDA","VÁLIDA"),"NO VÁLIDA")</f>
        <v>VÁLIDA</v>
      </c>
      <c r="L95" s="281" t="s">
        <v>100</v>
      </c>
      <c r="M95" s="169">
        <v>747000000</v>
      </c>
      <c r="N95" s="372" t="str">
        <f>+IF(M95&gt;0,IF(M95&lt;&gt;$H95,"NO VÁLIDA","VÁLIDA"),"NO VÁLIDA")</f>
        <v>VÁLIDA</v>
      </c>
      <c r="O95" s="281" t="s">
        <v>100</v>
      </c>
      <c r="P95" s="169">
        <v>747000000</v>
      </c>
      <c r="Q95" s="372" t="str">
        <f>+IF(P95&gt;0,IF(P95&lt;&gt;$H95,"NO VÁLIDA","VÁLIDA"),"NO VÁLIDA")</f>
        <v>VÁLIDA</v>
      </c>
      <c r="R95" s="281" t="s">
        <v>100</v>
      </c>
      <c r="S95" s="169">
        <v>747000000</v>
      </c>
      <c r="T95" s="372" t="str">
        <f>+IF(S95&gt;0,IF(S95&lt;&gt;$H95,"NO VÁLIDA","VÁLIDA"),"NO VÁLIDA")</f>
        <v>VÁLIDA</v>
      </c>
      <c r="U95" s="281" t="s">
        <v>100</v>
      </c>
      <c r="V95" s="169">
        <v>747000000</v>
      </c>
      <c r="W95" s="372" t="str">
        <f>+IF(V95&gt;0,IF(V95&lt;&gt;$H95,"NO VÁLIDA","VÁLIDA"),"NO VÁLIDA")</f>
        <v>VÁLIDA</v>
      </c>
      <c r="X95" s="281" t="s">
        <v>100</v>
      </c>
      <c r="Y95" s="169">
        <v>747000000</v>
      </c>
      <c r="Z95" s="372" t="str">
        <f>+IF(Y95&gt;0,IF(Y95&lt;&gt;$H95,"NO VÁLIDA","VÁLIDA"),"NO VÁLIDA")</f>
        <v>VÁLIDA</v>
      </c>
      <c r="AA95" s="281" t="s">
        <v>100</v>
      </c>
      <c r="AB95" s="169">
        <v>747000000</v>
      </c>
      <c r="AC95" s="372" t="str">
        <f>+IF(AB95&gt;0,IF(AB95&lt;&gt;$H95,"NO VÁLIDA","VÁLIDA"),"NO VÁLIDA")</f>
        <v>VÁLIDA</v>
      </c>
      <c r="AD95" s="281" t="s">
        <v>100</v>
      </c>
      <c r="AE95" s="169">
        <v>747000000</v>
      </c>
      <c r="AF95" s="372" t="str">
        <f>+IF(AE95&gt;0,IF(AE95&lt;&gt;$H95,"NO VÁLIDA","VÁLIDA"),"NO VÁLIDA")</f>
        <v>VÁLIDA</v>
      </c>
    </row>
    <row r="96" spans="2:32" ht="22.5" customHeight="1">
      <c r="B96" s="332" t="s">
        <v>251</v>
      </c>
      <c r="C96" s="333"/>
      <c r="D96" s="333"/>
      <c r="E96" s="333"/>
      <c r="F96" s="334"/>
      <c r="G96" s="333"/>
      <c r="H96" s="335">
        <f>+H97</f>
        <v>2000000000</v>
      </c>
      <c r="I96" s="347"/>
      <c r="J96" s="348">
        <f>SUM(J97:J97)</f>
        <v>2000000000</v>
      </c>
      <c r="K96" s="349"/>
      <c r="L96" s="347"/>
      <c r="M96" s="348">
        <f>SUM(M97:M97)</f>
        <v>2000000000</v>
      </c>
      <c r="N96" s="371"/>
      <c r="O96" s="347"/>
      <c r="P96" s="348">
        <f>+P97</f>
        <v>2000000000</v>
      </c>
      <c r="Q96" s="371"/>
      <c r="R96" s="347"/>
      <c r="S96" s="348">
        <f>+S97</f>
        <v>2000000000</v>
      </c>
      <c r="T96" s="371"/>
      <c r="U96" s="347"/>
      <c r="V96" s="348">
        <f>+V97</f>
        <v>2000000000</v>
      </c>
      <c r="W96" s="371"/>
      <c r="X96" s="347"/>
      <c r="Y96" s="348">
        <f>+Y97</f>
        <v>2000000000</v>
      </c>
      <c r="Z96" s="371"/>
      <c r="AA96" s="347"/>
      <c r="AB96" s="348">
        <f>+AB97</f>
        <v>2000000000</v>
      </c>
      <c r="AC96" s="371"/>
      <c r="AD96" s="347"/>
      <c r="AE96" s="348">
        <f>+AE97</f>
        <v>2000000000</v>
      </c>
      <c r="AF96" s="371"/>
    </row>
    <row r="97" spans="2:32" ht="51">
      <c r="B97" s="162">
        <v>5</v>
      </c>
      <c r="C97" s="163"/>
      <c r="D97" s="164" t="s">
        <v>257</v>
      </c>
      <c r="E97" s="163" t="s">
        <v>253</v>
      </c>
      <c r="F97" s="165">
        <v>1</v>
      </c>
      <c r="G97" s="166">
        <v>2000000000</v>
      </c>
      <c r="H97" s="167">
        <f>ROUND(G97*F97,0)</f>
        <v>2000000000</v>
      </c>
      <c r="I97" s="281" t="s">
        <v>100</v>
      </c>
      <c r="J97" s="169">
        <v>2000000000</v>
      </c>
      <c r="K97" s="282" t="str">
        <f>+IF(J97&gt;0,IF(J97&lt;&gt;$H97,"NO VÁLIDA","VÁLIDA"),"NO VÁLIDA")</f>
        <v>VÁLIDA</v>
      </c>
      <c r="L97" s="281" t="s">
        <v>100</v>
      </c>
      <c r="M97" s="169">
        <v>2000000000</v>
      </c>
      <c r="N97" s="372" t="str">
        <f>+IF(M97&gt;0,IF(M97&lt;&gt;$H97,"NO VÁLIDA","VÁLIDA"),"NO VÁLIDA")</f>
        <v>VÁLIDA</v>
      </c>
      <c r="O97" s="281" t="s">
        <v>100</v>
      </c>
      <c r="P97" s="169">
        <v>2000000000</v>
      </c>
      <c r="Q97" s="372" t="str">
        <f>+IF(P97&gt;0,IF(P97&lt;&gt;$H97,"NO VÁLIDA","VÁLIDA"),"NO VÁLIDA")</f>
        <v>VÁLIDA</v>
      </c>
      <c r="R97" s="281" t="s">
        <v>100</v>
      </c>
      <c r="S97" s="169">
        <v>2000000000</v>
      </c>
      <c r="T97" s="372" t="str">
        <f>+IF(S97&gt;0,IF(S97&lt;&gt;$H97,"NO VÁLIDA","VÁLIDA"),"NO VÁLIDA")</f>
        <v>VÁLIDA</v>
      </c>
      <c r="U97" s="281" t="s">
        <v>100</v>
      </c>
      <c r="V97" s="169">
        <v>2000000000</v>
      </c>
      <c r="W97" s="372" t="str">
        <f>+IF(V97&gt;0,IF(V97&lt;&gt;$H97,"NO VÁLIDA","VÁLIDA"),"NO VÁLIDA")</f>
        <v>VÁLIDA</v>
      </c>
      <c r="X97" s="281" t="s">
        <v>100</v>
      </c>
      <c r="Y97" s="169">
        <v>2000000000</v>
      </c>
      <c r="Z97" s="372" t="str">
        <f>+IF(Y97&gt;0,IF(Y97&lt;&gt;$H97,"NO VÁLIDA","VÁLIDA"),"NO VÁLIDA")</f>
        <v>VÁLIDA</v>
      </c>
      <c r="AA97" s="281" t="s">
        <v>100</v>
      </c>
      <c r="AB97" s="169">
        <v>2000000000</v>
      </c>
      <c r="AC97" s="372" t="str">
        <f>+IF(AB97&gt;0,IF(AB97&lt;&gt;$H97,"NO VÁLIDA","VÁLIDA"),"NO VÁLIDA")</f>
        <v>VÁLIDA</v>
      </c>
      <c r="AD97" s="281" t="s">
        <v>100</v>
      </c>
      <c r="AE97" s="169">
        <v>2000000000</v>
      </c>
      <c r="AF97" s="372" t="str">
        <f>+IF(AE97&gt;0,IF(AE97&lt;&gt;$H97,"NO VÁLIDA","VÁLIDA"),"NO VÁLIDA")</f>
        <v>VÁLIDA</v>
      </c>
    </row>
    <row r="98" spans="2:32" ht="30.6" customHeight="1">
      <c r="B98" s="384"/>
      <c r="C98" s="385"/>
      <c r="D98" s="386"/>
      <c r="E98" s="385"/>
      <c r="F98" s="387"/>
      <c r="G98" s="388" t="s">
        <v>258</v>
      </c>
      <c r="H98" s="389">
        <f>SUM(H89,H92,H94,H96)</f>
        <v>4304000000</v>
      </c>
      <c r="I98" s="171"/>
      <c r="J98" s="390">
        <f>SUM(J89,J92,J94,J96)</f>
        <v>4304000000</v>
      </c>
      <c r="K98" s="208"/>
      <c r="L98" s="171"/>
      <c r="M98" s="390">
        <f>SUM(M89,M92,M94,M96)</f>
        <v>4304000000</v>
      </c>
      <c r="N98" s="374"/>
      <c r="O98" s="171"/>
      <c r="P98" s="390">
        <f>SUM(P89,P92,P94,P96)</f>
        <v>4304000000</v>
      </c>
      <c r="Q98" s="374"/>
      <c r="R98" s="171"/>
      <c r="S98" s="390">
        <f>SUM(S89,S92,S94,S96)</f>
        <v>4304000000</v>
      </c>
      <c r="T98" s="374"/>
      <c r="U98" s="171"/>
      <c r="V98" s="390">
        <f>SUM(V89,V92,V94,V96)</f>
        <v>4304000000</v>
      </c>
      <c r="W98" s="374"/>
      <c r="X98" s="171"/>
      <c r="Y98" s="390">
        <f>SUM(Y89,Y92,Y94,Y96)</f>
        <v>4304000000</v>
      </c>
      <c r="Z98" s="374"/>
      <c r="AA98" s="171"/>
      <c r="AB98" s="390">
        <f>SUM(AB89,AB92,AB94,AB96)</f>
        <v>4304000000</v>
      </c>
      <c r="AC98" s="374"/>
      <c r="AD98" s="171"/>
      <c r="AE98" s="390">
        <f>SUM(AE89,AE92,AE94,AE96)</f>
        <v>4304000000</v>
      </c>
      <c r="AF98" s="374"/>
    </row>
    <row r="99" spans="2:32" s="391" customFormat="1" ht="11.25" customHeight="1" thickBot="1">
      <c r="B99" s="392"/>
      <c r="C99" s="393"/>
      <c r="D99" s="394"/>
      <c r="E99" s="393"/>
      <c r="F99" s="395"/>
      <c r="G99" s="396"/>
      <c r="H99" s="397"/>
      <c r="I99" s="398"/>
      <c r="J99" s="399"/>
      <c r="K99" s="400"/>
      <c r="L99" s="398"/>
      <c r="M99" s="399"/>
      <c r="N99" s="401"/>
      <c r="O99" s="398"/>
      <c r="P99" s="399"/>
      <c r="Q99" s="401"/>
      <c r="R99" s="398"/>
      <c r="S99" s="399"/>
      <c r="T99" s="401"/>
      <c r="U99" s="398"/>
      <c r="V99" s="399"/>
      <c r="W99" s="401"/>
      <c r="X99" s="398"/>
      <c r="Y99" s="399"/>
      <c r="Z99" s="401"/>
      <c r="AA99" s="398"/>
      <c r="AB99" s="399"/>
      <c r="AC99" s="401"/>
      <c r="AD99" s="398"/>
      <c r="AE99" s="399"/>
      <c r="AF99" s="401"/>
    </row>
    <row r="100" spans="2:32" ht="30.6" customHeight="1" thickBot="1">
      <c r="B100" s="336"/>
      <c r="C100" s="337"/>
      <c r="D100" s="338"/>
      <c r="E100" s="337"/>
      <c r="F100" s="339"/>
      <c r="G100" s="340" t="s">
        <v>229</v>
      </c>
      <c r="H100" s="341">
        <f>+H71</f>
        <v>14401056000</v>
      </c>
      <c r="I100" s="170"/>
      <c r="J100" s="321">
        <f>+J71</f>
        <v>12960950400</v>
      </c>
      <c r="K100" s="282"/>
      <c r="L100" s="170"/>
      <c r="M100" s="321">
        <f>+M71</f>
        <v>13307704896</v>
      </c>
      <c r="N100" s="373"/>
      <c r="O100" s="170"/>
      <c r="P100" s="321">
        <f>+P71</f>
        <v>14052711600</v>
      </c>
      <c r="Q100" s="373"/>
      <c r="R100" s="170"/>
      <c r="S100" s="321">
        <f>+S71</f>
        <v>13536992640</v>
      </c>
      <c r="T100" s="373"/>
      <c r="U100" s="170"/>
      <c r="V100" s="321">
        <f>+V71</f>
        <v>13004153568</v>
      </c>
      <c r="W100" s="373"/>
      <c r="X100" s="170"/>
      <c r="Y100" s="321">
        <f>+Y71</f>
        <v>12742082448</v>
      </c>
      <c r="Z100" s="373"/>
      <c r="AA100" s="170"/>
      <c r="AB100" s="321">
        <f>+AB71</f>
        <v>13555393344</v>
      </c>
      <c r="AC100" s="373"/>
      <c r="AD100" s="170"/>
      <c r="AE100" s="321">
        <f>+AE71</f>
        <v>13214908608</v>
      </c>
      <c r="AF100" s="373"/>
    </row>
    <row r="101" spans="2:32" ht="30.6" customHeight="1" thickBot="1">
      <c r="B101" s="336"/>
      <c r="C101" s="337"/>
      <c r="D101" s="338"/>
      <c r="E101" s="337"/>
      <c r="F101" s="339"/>
      <c r="G101" s="340" t="s">
        <v>259</v>
      </c>
      <c r="H101" s="341">
        <f>+H86</f>
        <v>3981180000</v>
      </c>
      <c r="I101" s="170"/>
      <c r="J101" s="321">
        <f>+J86</f>
        <v>3782121000</v>
      </c>
      <c r="K101" s="282"/>
      <c r="L101" s="170"/>
      <c r="M101" s="321">
        <f>+M86</f>
        <v>3702516252</v>
      </c>
      <c r="N101" s="373"/>
      <c r="O101" s="170"/>
      <c r="P101" s="321">
        <f>+P86</f>
        <v>3583062000</v>
      </c>
      <c r="Q101" s="373"/>
      <c r="R101" s="170"/>
      <c r="S101" s="321">
        <f>+S86</f>
        <v>3981180000</v>
      </c>
      <c r="T101" s="373"/>
      <c r="U101" s="170"/>
      <c r="V101" s="321">
        <f>+V86</f>
        <v>3845341620</v>
      </c>
      <c r="W101" s="373"/>
      <c r="X101" s="170"/>
      <c r="Y101" s="321">
        <f>+Y86</f>
        <v>3931440000</v>
      </c>
      <c r="Z101" s="373"/>
      <c r="AA101" s="170"/>
      <c r="AB101" s="321">
        <f>+AB86</f>
        <v>3747395856</v>
      </c>
      <c r="AC101" s="373"/>
      <c r="AD101" s="170"/>
      <c r="AE101" s="321">
        <f>+AE86</f>
        <v>3886865976</v>
      </c>
      <c r="AF101" s="373"/>
    </row>
    <row r="102" spans="2:32" ht="30.6" customHeight="1" thickBot="1">
      <c r="B102" s="336"/>
      <c r="C102" s="337"/>
      <c r="D102" s="338"/>
      <c r="E102" s="337"/>
      <c r="F102" s="339"/>
      <c r="G102" s="340" t="s">
        <v>258</v>
      </c>
      <c r="H102" s="341">
        <f>+H98</f>
        <v>4304000000</v>
      </c>
      <c r="I102" s="170"/>
      <c r="J102" s="321">
        <f>+J98</f>
        <v>4304000000</v>
      </c>
      <c r="K102" s="282"/>
      <c r="L102" s="170"/>
      <c r="M102" s="321">
        <f>+M98</f>
        <v>4304000000</v>
      </c>
      <c r="N102" s="373"/>
      <c r="O102" s="170"/>
      <c r="P102" s="321">
        <f>+P98</f>
        <v>4304000000</v>
      </c>
      <c r="Q102" s="373"/>
      <c r="R102" s="170"/>
      <c r="S102" s="321">
        <f>+S98</f>
        <v>4304000000</v>
      </c>
      <c r="T102" s="373"/>
      <c r="U102" s="170"/>
      <c r="V102" s="321">
        <f>+V98</f>
        <v>4304000000</v>
      </c>
      <c r="W102" s="373"/>
      <c r="X102" s="170"/>
      <c r="Y102" s="321">
        <f>+Y98</f>
        <v>4304000000</v>
      </c>
      <c r="Z102" s="373"/>
      <c r="AA102" s="170"/>
      <c r="AB102" s="321">
        <f>+AB98</f>
        <v>4304000000</v>
      </c>
      <c r="AC102" s="373"/>
      <c r="AD102" s="170"/>
      <c r="AE102" s="321">
        <f>+AE98</f>
        <v>4304000000</v>
      </c>
      <c r="AF102" s="373"/>
    </row>
    <row r="103" spans="2:32" ht="30.6" customHeight="1" thickBot="1">
      <c r="B103" s="336"/>
      <c r="C103" s="337"/>
      <c r="D103" s="338"/>
      <c r="E103" s="337"/>
      <c r="F103" s="339"/>
      <c r="G103" s="340" t="s">
        <v>260</v>
      </c>
      <c r="H103" s="341">
        <v>4598837811.8219204</v>
      </c>
      <c r="I103" s="281" t="s">
        <v>100</v>
      </c>
      <c r="J103" s="321">
        <v>4598837811.8219204</v>
      </c>
      <c r="K103" s="372" t="str">
        <f>+IF(J103&gt;0,IF(J103&lt;&gt;$H103,"NO VÁLIDA","VÁLIDA"),"NO VÁLIDA")</f>
        <v>VÁLIDA</v>
      </c>
      <c r="L103" s="281" t="s">
        <v>100</v>
      </c>
      <c r="M103" s="321">
        <v>4598837811.8219204</v>
      </c>
      <c r="N103" s="372" t="str">
        <f>+IF(M103&gt;0,IF(M103&lt;&gt;$H103,"NO VÁLIDA","VÁLIDA"),"NO VÁLIDA")</f>
        <v>VÁLIDA</v>
      </c>
      <c r="O103" s="281" t="s">
        <v>100</v>
      </c>
      <c r="P103" s="321">
        <v>4598837811.8219204</v>
      </c>
      <c r="Q103" s="372" t="str">
        <f>+IF(P103&gt;0,IF(P103&lt;&gt;$H103,"NO VÁLIDA","VÁLIDA"),"NO VÁLIDA")</f>
        <v>VÁLIDA</v>
      </c>
      <c r="R103" s="281" t="s">
        <v>100</v>
      </c>
      <c r="S103" s="321">
        <v>4598837811.8219204</v>
      </c>
      <c r="T103" s="372" t="str">
        <f>+IF(S103&gt;0,IF(S103&lt;&gt;$H103,"NO VÁLIDA","VÁLIDA"),"NO VÁLIDA")</f>
        <v>VÁLIDA</v>
      </c>
      <c r="U103" s="281" t="s">
        <v>100</v>
      </c>
      <c r="V103" s="321">
        <v>4598837811.8219204</v>
      </c>
      <c r="W103" s="372" t="str">
        <f>+IF(V103&gt;0,IF(V103&lt;&gt;$H103,"NO VÁLIDA","VÁLIDA"),"NO VÁLIDA")</f>
        <v>VÁLIDA</v>
      </c>
      <c r="X103" s="281" t="s">
        <v>100</v>
      </c>
      <c r="Y103" s="321">
        <v>4598837811.8219204</v>
      </c>
      <c r="Z103" s="372" t="str">
        <f>+IF(Y103&gt;0,IF(Y103&lt;&gt;$H103,"NO VÁLIDA","VÁLIDA"),"NO VÁLIDA")</f>
        <v>VÁLIDA</v>
      </c>
      <c r="AA103" s="281" t="s">
        <v>100</v>
      </c>
      <c r="AB103" s="321">
        <v>4598837811.8219204</v>
      </c>
      <c r="AC103" s="372" t="str">
        <f>+IF(AB103&gt;0,IF(AB103&lt;&gt;$H103,"NO VÁLIDA","VÁLIDA"),"NO VÁLIDA")</f>
        <v>VÁLIDA</v>
      </c>
      <c r="AD103" s="281" t="s">
        <v>100</v>
      </c>
      <c r="AE103" s="321">
        <v>4598837811.8219204</v>
      </c>
      <c r="AF103" s="372" t="str">
        <f>+IF(AE103&gt;0,IF(AE103&lt;&gt;$H103,"NO VÁLIDA","VÁLIDA"),"NO VÁLIDA")</f>
        <v>VÁLIDA</v>
      </c>
    </row>
    <row r="104" spans="2:32" ht="30.6" customHeight="1" thickBot="1">
      <c r="B104" s="336"/>
      <c r="C104" s="337"/>
      <c r="D104" s="338"/>
      <c r="E104" s="337"/>
      <c r="F104" s="339"/>
      <c r="G104" s="340" t="s">
        <v>261</v>
      </c>
      <c r="H104" s="341">
        <f>+(H100+(H101-H76*12)+H102+H103)*0.19</f>
        <v>4627513424.2461653</v>
      </c>
      <c r="I104" s="170"/>
      <c r="J104" s="402">
        <f>+(J100+(J101-J76*J85)+J102+J103)*0.19</f>
        <v>4343904680.2461653</v>
      </c>
      <c r="K104" s="373"/>
      <c r="L104" s="170"/>
      <c r="M104" s="402">
        <f>+(M100+(M101-M76*M85)+M102+M103)*0.19</f>
        <v>4405517817.9261656</v>
      </c>
      <c r="N104" s="373"/>
      <c r="O104" s="170"/>
      <c r="P104" s="402">
        <f>+(P100+(P101-P76*P85)+P102+P103)*0.19</f>
        <v>4541350628.2461653</v>
      </c>
      <c r="Q104" s="373"/>
      <c r="R104" s="170"/>
      <c r="S104" s="402">
        <f>+(S100+(S101-S76*S85)+S102+S103)*0.19</f>
        <v>4463341385.8461657</v>
      </c>
      <c r="T104" s="373"/>
      <c r="U104" s="170"/>
      <c r="V104" s="321">
        <f>+(V100+(V101-V76*V85)+V102+V103)*0.19</f>
        <v>4346439698.2461653</v>
      </c>
      <c r="W104" s="373"/>
      <c r="X104" s="170"/>
      <c r="Y104" s="402">
        <f>+(Y100+(Y101-Y76*Y85)+Y102+Y103)*0.19</f>
        <v>4312308449.3661652</v>
      </c>
      <c r="Z104" s="373"/>
      <c r="AA104" s="170"/>
      <c r="AB104" s="402">
        <f>+(AB100+(AB101-AB76*AB85)+AB102+AB103)*0.19</f>
        <v>4455106335.9261656</v>
      </c>
      <c r="AC104" s="373"/>
      <c r="AD104" s="170"/>
      <c r="AE104" s="402">
        <f>+(AE100+(AE101-AE76*AE85)+AE102+AE103)*0.19</f>
        <v>4384225755.2061653</v>
      </c>
      <c r="AF104" s="373"/>
    </row>
    <row r="105" spans="2:32" ht="30.6" customHeight="1" thickBot="1">
      <c r="B105" s="336"/>
      <c r="C105" s="337"/>
      <c r="D105" s="338"/>
      <c r="E105" s="337"/>
      <c r="F105" s="339"/>
      <c r="G105" s="340" t="s">
        <v>262</v>
      </c>
      <c r="H105" s="341">
        <f>+H100+H101+H102+H103+H104</f>
        <v>31912587236.068089</v>
      </c>
      <c r="I105" s="170"/>
      <c r="J105" s="321">
        <f>+J100+J101+J102+J103+J104</f>
        <v>29989813892.068089</v>
      </c>
      <c r="K105" s="282"/>
      <c r="L105" s="170"/>
      <c r="M105" s="321">
        <f>+M100+M101+M102+M103+M104</f>
        <v>30318576777.748089</v>
      </c>
      <c r="N105" s="373"/>
      <c r="O105" s="170"/>
      <c r="P105" s="321">
        <f>+P100+P101+P102+P103+P104</f>
        <v>31079962040.068089</v>
      </c>
      <c r="Q105" s="373"/>
      <c r="R105" s="170"/>
      <c r="S105" s="321">
        <f>+S100+S101+S102+S103+S104</f>
        <v>30884351837.668087</v>
      </c>
      <c r="T105" s="373"/>
      <c r="U105" s="170"/>
      <c r="V105" s="321">
        <f>+V100+V101+V102+V103+V104</f>
        <v>30098772698.068089</v>
      </c>
      <c r="W105" s="373"/>
      <c r="X105" s="170"/>
      <c r="Y105" s="321">
        <f>+Y100+Y101+Y102+Y103+Y104</f>
        <v>29888668709.188087</v>
      </c>
      <c r="Z105" s="373"/>
      <c r="AA105" s="170"/>
      <c r="AB105" s="321">
        <f>+AB100+AB101+AB102+AB103+AB104</f>
        <v>30660733347.748089</v>
      </c>
      <c r="AC105" s="373"/>
      <c r="AD105" s="170"/>
      <c r="AE105" s="321">
        <f>+AE100+AE101+AE102+AE103+AE104</f>
        <v>30388838151.028088</v>
      </c>
      <c r="AF105" s="373"/>
    </row>
    <row r="106" spans="2:32" ht="30.6" customHeight="1" thickBot="1">
      <c r="B106" s="336"/>
      <c r="C106" s="337"/>
      <c r="D106" s="338"/>
      <c r="E106" s="337"/>
      <c r="F106" s="339"/>
      <c r="G106" s="340" t="s">
        <v>263</v>
      </c>
      <c r="H106" s="341">
        <f>ROUND(H105+H34,0)</f>
        <v>75511103076</v>
      </c>
      <c r="I106" s="170"/>
      <c r="J106" s="321">
        <f>ROUND(J105+J34,0)</f>
        <v>71550545338</v>
      </c>
      <c r="K106" s="282"/>
      <c r="L106" s="170"/>
      <c r="M106" s="321">
        <f>ROUND(M105+M34,0)</f>
        <v>71961637671</v>
      </c>
      <c r="N106" s="373"/>
      <c r="O106" s="170"/>
      <c r="P106" s="321">
        <f>ROUND(P105+P34,0)</f>
        <v>71715321740</v>
      </c>
      <c r="Q106" s="373"/>
      <c r="R106" s="170"/>
      <c r="S106" s="321">
        <f>ROUND(S105+S34,0)</f>
        <v>72564015217</v>
      </c>
      <c r="T106" s="373"/>
      <c r="U106" s="170"/>
      <c r="V106" s="321">
        <f>ROUND(V105+V34,0)</f>
        <v>71425915048</v>
      </c>
      <c r="W106" s="373"/>
      <c r="X106" s="170"/>
      <c r="Y106" s="321">
        <f>ROUND(Y105+Y34,0)</f>
        <v>72608147899</v>
      </c>
      <c r="Z106" s="373"/>
      <c r="AA106" s="170"/>
      <c r="AB106" s="321">
        <f>ROUND(AB105+AB34,0)</f>
        <v>72659553154</v>
      </c>
      <c r="AC106" s="373"/>
      <c r="AD106" s="170"/>
      <c r="AE106" s="321">
        <f>ROUND(AE105+AE34,0)</f>
        <v>72818658085</v>
      </c>
      <c r="AF106" s="373"/>
    </row>
    <row r="107" spans="2:32" s="24" customFormat="1" ht="39.950000000000003" customHeight="1" thickBot="1">
      <c r="B107" s="469" t="s">
        <v>104</v>
      </c>
      <c r="C107" s="470"/>
      <c r="D107" s="470"/>
      <c r="E107" s="470"/>
      <c r="F107" s="470"/>
      <c r="G107" s="470"/>
      <c r="H107" s="471"/>
      <c r="I107" s="311"/>
      <c r="J107" s="283">
        <v>72050425401</v>
      </c>
      <c r="K107" s="208"/>
      <c r="L107" s="311"/>
      <c r="M107" s="283">
        <v>72436437440</v>
      </c>
      <c r="N107" s="374"/>
      <c r="O107" s="311"/>
      <c r="P107" s="283">
        <v>72174558490</v>
      </c>
      <c r="Q107" s="374"/>
      <c r="R107" s="311"/>
      <c r="S107" s="283">
        <v>73074278453</v>
      </c>
      <c r="T107" s="374"/>
      <c r="U107" s="311"/>
      <c r="V107" s="283">
        <v>71425915048</v>
      </c>
      <c r="W107" s="374"/>
      <c r="X107" s="311"/>
      <c r="Y107" s="283">
        <v>73109747899</v>
      </c>
      <c r="Z107" s="374"/>
      <c r="AA107" s="311"/>
      <c r="AB107" s="283">
        <v>72659553152</v>
      </c>
      <c r="AC107" s="374"/>
      <c r="AD107" s="311"/>
      <c r="AE107" s="283">
        <v>73337598514</v>
      </c>
      <c r="AF107" s="374"/>
    </row>
    <row r="108" spans="2:32" s="24" customFormat="1" ht="32.25" customHeight="1" thickBot="1">
      <c r="B108" s="172" t="s">
        <v>0</v>
      </c>
      <c r="C108" s="173"/>
      <c r="D108" s="174"/>
      <c r="E108" s="117"/>
      <c r="F108" s="175"/>
      <c r="G108" s="175"/>
      <c r="H108" s="204">
        <v>76021366201</v>
      </c>
      <c r="I108" s="209"/>
      <c r="J108" s="210">
        <f>IF(I10="ADMISIBLE",IF(AND(K108="VÁLIDA",J106&lt;=$H$108,I110=""),J106,"DESCARTADO"),I10)</f>
        <v>71550545338</v>
      </c>
      <c r="K108" s="211" t="str">
        <f>IF(COUNTIF(K16:K107,"NO VÁLIDA")&gt;0,"NO VÁLIDA","VÁLIDA")</f>
        <v>VÁLIDA</v>
      </c>
      <c r="L108" s="375"/>
      <c r="M108" s="376">
        <f>IF(L10="ADMISIBLE",IF(AND(N108="VÁLIDA",M106&lt;=$H$108,L110=""),M106,"DESCARTADO"),L10)</f>
        <v>71961637671</v>
      </c>
      <c r="N108" s="377" t="str">
        <f>IF(COUNTIF(N16:N107,"NO VÁLIDA")&gt;0,"NO VÁLIDA","VÁLIDA")</f>
        <v>VÁLIDA</v>
      </c>
      <c r="O108" s="375"/>
      <c r="P108" s="376">
        <f>IF(O10="ADMISIBLE",IF(AND(Q108="VÁLIDA",P106&lt;=$H$108,O110=""),P106,"DESCARTADO"),O10)</f>
        <v>71715321740</v>
      </c>
      <c r="Q108" s="377" t="str">
        <f>IF(COUNTIF(Q16:Q107,"NO VÁLIDA")&gt;0,"NO VÁLIDA","VÁLIDA")</f>
        <v>VÁLIDA</v>
      </c>
      <c r="R108" s="375"/>
      <c r="S108" s="376">
        <f>IF(R10="ADMISIBLE",IF(AND(T108="VÁLIDA",S106&lt;=$H$108,R110=""),S106,"DESCARTADO"),R10)</f>
        <v>72564015217</v>
      </c>
      <c r="T108" s="377" t="str">
        <f>IF(COUNTIF(T16:T107,"NO VÁLIDA")&gt;0,"NO VÁLIDA","VÁLIDA")</f>
        <v>VÁLIDA</v>
      </c>
      <c r="U108" s="375"/>
      <c r="V108" s="376">
        <f>IF(U10="ADMISIBLE",IF(AND(W108="VÁLIDA",V106&lt;=$H$108,U110=""),V106,"DESCARTADO"),U10)</f>
        <v>71425915048</v>
      </c>
      <c r="W108" s="377" t="str">
        <f>IF(COUNTIF(W16:W107,"NO VÁLIDA")&gt;0,"NO VÁLIDA","VÁLIDA")</f>
        <v>VÁLIDA</v>
      </c>
      <c r="X108" s="375"/>
      <c r="Y108" s="376">
        <f>IF(X10="ADMISIBLE",IF(AND(Z108="VÁLIDA",Y106&lt;=$H$108,X110=""),Y106,"DESCARTADO"),X10)</f>
        <v>72608147899</v>
      </c>
      <c r="Z108" s="377" t="str">
        <f>IF(COUNTIF(Z16:Z107,"NO VÁLIDA")&gt;0,"NO VÁLIDA","VÁLIDA")</f>
        <v>VÁLIDA</v>
      </c>
      <c r="AA108" s="375"/>
      <c r="AB108" s="376">
        <f>IF(AA10="ADMISIBLE",IF(AND(AC108="VÁLIDA",AB106&lt;=$H$108,AA110=""),AB106,"DESCARTADO"),AA10)</f>
        <v>72659553154</v>
      </c>
      <c r="AC108" s="377" t="str">
        <f>IF(COUNTIF(AC16:AC107,"NO VÁLIDA")&gt;0,"NO VÁLIDA","VÁLIDA")</f>
        <v>VÁLIDA</v>
      </c>
      <c r="AD108" s="375"/>
      <c r="AE108" s="376">
        <f>IF(AD10="ADMISIBLE",IF(AND(AF108="VÁLIDA",AE106&lt;=$H$108,AD110=""),AE106,"DESCARTADO"),AD10)</f>
        <v>72818658085</v>
      </c>
      <c r="AF108" s="377" t="str">
        <f>IF(COUNTIF(AF16:AF107,"NO VÁLIDA")&gt;0,"NO VÁLIDA","VÁLIDA")</f>
        <v>VÁLIDA</v>
      </c>
    </row>
    <row r="109" spans="2:32" s="8" customFormat="1" ht="24.95" customHeight="1" thickTop="1" thickBot="1">
      <c r="B109" s="12"/>
      <c r="C109" s="12"/>
      <c r="D109" s="1"/>
      <c r="E109" s="1"/>
      <c r="F109" s="1"/>
      <c r="G109" s="19" t="s">
        <v>272</v>
      </c>
      <c r="H109" s="406">
        <f>+H108-H106</f>
        <v>510263125</v>
      </c>
      <c r="I109" s="449">
        <f>I11</f>
        <v>1</v>
      </c>
      <c r="J109" s="450"/>
      <c r="K109" s="450"/>
      <c r="L109" s="449">
        <f>L11</f>
        <v>2</v>
      </c>
      <c r="M109" s="450"/>
      <c r="N109" s="451"/>
      <c r="O109" s="449">
        <f>O11</f>
        <v>3</v>
      </c>
      <c r="P109" s="450"/>
      <c r="Q109" s="451"/>
      <c r="R109" s="449">
        <f>R11</f>
        <v>4</v>
      </c>
      <c r="S109" s="450"/>
      <c r="T109" s="451"/>
      <c r="U109" s="449">
        <f>U11</f>
        <v>5</v>
      </c>
      <c r="V109" s="450"/>
      <c r="W109" s="451"/>
      <c r="X109" s="449">
        <f>X11</f>
        <v>6</v>
      </c>
      <c r="Y109" s="450"/>
      <c r="Z109" s="451"/>
      <c r="AA109" s="449">
        <f>AA11</f>
        <v>7</v>
      </c>
      <c r="AB109" s="450"/>
      <c r="AC109" s="451"/>
      <c r="AD109" s="449">
        <f>AD11</f>
        <v>8</v>
      </c>
      <c r="AE109" s="450"/>
      <c r="AF109" s="451"/>
    </row>
    <row r="110" spans="2:32" ht="18.75" customHeight="1" thickTop="1">
      <c r="H110" s="478" t="s">
        <v>40</v>
      </c>
      <c r="I110" s="472"/>
      <c r="J110" s="473"/>
      <c r="K110" s="473"/>
      <c r="L110" s="378"/>
      <c r="M110" s="378"/>
      <c r="N110" s="378"/>
      <c r="O110" s="378"/>
      <c r="P110" s="378"/>
      <c r="Q110" s="378"/>
      <c r="R110" s="378"/>
      <c r="S110" s="378"/>
      <c r="T110" s="378"/>
      <c r="U110" s="378"/>
      <c r="V110" s="378"/>
      <c r="W110" s="378"/>
      <c r="X110" s="378"/>
      <c r="Y110" s="378"/>
      <c r="Z110" s="378"/>
      <c r="AA110" s="378"/>
      <c r="AB110" s="378"/>
      <c r="AC110" s="378"/>
      <c r="AD110" s="378"/>
      <c r="AE110" s="378"/>
      <c r="AF110" s="378"/>
    </row>
    <row r="111" spans="2:32" ht="18.75" customHeight="1">
      <c r="H111" s="479"/>
      <c r="I111" s="474"/>
      <c r="J111" s="475"/>
      <c r="K111" s="475"/>
      <c r="L111" s="379"/>
      <c r="M111" s="379"/>
      <c r="N111" s="379"/>
      <c r="O111" s="379"/>
      <c r="P111" s="379"/>
      <c r="Q111" s="379"/>
      <c r="R111" s="379"/>
      <c r="S111" s="379"/>
      <c r="T111" s="379"/>
      <c r="U111" s="379"/>
      <c r="V111" s="379"/>
      <c r="W111" s="379"/>
      <c r="X111" s="379"/>
      <c r="Y111" s="379"/>
      <c r="Z111" s="379"/>
      <c r="AA111" s="379"/>
      <c r="AB111" s="379"/>
      <c r="AC111" s="379"/>
      <c r="AD111" s="379"/>
      <c r="AE111" s="379"/>
      <c r="AF111" s="379"/>
    </row>
    <row r="112" spans="2:32" ht="18.75" customHeight="1">
      <c r="H112" s="479"/>
      <c r="I112" s="474"/>
      <c r="J112" s="475"/>
      <c r="K112" s="475"/>
      <c r="L112" s="379"/>
      <c r="M112" s="379"/>
      <c r="N112" s="379"/>
      <c r="O112" s="379"/>
      <c r="P112" s="379"/>
      <c r="Q112" s="379"/>
      <c r="R112" s="379"/>
      <c r="S112" s="379"/>
      <c r="T112" s="379"/>
      <c r="U112" s="379"/>
      <c r="V112" s="379"/>
      <c r="W112" s="379"/>
      <c r="X112" s="379"/>
      <c r="Y112" s="379"/>
      <c r="Z112" s="379"/>
      <c r="AA112" s="379"/>
      <c r="AB112" s="379"/>
      <c r="AC112" s="379"/>
      <c r="AD112" s="379"/>
      <c r="AE112" s="379"/>
      <c r="AF112" s="379"/>
    </row>
    <row r="113" spans="1:32" ht="18.75" customHeight="1" thickBot="1">
      <c r="H113" s="480"/>
      <c r="I113" s="476"/>
      <c r="J113" s="477"/>
      <c r="K113" s="477"/>
      <c r="L113" s="380"/>
      <c r="M113" s="380"/>
      <c r="N113" s="380"/>
      <c r="O113" s="380"/>
      <c r="P113" s="380"/>
      <c r="Q113" s="380"/>
      <c r="R113" s="380"/>
      <c r="S113" s="380"/>
      <c r="T113" s="380"/>
      <c r="U113" s="380"/>
      <c r="V113" s="380"/>
      <c r="W113" s="380"/>
      <c r="X113" s="380"/>
      <c r="Y113" s="380"/>
      <c r="Z113" s="380"/>
      <c r="AA113" s="380"/>
      <c r="AB113" s="380"/>
      <c r="AC113" s="380"/>
      <c r="AD113" s="380"/>
      <c r="AE113" s="380"/>
      <c r="AF113" s="380"/>
    </row>
    <row r="114" spans="1:32" ht="18.75" customHeight="1" thickTop="1">
      <c r="B114" s="24" t="s">
        <v>5</v>
      </c>
      <c r="C114" s="2"/>
      <c r="G114" s="2"/>
      <c r="H114" s="478" t="s">
        <v>79</v>
      </c>
      <c r="I114" s="472" t="s">
        <v>264</v>
      </c>
      <c r="J114" s="473"/>
      <c r="K114" s="473"/>
      <c r="L114" s="472" t="s">
        <v>269</v>
      </c>
      <c r="M114" s="473"/>
      <c r="N114" s="473"/>
      <c r="O114" s="472" t="s">
        <v>269</v>
      </c>
      <c r="P114" s="473"/>
      <c r="Q114" s="473"/>
      <c r="R114" s="472" t="s">
        <v>266</v>
      </c>
      <c r="S114" s="473"/>
      <c r="T114" s="473"/>
      <c r="U114" s="472" t="s">
        <v>271</v>
      </c>
      <c r="V114" s="473"/>
      <c r="W114" s="473"/>
      <c r="X114" s="472" t="s">
        <v>265</v>
      </c>
      <c r="Y114" s="473"/>
      <c r="Z114" s="473"/>
      <c r="AA114" s="472" t="s">
        <v>271</v>
      </c>
      <c r="AB114" s="473"/>
      <c r="AC114" s="473"/>
      <c r="AD114" s="472" t="s">
        <v>264</v>
      </c>
      <c r="AE114" s="473"/>
      <c r="AF114" s="473"/>
    </row>
    <row r="115" spans="1:32" ht="18.75" customHeight="1">
      <c r="H115" s="479"/>
      <c r="I115" s="474"/>
      <c r="J115" s="475"/>
      <c r="K115" s="475"/>
      <c r="L115" s="474"/>
      <c r="M115" s="475"/>
      <c r="N115" s="475"/>
      <c r="O115" s="474"/>
      <c r="P115" s="475"/>
      <c r="Q115" s="475"/>
      <c r="R115" s="474"/>
      <c r="S115" s="475"/>
      <c r="T115" s="475"/>
      <c r="U115" s="474"/>
      <c r="V115" s="475"/>
      <c r="W115" s="475"/>
      <c r="X115" s="474"/>
      <c r="Y115" s="475"/>
      <c r="Z115" s="475"/>
      <c r="AA115" s="474"/>
      <c r="AB115" s="475"/>
      <c r="AC115" s="475"/>
      <c r="AD115" s="474"/>
      <c r="AE115" s="475"/>
      <c r="AF115" s="475"/>
    </row>
    <row r="116" spans="1:32" ht="18.75" customHeight="1">
      <c r="H116" s="479"/>
      <c r="I116" s="474"/>
      <c r="J116" s="475"/>
      <c r="K116" s="475"/>
      <c r="L116" s="474"/>
      <c r="M116" s="475"/>
      <c r="N116" s="475"/>
      <c r="O116" s="474"/>
      <c r="P116" s="475"/>
      <c r="Q116" s="475"/>
      <c r="R116" s="474"/>
      <c r="S116" s="475"/>
      <c r="T116" s="475"/>
      <c r="U116" s="474"/>
      <c r="V116" s="475"/>
      <c r="W116" s="475"/>
      <c r="X116" s="474"/>
      <c r="Y116" s="475"/>
      <c r="Z116" s="475"/>
      <c r="AA116" s="474"/>
      <c r="AB116" s="475"/>
      <c r="AC116" s="475"/>
      <c r="AD116" s="474"/>
      <c r="AE116" s="475"/>
      <c r="AF116" s="475"/>
    </row>
    <row r="117" spans="1:32" ht="18.75" customHeight="1" thickBot="1">
      <c r="B117" s="2"/>
      <c r="C117" s="2"/>
      <c r="G117" s="2"/>
      <c r="H117" s="480"/>
      <c r="I117" s="476"/>
      <c r="J117" s="477"/>
      <c r="K117" s="477"/>
      <c r="L117" s="476"/>
      <c r="M117" s="477"/>
      <c r="N117" s="477"/>
      <c r="O117" s="476"/>
      <c r="P117" s="477"/>
      <c r="Q117" s="477"/>
      <c r="R117" s="476"/>
      <c r="S117" s="477"/>
      <c r="T117" s="477"/>
      <c r="U117" s="476"/>
      <c r="V117" s="477"/>
      <c r="W117" s="477"/>
      <c r="X117" s="476"/>
      <c r="Y117" s="477"/>
      <c r="Z117" s="477"/>
      <c r="AA117" s="476"/>
      <c r="AB117" s="477"/>
      <c r="AC117" s="477"/>
      <c r="AD117" s="476"/>
      <c r="AE117" s="477"/>
      <c r="AF117" s="477"/>
    </row>
    <row r="118" spans="1:32" s="118" customFormat="1" ht="13.5" hidden="1" thickTop="1">
      <c r="A118" s="3"/>
      <c r="B118" s="3"/>
      <c r="C118" s="3"/>
      <c r="D118" s="3"/>
      <c r="E118" s="3"/>
      <c r="F118" s="3"/>
      <c r="G118" s="3"/>
      <c r="H118" s="285" t="s">
        <v>117</v>
      </c>
      <c r="I118" s="3"/>
      <c r="J118" s="3"/>
      <c r="K118" s="3"/>
      <c r="L118" s="3"/>
      <c r="M118" s="3"/>
      <c r="N118" s="3"/>
      <c r="O118" s="3"/>
      <c r="P118" s="3"/>
      <c r="Q118" s="3"/>
      <c r="R118" s="3"/>
      <c r="S118" s="3"/>
      <c r="T118" s="3"/>
      <c r="U118" s="3"/>
      <c r="V118" s="3"/>
      <c r="W118" s="3"/>
      <c r="X118" s="3"/>
      <c r="Y118" s="3"/>
      <c r="Z118" s="3"/>
      <c r="AA118" s="3"/>
      <c r="AB118" s="3"/>
      <c r="AC118" s="3"/>
      <c r="AD118" s="3"/>
      <c r="AE118" s="3"/>
      <c r="AF118" s="3"/>
    </row>
    <row r="119" spans="1:32" ht="13.5" hidden="1" thickTop="1"/>
    <row r="120" spans="1:32" ht="13.5" hidden="1" thickTop="1"/>
    <row r="121" spans="1:32" ht="13.5" hidden="1" thickTop="1"/>
    <row r="122" spans="1:32" ht="13.5" hidden="1" thickTop="1"/>
    <row r="123" spans="1:32" ht="13.5" hidden="1" thickTop="1"/>
    <row r="124" spans="1:32" ht="13.5" hidden="1" thickTop="1"/>
    <row r="125" spans="1:32" ht="13.5" hidden="1" thickTop="1"/>
    <row r="126" spans="1:32" ht="13.5" hidden="1" thickTop="1"/>
    <row r="127" spans="1:32" ht="13.5" hidden="1" thickTop="1"/>
    <row r="128" spans="1:32" ht="13.5" hidden="1" thickTop="1"/>
    <row r="129" ht="13.5" hidden="1" thickTop="1"/>
    <row r="130" ht="13.5" hidden="1" thickTop="1"/>
    <row r="131" ht="13.5" hidden="1" thickTop="1"/>
    <row r="132" ht="13.5" hidden="1" thickTop="1"/>
    <row r="133" ht="13.5" hidden="1" thickTop="1"/>
    <row r="134" ht="13.5" hidden="1" thickTop="1"/>
    <row r="135" ht="13.5" hidden="1" thickTop="1"/>
    <row r="136" ht="13.5" hidden="1" thickTop="1"/>
    <row r="137" ht="13.5" hidden="1" thickTop="1"/>
    <row r="138" ht="13.5" hidden="1" thickTop="1"/>
    <row r="139" ht="13.5" hidden="1" thickTop="1"/>
    <row r="140" ht="13.5" hidden="1" thickTop="1"/>
    <row r="141" ht="13.5" hidden="1" thickTop="1"/>
    <row r="142" ht="13.5" hidden="1" thickTop="1"/>
    <row r="143" ht="13.5" hidden="1" thickTop="1"/>
    <row r="144" ht="13.5" hidden="1" thickTop="1"/>
    <row r="145" ht="13.5" hidden="1" thickTop="1"/>
    <row r="146" ht="13.5" hidden="1" thickTop="1"/>
    <row r="147" ht="13.5" hidden="1" thickTop="1"/>
    <row r="148" ht="13.5" hidden="1" thickTop="1"/>
    <row r="149" ht="13.5" hidden="1" thickTop="1"/>
    <row r="150" ht="13.5" hidden="1" thickTop="1"/>
    <row r="151" ht="13.5" hidden="1" thickTop="1"/>
    <row r="152" ht="13.5" hidden="1" thickTop="1"/>
    <row r="153" ht="13.5" hidden="1" thickTop="1"/>
    <row r="154" ht="13.5" hidden="1" thickTop="1"/>
    <row r="155" ht="13.5" hidden="1" thickTop="1"/>
    <row r="156" ht="13.5" hidden="1" thickTop="1"/>
    <row r="157" ht="13.5" hidden="1" thickTop="1"/>
    <row r="158" ht="13.5" hidden="1" thickTop="1"/>
    <row r="159" ht="13.5" hidden="1" thickTop="1"/>
    <row r="160" ht="13.5" hidden="1" thickTop="1"/>
    <row r="161" spans="9:30" ht="13.5" hidden="1" thickTop="1"/>
    <row r="162" spans="9:30" ht="13.5" hidden="1" thickTop="1"/>
    <row r="163" spans="9:30" ht="13.5" hidden="1" thickTop="1"/>
    <row r="164" spans="9:30" ht="13.5" hidden="1" thickTop="1"/>
    <row r="165" spans="9:30" ht="13.5" hidden="1" thickTop="1"/>
    <row r="166" spans="9:30" ht="13.5" hidden="1" thickTop="1"/>
    <row r="167" spans="9:30" ht="13.5" hidden="1" thickTop="1"/>
    <row r="168" spans="9:30" ht="13.5" hidden="1" thickTop="1"/>
    <row r="169" spans="9:30" ht="13.5" hidden="1" thickTop="1"/>
    <row r="170" spans="9:30" ht="13.5" hidden="1" thickTop="1"/>
    <row r="171" spans="9:30" ht="13.5" hidden="1" thickTop="1"/>
    <row r="172" spans="9:30" ht="13.5" hidden="1" thickTop="1"/>
    <row r="173" spans="9:30" ht="13.5" hidden="1" thickTop="1"/>
    <row r="174" spans="9:30" ht="13.5" hidden="1" thickTop="1"/>
    <row r="175" spans="9:30" ht="14.25" thickTop="1" thickBot="1">
      <c r="I175" s="10" t="s">
        <v>268</v>
      </c>
      <c r="L175" s="14" t="s">
        <v>268</v>
      </c>
      <c r="O175" s="14" t="s">
        <v>268</v>
      </c>
      <c r="R175" s="14" t="s">
        <v>268</v>
      </c>
      <c r="U175" s="14" t="s">
        <v>270</v>
      </c>
      <c r="X175" s="14" t="s">
        <v>268</v>
      </c>
      <c r="AA175" s="14" t="s">
        <v>270</v>
      </c>
      <c r="AD175" s="14" t="s">
        <v>270</v>
      </c>
    </row>
    <row r="176" spans="9:30" ht="15.75" thickBot="1">
      <c r="J176" s="210"/>
    </row>
    <row r="177" spans="10:31" ht="13.5" thickTop="1">
      <c r="J177" s="405"/>
      <c r="M177" s="405"/>
      <c r="P177" s="405"/>
      <c r="S177" s="405"/>
      <c r="V177" s="405"/>
      <c r="Y177" s="405"/>
      <c r="AB177" s="405"/>
      <c r="AE177" s="405"/>
    </row>
    <row r="178" spans="10:31"/>
    <row r="179" spans="10:31"/>
    <row r="180" spans="10:31"/>
    <row r="181" spans="10:31"/>
    <row r="182" spans="10:31"/>
    <row r="183" spans="10:31"/>
    <row r="184" spans="10:31"/>
    <row r="185" spans="10:31"/>
    <row r="186" spans="10:31"/>
    <row r="187" spans="10:31"/>
    <row r="188" spans="10:31"/>
    <row r="189" spans="10:31"/>
    <row r="190" spans="10:31"/>
    <row r="191" spans="10:31"/>
    <row r="192" spans="10:31"/>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sheetData>
  <sheetProtection formatRows="0" insertRows="0" selectLockedCells="1"/>
  <protectedRanges>
    <protectedRange password="F692" sqref="B63:C63 B15:C15 E15:H15 B49:C49 E49:H49 B37:C37 E63:H63 B52:C52 E52:H52 E58:H58 B58:C58 B33:H33 B16:H31 C107:H107 B50:H51 E76:H76 B76:C76 B77:H83 B64:H66 B74:C74 B59:H62 E74:H74 B75:H75 E37:H37 B38:H48 B53:H57 B100:H105 J24 M24 P24 S24 V24 Y24 J26 M26 P26 S26 V26 Y26 J28 M28 P28 S28 V28 Y28 J30 M30 P30 S30 V30 Y30 J37 M37 P37 S37 V37 Y37 AB37 AE37 J49 M49 P49 S49 V49 Y49 AB49 AE49 J52 M52 P52 S52 V52 Y52 AB52 AE52 J58 M58 P58 S58 V58 Y58 AB58 AE58 J63 M63 P63 S63 V63 Y63 AB63 AE63 AB24 AB26 AB28 AB30 AE24 AE26 AE28 AE30 J33 M33 S33 V33 Y33 AB33 AE33 P33" name="Rango1_1_1_2"/>
    <protectedRange password="F692" sqref="J107 M107 S107 V107 Y107 AB107 P107 AE107 Y100:Y105 V100:V105 S100:S105 P100:P105 M100:M105 J100:J105 AB100:AB105 AE100:AE105" name="Rango1_1_1_3"/>
    <protectedRange password="F692" sqref="B34:H34 J34 M34 P34 S34 V34 Y34 AB34 AE34" name="Rango1_1_1_2_2"/>
    <protectedRange password="F692" sqref="B106:H106 B67:H71 B84:H87 B32:H32 B89:H99 J32 M32 P32 S32 V32 Y32 AB32 AE32" name="Rango1_1_1_2_6"/>
    <protectedRange password="F692" sqref="AE84:AE87 J67:J71 J84:J87 J106 P67:P71 S67:S71 S84:S87 AE106 S106 P84:P87 V67:V71 V84:V87 M67:M71 V106 M84:M87 Y67:Y71 Y84:Y87 Y106 AB67:AB71 AB84:AB87 M106 AB106 P106 AE67:AE71 J89:J99 S89:S99 P89:P99 V89:V99 M89:M99 Y89:Y99 AB89:AB99 AE89:AE99" name="Rango1_1_1_3_4_1"/>
    <protectedRange password="F692" sqref="Y17:Y23 J17:J23 V17:V23 P17:P23 M17:M23 S17:S23 J25 M25 P25 S25 V25 Y25 J27 S27 V27 Y27 J29 M29 P29 S29 V29 Y29 J31 M31 P31 S31 V31 Y31 AB25 AB27 AB29 AB31 AE25 AE27 AE29 AE31 AB17:AB23 AE17:AE23 M27 P27" name="Rango1_1_1_3_6_1"/>
  </protectedRanges>
  <mergeCells count="90">
    <mergeCell ref="X114:Z117"/>
    <mergeCell ref="AA114:AC117"/>
    <mergeCell ref="AD114:AF117"/>
    <mergeCell ref="U12:W12"/>
    <mergeCell ref="U13:W13"/>
    <mergeCell ref="U35:W35"/>
    <mergeCell ref="U72:W72"/>
    <mergeCell ref="B107:H107"/>
    <mergeCell ref="L114:N117"/>
    <mergeCell ref="O114:Q117"/>
    <mergeCell ref="R114:T117"/>
    <mergeCell ref="U114:W117"/>
    <mergeCell ref="L109:N109"/>
    <mergeCell ref="R109:T109"/>
    <mergeCell ref="U109:W109"/>
    <mergeCell ref="I114:K117"/>
    <mergeCell ref="H114:H117"/>
    <mergeCell ref="H110:H113"/>
    <mergeCell ref="I110:K113"/>
    <mergeCell ref="I109:K109"/>
    <mergeCell ref="B6:H6"/>
    <mergeCell ref="X10:Z10"/>
    <mergeCell ref="X11:Z11"/>
    <mergeCell ref="X12:Z12"/>
    <mergeCell ref="X13:Z13"/>
    <mergeCell ref="I10:K10"/>
    <mergeCell ref="B11:H11"/>
    <mergeCell ref="B12:H12"/>
    <mergeCell ref="I11:K11"/>
    <mergeCell ref="I12:K12"/>
    <mergeCell ref="L10:N10"/>
    <mergeCell ref="L11:N11"/>
    <mergeCell ref="L12:N12"/>
    <mergeCell ref="R10:T10"/>
    <mergeCell ref="R11:T11"/>
    <mergeCell ref="R12:T12"/>
    <mergeCell ref="B7:H7"/>
    <mergeCell ref="B9:H9"/>
    <mergeCell ref="B13:H13"/>
    <mergeCell ref="I13:K13"/>
    <mergeCell ref="L13:N13"/>
    <mergeCell ref="B1:H1"/>
    <mergeCell ref="B2:H2"/>
    <mergeCell ref="B3:H3"/>
    <mergeCell ref="B4:H4"/>
    <mergeCell ref="B5:H5"/>
    <mergeCell ref="B72:H72"/>
    <mergeCell ref="I72:K72"/>
    <mergeCell ref="B35:H35"/>
    <mergeCell ref="B87:H87"/>
    <mergeCell ref="I87:K87"/>
    <mergeCell ref="AD10:AF10"/>
    <mergeCell ref="AD11:AF11"/>
    <mergeCell ref="AD12:AF12"/>
    <mergeCell ref="AD13:AF13"/>
    <mergeCell ref="I35:K35"/>
    <mergeCell ref="O10:Q10"/>
    <mergeCell ref="O11:Q11"/>
    <mergeCell ref="O12:Q12"/>
    <mergeCell ref="O13:Q13"/>
    <mergeCell ref="AA10:AC10"/>
    <mergeCell ref="AA11:AC11"/>
    <mergeCell ref="AA12:AC12"/>
    <mergeCell ref="AA13:AC13"/>
    <mergeCell ref="R13:T13"/>
    <mergeCell ref="U10:W10"/>
    <mergeCell ref="U11:W11"/>
    <mergeCell ref="O35:Q35"/>
    <mergeCell ref="O72:Q72"/>
    <mergeCell ref="O109:Q109"/>
    <mergeCell ref="L35:N35"/>
    <mergeCell ref="L72:N72"/>
    <mergeCell ref="L87:N87"/>
    <mergeCell ref="O87:Q87"/>
    <mergeCell ref="R35:T35"/>
    <mergeCell ref="R72:T72"/>
    <mergeCell ref="R87:T87"/>
    <mergeCell ref="U87:W87"/>
    <mergeCell ref="AD109:AF109"/>
    <mergeCell ref="AD35:AF35"/>
    <mergeCell ref="AD72:AF72"/>
    <mergeCell ref="AD87:AF87"/>
    <mergeCell ref="X109:Z109"/>
    <mergeCell ref="AA35:AC35"/>
    <mergeCell ref="AA72:AC72"/>
    <mergeCell ref="AA109:AC109"/>
    <mergeCell ref="X35:Z35"/>
    <mergeCell ref="X72:Z72"/>
    <mergeCell ref="X87:Z87"/>
    <mergeCell ref="AA87:AC87"/>
  </mergeCells>
  <phoneticPr fontId="4" type="noConversion"/>
  <conditionalFormatting sqref="H108">
    <cfRule type="cellIs" dxfId="706" priority="119626" operator="notEqual">
      <formula>""</formula>
    </cfRule>
  </conditionalFormatting>
  <conditionalFormatting sqref="K38:K48 N38:N48 Q38:Q48 T38:T48 W38:W48 Z38:Z48 AC38:AC48 AF38:AF48 K15:K23 K85:K86 K75:K83 AF64:AF66 AC64:AC66 Z64:Z66 W64:W66 T64:T66 Q64:Q66 N64:N66 K64:K66 AF59:AF62 AC59:AC62 Z59:Z62 W59:W62 T59:T62 Q59:Q62 N59:N62 K59:K62 AF53:AF57 AC53:AC57 Z53:Z57 W53:W57 T53:T57 Q53:Q57 N53:N57 K53:K57 AF50:AF51 AC50:AC51 Z50:Z51 W50:W51 T50:T51 Q50:Q51 N50:N51 K50:K51 K25 K27 K29 K31 AC90:AC105 AF90:AF105 Z90:Z105 W90:W105 T90:T105 Q90:Q105 N90:N105 K90:K108">
    <cfRule type="cellIs" dxfId="705" priority="119508" operator="equal">
      <formula>"VÁLIDA"</formula>
    </cfRule>
  </conditionalFormatting>
  <conditionalFormatting sqref="I16:K16 I53:K53 I86:K86 J107:K107 I48:K48 I108:K109 I98:K99 I100:I102 L100:L102 N100:O102 Q100:R102 T100:U102 W100:X102 Z100:AA102 AC100:AD102 Z104:AA105 AC104:AD105 AC103 AF100:AF105 W104:X105 Z103 T104:U105 W103 Q104:R105 N104:O105 L104:L105 I104:I105 T103:T104 Q103:Q104 N103:N104 I110:AF117">
    <cfRule type="expression" dxfId="704" priority="98121" stopIfTrue="1">
      <formula>AND(ROW()=CELL("ROW"),COLUMN()=CELL("COL"))</formula>
    </cfRule>
  </conditionalFormatting>
  <conditionalFormatting sqref="I10:AF10">
    <cfRule type="cellIs" dxfId="703" priority="68055" operator="equal">
      <formula>"ADMISIBLE"</formula>
    </cfRule>
  </conditionalFormatting>
  <conditionalFormatting sqref="I107">
    <cfRule type="cellIs" dxfId="702" priority="3039" operator="notEqual">
      <formula>""</formula>
    </cfRule>
  </conditionalFormatting>
  <conditionalFormatting sqref="K38:K48 N38:N48 Q38:Q48 T38:T48 W38:W48 Z38:Z48 AC38:AC48 AF38:AF48 K14:K23 K85:K86 K75:K83 AF64:AF66 AC64:AC66 Z64:Z66 W64:W66 T64:T66 Q64:Q66 N64:N66 K64:K66 AF59:AF62 AC59:AC62 Z59:Z62 W59:W62 T59:T62 Q59:Q62 N59:N62 K59:K62 AF53:AF57 AC53:AC57 Z53:Z57 W53:W57 T53:T57 Q53:Q57 N53:N57 K53:K57 AF50:AF51 AC50:AC51 Z50:Z51 W50:W51 T50:T51 Q50:Q51 N50:N51 K50:K51 K25 K27 K29 K31 AC90:AC105 AF90:AF105 Z90:Z105 W90:W105 T90:T105 Q90:Q105 N90:N105 K90:K108">
    <cfRule type="cellIs" dxfId="701" priority="119507" operator="equal">
      <formula>"NO VÁLIDA"</formula>
    </cfRule>
  </conditionalFormatting>
  <conditionalFormatting sqref="K36">
    <cfRule type="cellIs" dxfId="700" priority="1703" operator="equal">
      <formula>"NO VÁLIDA"</formula>
    </cfRule>
  </conditionalFormatting>
  <conditionalFormatting sqref="K67 K69 K71">
    <cfRule type="cellIs" dxfId="699" priority="1702" operator="equal">
      <formula>"VÁLIDA"</formula>
    </cfRule>
  </conditionalFormatting>
  <conditionalFormatting sqref="I67:K67 I69:K69 J68 I71:K71 J70">
    <cfRule type="expression" dxfId="698" priority="1701" stopIfTrue="1">
      <formula>AND(ROW()=CELL("ROW"),COLUMN()=CELL("COL"))</formula>
    </cfRule>
  </conditionalFormatting>
  <conditionalFormatting sqref="K67 K69 K71">
    <cfRule type="cellIs" dxfId="697" priority="1699" operator="equal">
      <formula>"NO VÁLIDA"</formula>
    </cfRule>
  </conditionalFormatting>
  <conditionalFormatting sqref="K74">
    <cfRule type="cellIs" dxfId="696" priority="1698" operator="equal">
      <formula>"VÁLIDA"</formula>
    </cfRule>
  </conditionalFormatting>
  <conditionalFormatting sqref="K73:K74">
    <cfRule type="cellIs" dxfId="695" priority="1696" operator="equal">
      <formula>"NO VÁLIDA"</formula>
    </cfRule>
  </conditionalFormatting>
  <conditionalFormatting sqref="K84">
    <cfRule type="cellIs" dxfId="694" priority="1695" operator="equal">
      <formula>"VÁLIDA"</formula>
    </cfRule>
  </conditionalFormatting>
  <conditionalFormatting sqref="I84:K84 J85">
    <cfRule type="expression" dxfId="693" priority="1694" stopIfTrue="1">
      <formula>AND(ROW()=CELL("ROW"),COLUMN()=CELL("COL"))</formula>
    </cfRule>
  </conditionalFormatting>
  <conditionalFormatting sqref="K84">
    <cfRule type="cellIs" dxfId="692" priority="1692" operator="equal">
      <formula>"NO VÁLIDA"</formula>
    </cfRule>
  </conditionalFormatting>
  <conditionalFormatting sqref="K32">
    <cfRule type="cellIs" dxfId="691" priority="1691" operator="equal">
      <formula>"VÁLIDA"</formula>
    </cfRule>
  </conditionalFormatting>
  <conditionalFormatting sqref="I32 K32">
    <cfRule type="expression" dxfId="690" priority="1690" stopIfTrue="1">
      <formula>AND(ROW()=CELL("ROW"),COLUMN()=CELL("COL"))</formula>
    </cfRule>
  </conditionalFormatting>
  <conditionalFormatting sqref="K32">
    <cfRule type="cellIs" dxfId="689" priority="1688" operator="equal">
      <formula>"NO VÁLIDA"</formula>
    </cfRule>
  </conditionalFormatting>
  <conditionalFormatting sqref="K33:K34">
    <cfRule type="cellIs" dxfId="688" priority="1687" operator="equal">
      <formula>"VÁLIDA"</formula>
    </cfRule>
  </conditionalFormatting>
  <conditionalFormatting sqref="I33:I34 K33:K34">
    <cfRule type="expression" dxfId="687" priority="1686" stopIfTrue="1">
      <formula>AND(ROW()=CELL("ROW"),COLUMN()=CELL("COL"))</formula>
    </cfRule>
  </conditionalFormatting>
  <conditionalFormatting sqref="K33:K34">
    <cfRule type="cellIs" dxfId="686" priority="1684" operator="equal">
      <formula>"NO VÁLIDA"</formula>
    </cfRule>
  </conditionalFormatting>
  <conditionalFormatting sqref="I100:J102 I104:J106">
    <cfRule type="expression" dxfId="685" priority="1664" stopIfTrue="1">
      <formula>AND(ROW()=CELL("ROW"),COLUMN()=CELL("COL"))</formula>
    </cfRule>
  </conditionalFormatting>
  <conditionalFormatting sqref="N15">
    <cfRule type="cellIs" dxfId="684" priority="1577" operator="equal">
      <formula>"VÁLIDA"</formula>
    </cfRule>
  </conditionalFormatting>
  <conditionalFormatting sqref="N14:N15">
    <cfRule type="cellIs" dxfId="683" priority="1576" operator="equal">
      <formula>"NO VÁLIDA"</formula>
    </cfRule>
  </conditionalFormatting>
  <conditionalFormatting sqref="Q15">
    <cfRule type="cellIs" dxfId="682" priority="1575" operator="equal">
      <formula>"VÁLIDA"</formula>
    </cfRule>
  </conditionalFormatting>
  <conditionalFormatting sqref="Q14:Q15">
    <cfRule type="cellIs" dxfId="681" priority="1574" operator="equal">
      <formula>"NO VÁLIDA"</formula>
    </cfRule>
  </conditionalFormatting>
  <conditionalFormatting sqref="T15">
    <cfRule type="cellIs" dxfId="680" priority="1573" operator="equal">
      <formula>"VÁLIDA"</formula>
    </cfRule>
  </conditionalFormatting>
  <conditionalFormatting sqref="T14:T15">
    <cfRule type="cellIs" dxfId="679" priority="1572" operator="equal">
      <formula>"NO VÁLIDA"</formula>
    </cfRule>
  </conditionalFormatting>
  <conditionalFormatting sqref="W15">
    <cfRule type="cellIs" dxfId="678" priority="1571" operator="equal">
      <formula>"VÁLIDA"</formula>
    </cfRule>
  </conditionalFormatting>
  <conditionalFormatting sqref="W14:W15">
    <cfRule type="cellIs" dxfId="677" priority="1570" operator="equal">
      <formula>"NO VÁLIDA"</formula>
    </cfRule>
  </conditionalFormatting>
  <conditionalFormatting sqref="Z15">
    <cfRule type="cellIs" dxfId="676" priority="1569" operator="equal">
      <formula>"VÁLIDA"</formula>
    </cfRule>
  </conditionalFormatting>
  <conditionalFormatting sqref="Z14:Z15">
    <cfRule type="cellIs" dxfId="675" priority="1568" operator="equal">
      <formula>"NO VÁLIDA"</formula>
    </cfRule>
  </conditionalFormatting>
  <conditionalFormatting sqref="AC15">
    <cfRule type="cellIs" dxfId="674" priority="1567" operator="equal">
      <formula>"VÁLIDA"</formula>
    </cfRule>
  </conditionalFormatting>
  <conditionalFormatting sqref="AC14:AC15">
    <cfRule type="cellIs" dxfId="673" priority="1566" operator="equal">
      <formula>"NO VÁLIDA"</formula>
    </cfRule>
  </conditionalFormatting>
  <conditionalFormatting sqref="AF15">
    <cfRule type="cellIs" dxfId="672" priority="1565" operator="equal">
      <formula>"VÁLIDA"</formula>
    </cfRule>
  </conditionalFormatting>
  <conditionalFormatting sqref="AF14:AF15">
    <cfRule type="cellIs" dxfId="671" priority="1564" operator="equal">
      <formula>"NO VÁLIDA"</formula>
    </cfRule>
  </conditionalFormatting>
  <conditionalFormatting sqref="N86 N107:N108 N16:N23 N75:N83 N25 N27 N29 N31">
    <cfRule type="cellIs" dxfId="670" priority="1349" operator="equal">
      <formula>"VÁLIDA"</formula>
    </cfRule>
  </conditionalFormatting>
  <conditionalFormatting sqref="L108:N109 M107:N107 L16:N16 L53:N53 L86:N86 L48:N48 L98:N99">
    <cfRule type="expression" dxfId="669" priority="1348" stopIfTrue="1">
      <formula>AND(ROW()=CELL("ROW"),COLUMN()=CELL("COL"))</formula>
    </cfRule>
  </conditionalFormatting>
  <conditionalFormatting sqref="L107">
    <cfRule type="cellIs" dxfId="668" priority="1347" operator="notEqual">
      <formula>""</formula>
    </cfRule>
  </conditionalFormatting>
  <conditionalFormatting sqref="N86 N107:N108 N16:N23 N75:N83 N25 N27 N29 N31">
    <cfRule type="cellIs" dxfId="667" priority="1346" operator="equal">
      <formula>"NO VÁLIDA"</formula>
    </cfRule>
  </conditionalFormatting>
  <conditionalFormatting sqref="N36">
    <cfRule type="cellIs" dxfId="666" priority="1344" operator="equal">
      <formula>"NO VÁLIDA"</formula>
    </cfRule>
  </conditionalFormatting>
  <conditionalFormatting sqref="N67 N69 N71">
    <cfRule type="cellIs" dxfId="665" priority="1343" operator="equal">
      <formula>"VÁLIDA"</formula>
    </cfRule>
  </conditionalFormatting>
  <conditionalFormatting sqref="L67:N67 M68 L71:N71 M70 L69:O69">
    <cfRule type="expression" dxfId="664" priority="1342" stopIfTrue="1">
      <formula>AND(ROW()=CELL("ROW"),COLUMN()=CELL("COL"))</formula>
    </cfRule>
  </conditionalFormatting>
  <conditionalFormatting sqref="N67 N69 N71">
    <cfRule type="cellIs" dxfId="663" priority="1341" operator="equal">
      <formula>"NO VÁLIDA"</formula>
    </cfRule>
  </conditionalFormatting>
  <conditionalFormatting sqref="N74">
    <cfRule type="cellIs" dxfId="662" priority="1340" operator="equal">
      <formula>"VÁLIDA"</formula>
    </cfRule>
  </conditionalFormatting>
  <conditionalFormatting sqref="N73:N74">
    <cfRule type="cellIs" dxfId="661" priority="1339" operator="equal">
      <formula>"NO VÁLIDA"</formula>
    </cfRule>
  </conditionalFormatting>
  <conditionalFormatting sqref="N84">
    <cfRule type="cellIs" dxfId="660" priority="1338" operator="equal">
      <formula>"VÁLIDA"</formula>
    </cfRule>
  </conditionalFormatting>
  <conditionalFormatting sqref="L84:N84 M85">
    <cfRule type="expression" dxfId="659" priority="1337" stopIfTrue="1">
      <formula>AND(ROW()=CELL("ROW"),COLUMN()=CELL("COL"))</formula>
    </cfRule>
  </conditionalFormatting>
  <conditionalFormatting sqref="N84">
    <cfRule type="cellIs" dxfId="658" priority="1336" operator="equal">
      <formula>"NO VÁLIDA"</formula>
    </cfRule>
  </conditionalFormatting>
  <conditionalFormatting sqref="N32">
    <cfRule type="cellIs" dxfId="657" priority="1335" operator="equal">
      <formula>"VÁLIDA"</formula>
    </cfRule>
  </conditionalFormatting>
  <conditionalFormatting sqref="L32 N32">
    <cfRule type="expression" dxfId="656" priority="1334" stopIfTrue="1">
      <formula>AND(ROW()=CELL("ROW"),COLUMN()=CELL("COL"))</formula>
    </cfRule>
  </conditionalFormatting>
  <conditionalFormatting sqref="N32">
    <cfRule type="cellIs" dxfId="655" priority="1333" operator="equal">
      <formula>"NO VÁLIDA"</formula>
    </cfRule>
  </conditionalFormatting>
  <conditionalFormatting sqref="N33:N34">
    <cfRule type="cellIs" dxfId="654" priority="1332" operator="equal">
      <formula>"VÁLIDA"</formula>
    </cfRule>
  </conditionalFormatting>
  <conditionalFormatting sqref="L33:L34 N33:N34">
    <cfRule type="expression" dxfId="653" priority="1331" stopIfTrue="1">
      <formula>AND(ROW()=CELL("ROW"),COLUMN()=CELL("COL"))</formula>
    </cfRule>
  </conditionalFormatting>
  <conditionalFormatting sqref="N33:N34">
    <cfRule type="cellIs" dxfId="652" priority="1330" operator="equal">
      <formula>"NO VÁLIDA"</formula>
    </cfRule>
  </conditionalFormatting>
  <conditionalFormatting sqref="N100:N102 N104:N106">
    <cfRule type="cellIs" dxfId="651" priority="1316" operator="equal">
      <formula>"VÁLIDA"</formula>
    </cfRule>
  </conditionalFormatting>
  <conditionalFormatting sqref="L100:N102 L104:N106">
    <cfRule type="expression" dxfId="650" priority="1315" stopIfTrue="1">
      <formula>AND(ROW()=CELL("ROW"),COLUMN()=CELL("COL"))</formula>
    </cfRule>
  </conditionalFormatting>
  <conditionalFormatting sqref="N100:N102 N104:N106">
    <cfRule type="cellIs" dxfId="649" priority="1314" operator="equal">
      <formula>"NO VÁLIDA"</formula>
    </cfRule>
  </conditionalFormatting>
  <conditionalFormatting sqref="Q86 Q107:Q108 Q16:Q20 Q75:Q83 Q23">
    <cfRule type="cellIs" dxfId="648" priority="1295" operator="equal">
      <formula>"VÁLIDA"</formula>
    </cfRule>
  </conditionalFormatting>
  <conditionalFormatting sqref="O108:Q109 P107:Q107 O16:Q16 O53:Q53 O86:Q86 O48:Q48 O98:Q99">
    <cfRule type="expression" dxfId="647" priority="1294" stopIfTrue="1">
      <formula>AND(ROW()=CELL("ROW"),COLUMN()=CELL("COL"))</formula>
    </cfRule>
  </conditionalFormatting>
  <conditionalFormatting sqref="O107">
    <cfRule type="cellIs" dxfId="646" priority="1293" operator="notEqual">
      <formula>""</formula>
    </cfRule>
  </conditionalFormatting>
  <conditionalFormatting sqref="Q86 Q107:Q108 Q16:Q20 Q75:Q83 Q23">
    <cfRule type="cellIs" dxfId="645" priority="1292" operator="equal">
      <formula>"NO VÁLIDA"</formula>
    </cfRule>
  </conditionalFormatting>
  <conditionalFormatting sqref="Q36">
    <cfRule type="cellIs" dxfId="644" priority="1290" operator="equal">
      <formula>"NO VÁLIDA"</formula>
    </cfRule>
  </conditionalFormatting>
  <conditionalFormatting sqref="Q67 Q71">
    <cfRule type="cellIs" dxfId="643" priority="1289" operator="equal">
      <formula>"VÁLIDA"</formula>
    </cfRule>
  </conditionalFormatting>
  <conditionalFormatting sqref="O67:Q67 O71:Q71 P68:P70">
    <cfRule type="expression" dxfId="642" priority="1288" stopIfTrue="1">
      <formula>AND(ROW()=CELL("ROW"),COLUMN()=CELL("COL"))</formula>
    </cfRule>
  </conditionalFormatting>
  <conditionalFormatting sqref="Q67 Q71">
    <cfRule type="cellIs" dxfId="641" priority="1287" operator="equal">
      <formula>"NO VÁLIDA"</formula>
    </cfRule>
  </conditionalFormatting>
  <conditionalFormatting sqref="Q74">
    <cfRule type="cellIs" dxfId="640" priority="1286" operator="equal">
      <formula>"VÁLIDA"</formula>
    </cfRule>
  </conditionalFormatting>
  <conditionalFormatting sqref="Q73:Q74">
    <cfRule type="cellIs" dxfId="639" priority="1285" operator="equal">
      <formula>"NO VÁLIDA"</formula>
    </cfRule>
  </conditionalFormatting>
  <conditionalFormatting sqref="Q84">
    <cfRule type="cellIs" dxfId="638" priority="1284" operator="equal">
      <formula>"VÁLIDA"</formula>
    </cfRule>
  </conditionalFormatting>
  <conditionalFormatting sqref="O84:Q84 P85">
    <cfRule type="expression" dxfId="637" priority="1283" stopIfTrue="1">
      <formula>AND(ROW()=CELL("ROW"),COLUMN()=CELL("COL"))</formula>
    </cfRule>
  </conditionalFormatting>
  <conditionalFormatting sqref="Q84">
    <cfRule type="cellIs" dxfId="636" priority="1282" operator="equal">
      <formula>"NO VÁLIDA"</formula>
    </cfRule>
  </conditionalFormatting>
  <conditionalFormatting sqref="Q32">
    <cfRule type="cellIs" dxfId="635" priority="1281" operator="equal">
      <formula>"VÁLIDA"</formula>
    </cfRule>
  </conditionalFormatting>
  <conditionalFormatting sqref="O32 Q32">
    <cfRule type="expression" dxfId="634" priority="1280" stopIfTrue="1">
      <formula>AND(ROW()=CELL("ROW"),COLUMN()=CELL("COL"))</formula>
    </cfRule>
  </conditionalFormatting>
  <conditionalFormatting sqref="Q32">
    <cfRule type="cellIs" dxfId="633" priority="1279" operator="equal">
      <formula>"NO VÁLIDA"</formula>
    </cfRule>
  </conditionalFormatting>
  <conditionalFormatting sqref="Q33:Q34">
    <cfRule type="cellIs" dxfId="632" priority="1278" operator="equal">
      <formula>"VÁLIDA"</formula>
    </cfRule>
  </conditionalFormatting>
  <conditionalFormatting sqref="O33:O34 Q33:Q34">
    <cfRule type="expression" dxfId="631" priority="1277" stopIfTrue="1">
      <formula>AND(ROW()=CELL("ROW"),COLUMN()=CELL("COL"))</formula>
    </cfRule>
  </conditionalFormatting>
  <conditionalFormatting sqref="Q33:Q34">
    <cfRule type="cellIs" dxfId="630" priority="1276" operator="equal">
      <formula>"NO VÁLIDA"</formula>
    </cfRule>
  </conditionalFormatting>
  <conditionalFormatting sqref="Q100:Q102 Q104:Q106">
    <cfRule type="cellIs" dxfId="629" priority="1262" operator="equal">
      <formula>"VÁLIDA"</formula>
    </cfRule>
  </conditionalFormatting>
  <conditionalFormatting sqref="O100:Q102 O104:Q106">
    <cfRule type="expression" dxfId="628" priority="1261" stopIfTrue="1">
      <formula>AND(ROW()=CELL("ROW"),COLUMN()=CELL("COL"))</formula>
    </cfRule>
  </conditionalFormatting>
  <conditionalFormatting sqref="Q100:Q102 Q104:Q106">
    <cfRule type="cellIs" dxfId="627" priority="1260" operator="equal">
      <formula>"NO VÁLIDA"</formula>
    </cfRule>
  </conditionalFormatting>
  <conditionalFormatting sqref="T86 T107:T108 T16:T20 T75:T83 T23">
    <cfRule type="cellIs" dxfId="626" priority="1241" operator="equal">
      <formula>"VÁLIDA"</formula>
    </cfRule>
  </conditionalFormatting>
  <conditionalFormatting sqref="R108:T109 S107:T107 R16:T16 R53:T53 R86:T86 R48:T48 R98:T99">
    <cfRule type="expression" dxfId="625" priority="1240" stopIfTrue="1">
      <formula>AND(ROW()=CELL("ROW"),COLUMN()=CELL("COL"))</formula>
    </cfRule>
  </conditionalFormatting>
  <conditionalFormatting sqref="R107">
    <cfRule type="cellIs" dxfId="624" priority="1239" operator="notEqual">
      <formula>""</formula>
    </cfRule>
  </conditionalFormatting>
  <conditionalFormatting sqref="T86 T107:T108 T16:T20 T75:T83 T23">
    <cfRule type="cellIs" dxfId="623" priority="1238" operator="equal">
      <formula>"NO VÁLIDA"</formula>
    </cfRule>
  </conditionalFormatting>
  <conditionalFormatting sqref="T36">
    <cfRule type="cellIs" dxfId="622" priority="1236" operator="equal">
      <formula>"NO VÁLIDA"</formula>
    </cfRule>
  </conditionalFormatting>
  <conditionalFormatting sqref="T67:T71">
    <cfRule type="cellIs" dxfId="621" priority="1235" operator="equal">
      <formula>"VÁLIDA"</formula>
    </cfRule>
  </conditionalFormatting>
  <conditionalFormatting sqref="R67:T71">
    <cfRule type="expression" dxfId="620" priority="1234" stopIfTrue="1">
      <formula>AND(ROW()=CELL("ROW"),COLUMN()=CELL("COL"))</formula>
    </cfRule>
  </conditionalFormatting>
  <conditionalFormatting sqref="T67:T71">
    <cfRule type="cellIs" dxfId="619" priority="1233" operator="equal">
      <formula>"NO VÁLIDA"</formula>
    </cfRule>
  </conditionalFormatting>
  <conditionalFormatting sqref="T74">
    <cfRule type="cellIs" dxfId="618" priority="1232" operator="equal">
      <formula>"VÁLIDA"</formula>
    </cfRule>
  </conditionalFormatting>
  <conditionalFormatting sqref="T73:T74">
    <cfRule type="cellIs" dxfId="617" priority="1231" operator="equal">
      <formula>"NO VÁLIDA"</formula>
    </cfRule>
  </conditionalFormatting>
  <conditionalFormatting sqref="T84:T85">
    <cfRule type="cellIs" dxfId="616" priority="1230" operator="equal">
      <formula>"VÁLIDA"</formula>
    </cfRule>
  </conditionalFormatting>
  <conditionalFormatting sqref="R84:T85">
    <cfRule type="expression" dxfId="615" priority="1229" stopIfTrue="1">
      <formula>AND(ROW()=CELL("ROW"),COLUMN()=CELL("COL"))</formula>
    </cfRule>
  </conditionalFormatting>
  <conditionalFormatting sqref="T84:T85">
    <cfRule type="cellIs" dxfId="614" priority="1228" operator="equal">
      <formula>"NO VÁLIDA"</formula>
    </cfRule>
  </conditionalFormatting>
  <conditionalFormatting sqref="T32">
    <cfRule type="cellIs" dxfId="613" priority="1227" operator="equal">
      <formula>"VÁLIDA"</formula>
    </cfRule>
  </conditionalFormatting>
  <conditionalFormatting sqref="R32 T32">
    <cfRule type="expression" dxfId="612" priority="1226" stopIfTrue="1">
      <formula>AND(ROW()=CELL("ROW"),COLUMN()=CELL("COL"))</formula>
    </cfRule>
  </conditionalFormatting>
  <conditionalFormatting sqref="T32">
    <cfRule type="cellIs" dxfId="611" priority="1225" operator="equal">
      <formula>"NO VÁLIDA"</formula>
    </cfRule>
  </conditionalFormatting>
  <conditionalFormatting sqref="T33:T34">
    <cfRule type="cellIs" dxfId="610" priority="1224" operator="equal">
      <formula>"VÁLIDA"</formula>
    </cfRule>
  </conditionalFormatting>
  <conditionalFormatting sqref="R33:R34 T33:T34">
    <cfRule type="expression" dxfId="609" priority="1223" stopIfTrue="1">
      <formula>AND(ROW()=CELL("ROW"),COLUMN()=CELL("COL"))</formula>
    </cfRule>
  </conditionalFormatting>
  <conditionalFormatting sqref="T33:T34">
    <cfRule type="cellIs" dxfId="608" priority="1222" operator="equal">
      <formula>"NO VÁLIDA"</formula>
    </cfRule>
  </conditionalFormatting>
  <conditionalFormatting sqref="T100:T102 T104:T106">
    <cfRule type="cellIs" dxfId="607" priority="1208" operator="equal">
      <formula>"VÁLIDA"</formula>
    </cfRule>
  </conditionalFormatting>
  <conditionalFormatting sqref="R100:T102 R104:T106">
    <cfRule type="expression" dxfId="606" priority="1207" stopIfTrue="1">
      <formula>AND(ROW()=CELL("ROW"),COLUMN()=CELL("COL"))</formula>
    </cfRule>
  </conditionalFormatting>
  <conditionalFormatting sqref="T100:T102 T104:T106">
    <cfRule type="cellIs" dxfId="605" priority="1206" operator="equal">
      <formula>"NO VÁLIDA"</formula>
    </cfRule>
  </conditionalFormatting>
  <conditionalFormatting sqref="W86 W107:W108 W16:W20 W75:W83 W23">
    <cfRule type="cellIs" dxfId="604" priority="1187" operator="equal">
      <formula>"VÁLIDA"</formula>
    </cfRule>
  </conditionalFormatting>
  <conditionalFormatting sqref="U108:W109 V107:W107 U16:W16 U53:W53 U86:W86 U48:W48 U98:W99">
    <cfRule type="expression" dxfId="603" priority="1186" stopIfTrue="1">
      <formula>AND(ROW()=CELL("ROW"),COLUMN()=CELL("COL"))</formula>
    </cfRule>
  </conditionalFormatting>
  <conditionalFormatting sqref="U107">
    <cfRule type="cellIs" dxfId="602" priority="1185" operator="notEqual">
      <formula>""</formula>
    </cfRule>
  </conditionalFormatting>
  <conditionalFormatting sqref="W86 W107:W108 W16:W20 W75:W83 W23">
    <cfRule type="cellIs" dxfId="601" priority="1184" operator="equal">
      <formula>"NO VÁLIDA"</formula>
    </cfRule>
  </conditionalFormatting>
  <conditionalFormatting sqref="W36">
    <cfRule type="cellIs" dxfId="600" priority="1182" operator="equal">
      <formula>"NO VÁLIDA"</formula>
    </cfRule>
  </conditionalFormatting>
  <conditionalFormatting sqref="W67:W71">
    <cfRule type="cellIs" dxfId="599" priority="1181" operator="equal">
      <formula>"VÁLIDA"</formula>
    </cfRule>
  </conditionalFormatting>
  <conditionalFormatting sqref="U67:W71">
    <cfRule type="expression" dxfId="598" priority="1180" stopIfTrue="1">
      <formula>AND(ROW()=CELL("ROW"),COLUMN()=CELL("COL"))</formula>
    </cfRule>
  </conditionalFormatting>
  <conditionalFormatting sqref="W67:W71">
    <cfRule type="cellIs" dxfId="597" priority="1179" operator="equal">
      <formula>"NO VÁLIDA"</formula>
    </cfRule>
  </conditionalFormatting>
  <conditionalFormatting sqref="W74">
    <cfRule type="cellIs" dxfId="596" priority="1178" operator="equal">
      <formula>"VÁLIDA"</formula>
    </cfRule>
  </conditionalFormatting>
  <conditionalFormatting sqref="W73:W74">
    <cfRule type="cellIs" dxfId="595" priority="1177" operator="equal">
      <formula>"NO VÁLIDA"</formula>
    </cfRule>
  </conditionalFormatting>
  <conditionalFormatting sqref="W84:W85">
    <cfRule type="cellIs" dxfId="594" priority="1176" operator="equal">
      <formula>"VÁLIDA"</formula>
    </cfRule>
  </conditionalFormatting>
  <conditionalFormatting sqref="U84:W85">
    <cfRule type="expression" dxfId="593" priority="1175" stopIfTrue="1">
      <formula>AND(ROW()=CELL("ROW"),COLUMN()=CELL("COL"))</formula>
    </cfRule>
  </conditionalFormatting>
  <conditionalFormatting sqref="W84:W85">
    <cfRule type="cellIs" dxfId="592" priority="1174" operator="equal">
      <formula>"NO VÁLIDA"</formula>
    </cfRule>
  </conditionalFormatting>
  <conditionalFormatting sqref="W32">
    <cfRule type="cellIs" dxfId="591" priority="1173" operator="equal">
      <formula>"VÁLIDA"</formula>
    </cfRule>
  </conditionalFormatting>
  <conditionalFormatting sqref="U32 W32">
    <cfRule type="expression" dxfId="590" priority="1172" stopIfTrue="1">
      <formula>AND(ROW()=CELL("ROW"),COLUMN()=CELL("COL"))</formula>
    </cfRule>
  </conditionalFormatting>
  <conditionalFormatting sqref="W32">
    <cfRule type="cellIs" dxfId="589" priority="1171" operator="equal">
      <formula>"NO VÁLIDA"</formula>
    </cfRule>
  </conditionalFormatting>
  <conditionalFormatting sqref="W33:W34">
    <cfRule type="cellIs" dxfId="588" priority="1170" operator="equal">
      <formula>"VÁLIDA"</formula>
    </cfRule>
  </conditionalFormatting>
  <conditionalFormatting sqref="U33:U34 W33:W34">
    <cfRule type="expression" dxfId="587" priority="1169" stopIfTrue="1">
      <formula>AND(ROW()=CELL("ROW"),COLUMN()=CELL("COL"))</formula>
    </cfRule>
  </conditionalFormatting>
  <conditionalFormatting sqref="W33:W34">
    <cfRule type="cellIs" dxfId="586" priority="1168" operator="equal">
      <formula>"NO VÁLIDA"</formula>
    </cfRule>
  </conditionalFormatting>
  <conditionalFormatting sqref="W100:W102 W104:W106">
    <cfRule type="cellIs" dxfId="585" priority="1154" operator="equal">
      <formula>"VÁLIDA"</formula>
    </cfRule>
  </conditionalFormatting>
  <conditionalFormatting sqref="U100:W102 U104:W106">
    <cfRule type="expression" dxfId="584" priority="1153" stopIfTrue="1">
      <formula>AND(ROW()=CELL("ROW"),COLUMN()=CELL("COL"))</formula>
    </cfRule>
  </conditionalFormatting>
  <conditionalFormatting sqref="W100:W102 W104:W106">
    <cfRule type="cellIs" dxfId="583" priority="1152" operator="equal">
      <formula>"NO VÁLIDA"</formula>
    </cfRule>
  </conditionalFormatting>
  <conditionalFormatting sqref="Z86 Z107:Z108 Z16:Z20 Z75:Z83 Z23">
    <cfRule type="cellIs" dxfId="582" priority="1133" operator="equal">
      <formula>"VÁLIDA"</formula>
    </cfRule>
  </conditionalFormatting>
  <conditionalFormatting sqref="X108:Z109 Y107:Z107 X53:Z53 X86:Z86 X48:Z48 X98:Z99 X16:AB16">
    <cfRule type="expression" dxfId="581" priority="1132" stopIfTrue="1">
      <formula>AND(ROW()=CELL("ROW"),COLUMN()=CELL("COL"))</formula>
    </cfRule>
  </conditionalFormatting>
  <conditionalFormatting sqref="X107">
    <cfRule type="cellIs" dxfId="580" priority="1131" operator="notEqual">
      <formula>""</formula>
    </cfRule>
  </conditionalFormatting>
  <conditionalFormatting sqref="Z86 Z107:Z108 Z16:Z20 Z75:Z83 Z23">
    <cfRule type="cellIs" dxfId="579" priority="1130" operator="equal">
      <formula>"NO VÁLIDA"</formula>
    </cfRule>
  </conditionalFormatting>
  <conditionalFormatting sqref="Z36">
    <cfRule type="cellIs" dxfId="578" priority="1128" operator="equal">
      <formula>"NO VÁLIDA"</formula>
    </cfRule>
  </conditionalFormatting>
  <conditionalFormatting sqref="Z67:Z71">
    <cfRule type="cellIs" dxfId="577" priority="1127" operator="equal">
      <formula>"VÁLIDA"</formula>
    </cfRule>
  </conditionalFormatting>
  <conditionalFormatting sqref="X67:Z71">
    <cfRule type="expression" dxfId="576" priority="1126" stopIfTrue="1">
      <formula>AND(ROW()=CELL("ROW"),COLUMN()=CELL("COL"))</formula>
    </cfRule>
  </conditionalFormatting>
  <conditionalFormatting sqref="Z67:Z71">
    <cfRule type="cellIs" dxfId="575" priority="1125" operator="equal">
      <formula>"NO VÁLIDA"</formula>
    </cfRule>
  </conditionalFormatting>
  <conditionalFormatting sqref="Z74">
    <cfRule type="cellIs" dxfId="574" priority="1124" operator="equal">
      <formula>"VÁLIDA"</formula>
    </cfRule>
  </conditionalFormatting>
  <conditionalFormatting sqref="Z73:Z74">
    <cfRule type="cellIs" dxfId="573" priority="1123" operator="equal">
      <formula>"NO VÁLIDA"</formula>
    </cfRule>
  </conditionalFormatting>
  <conditionalFormatting sqref="Z84:Z85">
    <cfRule type="cellIs" dxfId="572" priority="1122" operator="equal">
      <formula>"VÁLIDA"</formula>
    </cfRule>
  </conditionalFormatting>
  <conditionalFormatting sqref="X84:Z85">
    <cfRule type="expression" dxfId="571" priority="1121" stopIfTrue="1">
      <formula>AND(ROW()=CELL("ROW"),COLUMN()=CELL("COL"))</formula>
    </cfRule>
  </conditionalFormatting>
  <conditionalFormatting sqref="Z84:Z85">
    <cfRule type="cellIs" dxfId="570" priority="1120" operator="equal">
      <formula>"NO VÁLIDA"</formula>
    </cfRule>
  </conditionalFormatting>
  <conditionalFormatting sqref="Z32">
    <cfRule type="cellIs" dxfId="569" priority="1119" operator="equal">
      <formula>"VÁLIDA"</formula>
    </cfRule>
  </conditionalFormatting>
  <conditionalFormatting sqref="X32 Z32">
    <cfRule type="expression" dxfId="568" priority="1118" stopIfTrue="1">
      <formula>AND(ROW()=CELL("ROW"),COLUMN()=CELL("COL"))</formula>
    </cfRule>
  </conditionalFormatting>
  <conditionalFormatting sqref="Z32">
    <cfRule type="cellIs" dxfId="567" priority="1117" operator="equal">
      <formula>"NO VÁLIDA"</formula>
    </cfRule>
  </conditionalFormatting>
  <conditionalFormatting sqref="Z33:Z34">
    <cfRule type="cellIs" dxfId="566" priority="1116" operator="equal">
      <formula>"VÁLIDA"</formula>
    </cfRule>
  </conditionalFormatting>
  <conditionalFormatting sqref="X33:X34 Z33:Z34">
    <cfRule type="expression" dxfId="565" priority="1115" stopIfTrue="1">
      <formula>AND(ROW()=CELL("ROW"),COLUMN()=CELL("COL"))</formula>
    </cfRule>
  </conditionalFormatting>
  <conditionalFormatting sqref="Z33:Z34">
    <cfRule type="cellIs" dxfId="564" priority="1114" operator="equal">
      <formula>"NO VÁLIDA"</formula>
    </cfRule>
  </conditionalFormatting>
  <conditionalFormatting sqref="Z100:Z102 Z104:Z106">
    <cfRule type="cellIs" dxfId="563" priority="1100" operator="equal">
      <formula>"VÁLIDA"</formula>
    </cfRule>
  </conditionalFormatting>
  <conditionalFormatting sqref="X100:Z102 X104:Z106">
    <cfRule type="expression" dxfId="562" priority="1099" stopIfTrue="1">
      <formula>AND(ROW()=CELL("ROW"),COLUMN()=CELL("COL"))</formula>
    </cfRule>
  </conditionalFormatting>
  <conditionalFormatting sqref="Z100:Z102 Z104:Z106">
    <cfRule type="cellIs" dxfId="561" priority="1098" operator="equal">
      <formula>"NO VÁLIDA"</formula>
    </cfRule>
  </conditionalFormatting>
  <conditionalFormatting sqref="AC86 AC107:AC108 AC16:AC20 AC75:AC83">
    <cfRule type="cellIs" dxfId="560" priority="1079" operator="equal">
      <formula>"VÁLIDA"</formula>
    </cfRule>
  </conditionalFormatting>
  <conditionalFormatting sqref="AA108:AC109 AB107:AC107 AC16 AA53:AC53 AA86:AC86 AA48:AC48 AA98:AC99">
    <cfRule type="expression" dxfId="559" priority="1078" stopIfTrue="1">
      <formula>AND(ROW()=CELL("ROW"),COLUMN()=CELL("COL"))</formula>
    </cfRule>
  </conditionalFormatting>
  <conditionalFormatting sqref="AA107">
    <cfRule type="cellIs" dxfId="558" priority="1077" operator="notEqual">
      <formula>""</formula>
    </cfRule>
  </conditionalFormatting>
  <conditionalFormatting sqref="AC86 AC107:AC108 AC16:AC20 AC75:AC83">
    <cfRule type="cellIs" dxfId="557" priority="1076" operator="equal">
      <formula>"NO VÁLIDA"</formula>
    </cfRule>
  </conditionalFormatting>
  <conditionalFormatting sqref="AC36">
    <cfRule type="cellIs" dxfId="556" priority="1074" operator="equal">
      <formula>"NO VÁLIDA"</formula>
    </cfRule>
  </conditionalFormatting>
  <conditionalFormatting sqref="AC67:AC71">
    <cfRule type="cellIs" dxfId="555" priority="1073" operator="equal">
      <formula>"VÁLIDA"</formula>
    </cfRule>
  </conditionalFormatting>
  <conditionalFormatting sqref="AA67:AC71">
    <cfRule type="expression" dxfId="554" priority="1072" stopIfTrue="1">
      <formula>AND(ROW()=CELL("ROW"),COLUMN()=CELL("COL"))</formula>
    </cfRule>
  </conditionalFormatting>
  <conditionalFormatting sqref="AC67:AC71">
    <cfRule type="cellIs" dxfId="553" priority="1071" operator="equal">
      <formula>"NO VÁLIDA"</formula>
    </cfRule>
  </conditionalFormatting>
  <conditionalFormatting sqref="AC74">
    <cfRule type="cellIs" dxfId="552" priority="1070" operator="equal">
      <formula>"VÁLIDA"</formula>
    </cfRule>
  </conditionalFormatting>
  <conditionalFormatting sqref="AC73:AC74">
    <cfRule type="cellIs" dxfId="551" priority="1069" operator="equal">
      <formula>"NO VÁLIDA"</formula>
    </cfRule>
  </conditionalFormatting>
  <conditionalFormatting sqref="AC84:AC85">
    <cfRule type="cellIs" dxfId="550" priority="1068" operator="equal">
      <formula>"VÁLIDA"</formula>
    </cfRule>
  </conditionalFormatting>
  <conditionalFormatting sqref="AA84:AC85">
    <cfRule type="expression" dxfId="549" priority="1067" stopIfTrue="1">
      <formula>AND(ROW()=CELL("ROW"),COLUMN()=CELL("COL"))</formula>
    </cfRule>
  </conditionalFormatting>
  <conditionalFormatting sqref="AC84:AC85">
    <cfRule type="cellIs" dxfId="548" priority="1066" operator="equal">
      <formula>"NO VÁLIDA"</formula>
    </cfRule>
  </conditionalFormatting>
  <conditionalFormatting sqref="AC32">
    <cfRule type="cellIs" dxfId="547" priority="1065" operator="equal">
      <formula>"VÁLIDA"</formula>
    </cfRule>
  </conditionalFormatting>
  <conditionalFormatting sqref="AA32 AC32">
    <cfRule type="expression" dxfId="546" priority="1064" stopIfTrue="1">
      <formula>AND(ROW()=CELL("ROW"),COLUMN()=CELL("COL"))</formula>
    </cfRule>
  </conditionalFormatting>
  <conditionalFormatting sqref="AC32">
    <cfRule type="cellIs" dxfId="545" priority="1063" operator="equal">
      <formula>"NO VÁLIDA"</formula>
    </cfRule>
  </conditionalFormatting>
  <conditionalFormatting sqref="AC33:AC34">
    <cfRule type="cellIs" dxfId="544" priority="1062" operator="equal">
      <formula>"VÁLIDA"</formula>
    </cfRule>
  </conditionalFormatting>
  <conditionalFormatting sqref="AA33:AA34 AC33:AC34">
    <cfRule type="expression" dxfId="543" priority="1061" stopIfTrue="1">
      <formula>AND(ROW()=CELL("ROW"),COLUMN()=CELL("COL"))</formula>
    </cfRule>
  </conditionalFormatting>
  <conditionalFormatting sqref="AC33:AC34">
    <cfRule type="cellIs" dxfId="542" priority="1060" operator="equal">
      <formula>"NO VÁLIDA"</formula>
    </cfRule>
  </conditionalFormatting>
  <conditionalFormatting sqref="AC100:AC106">
    <cfRule type="cellIs" dxfId="541" priority="1046" operator="equal">
      <formula>"VÁLIDA"</formula>
    </cfRule>
  </conditionalFormatting>
  <conditionalFormatting sqref="AA100:AC102 AA105:AC106 AB103:AC103 AA104 AC104">
    <cfRule type="expression" dxfId="540" priority="1045" stopIfTrue="1">
      <formula>AND(ROW()=CELL("ROW"),COLUMN()=CELL("COL"))</formula>
    </cfRule>
  </conditionalFormatting>
  <conditionalFormatting sqref="AC100:AC106">
    <cfRule type="cellIs" dxfId="539" priority="1044" operator="equal">
      <formula>"NO VÁLIDA"</formula>
    </cfRule>
  </conditionalFormatting>
  <conditionalFormatting sqref="AF86 AF107:AF108 AF16:AF20 AF75:AF83">
    <cfRule type="cellIs" dxfId="538" priority="1025" operator="equal">
      <formula>"VÁLIDA"</formula>
    </cfRule>
  </conditionalFormatting>
  <conditionalFormatting sqref="AD108:AF109 AE107:AF107 AF16 AD53:AF53 AD86:AF86 AD48:AF48 AD98:AF99">
    <cfRule type="expression" dxfId="537" priority="1024" stopIfTrue="1">
      <formula>AND(ROW()=CELL("ROW"),COLUMN()=CELL("COL"))</formula>
    </cfRule>
  </conditionalFormatting>
  <conditionalFormatting sqref="AD107">
    <cfRule type="cellIs" dxfId="536" priority="1023" operator="notEqual">
      <formula>""</formula>
    </cfRule>
  </conditionalFormatting>
  <conditionalFormatting sqref="AF86 AF107:AF108 AF16:AF20 AF75:AF83">
    <cfRule type="cellIs" dxfId="535" priority="1022" operator="equal">
      <formula>"NO VÁLIDA"</formula>
    </cfRule>
  </conditionalFormatting>
  <conditionalFormatting sqref="AF36">
    <cfRule type="cellIs" dxfId="534" priority="1020" operator="equal">
      <formula>"NO VÁLIDA"</formula>
    </cfRule>
  </conditionalFormatting>
  <conditionalFormatting sqref="AF67:AF71">
    <cfRule type="cellIs" dxfId="533" priority="1019" operator="equal">
      <formula>"VÁLIDA"</formula>
    </cfRule>
  </conditionalFormatting>
  <conditionalFormatting sqref="AD67:AF71">
    <cfRule type="expression" dxfId="532" priority="1018" stopIfTrue="1">
      <formula>AND(ROW()=CELL("ROW"),COLUMN()=CELL("COL"))</formula>
    </cfRule>
  </conditionalFormatting>
  <conditionalFormatting sqref="AF67:AF71">
    <cfRule type="cellIs" dxfId="531" priority="1017" operator="equal">
      <formula>"NO VÁLIDA"</formula>
    </cfRule>
  </conditionalFormatting>
  <conditionalFormatting sqref="AF74">
    <cfRule type="cellIs" dxfId="530" priority="1016" operator="equal">
      <formula>"VÁLIDA"</formula>
    </cfRule>
  </conditionalFormatting>
  <conditionalFormatting sqref="AF73:AF74">
    <cfRule type="cellIs" dxfId="529" priority="1015" operator="equal">
      <formula>"NO VÁLIDA"</formula>
    </cfRule>
  </conditionalFormatting>
  <conditionalFormatting sqref="AF84:AF85">
    <cfRule type="cellIs" dxfId="528" priority="1014" operator="equal">
      <formula>"VÁLIDA"</formula>
    </cfRule>
  </conditionalFormatting>
  <conditionalFormatting sqref="AD84:AF85">
    <cfRule type="expression" dxfId="527" priority="1013" stopIfTrue="1">
      <formula>AND(ROW()=CELL("ROW"),COLUMN()=CELL("COL"))</formula>
    </cfRule>
  </conditionalFormatting>
  <conditionalFormatting sqref="AF84:AF85">
    <cfRule type="cellIs" dxfId="526" priority="1012" operator="equal">
      <formula>"NO VÁLIDA"</formula>
    </cfRule>
  </conditionalFormatting>
  <conditionalFormatting sqref="AF32">
    <cfRule type="cellIs" dxfId="525" priority="1011" operator="equal">
      <formula>"VÁLIDA"</formula>
    </cfRule>
  </conditionalFormatting>
  <conditionalFormatting sqref="AD32 AF32">
    <cfRule type="expression" dxfId="524" priority="1010" stopIfTrue="1">
      <formula>AND(ROW()=CELL("ROW"),COLUMN()=CELL("COL"))</formula>
    </cfRule>
  </conditionalFormatting>
  <conditionalFormatting sqref="AF32">
    <cfRule type="cellIs" dxfId="523" priority="1009" operator="equal">
      <formula>"NO VÁLIDA"</formula>
    </cfRule>
  </conditionalFormatting>
  <conditionalFormatting sqref="AF33:AF34">
    <cfRule type="cellIs" dxfId="522" priority="1008" operator="equal">
      <formula>"VÁLIDA"</formula>
    </cfRule>
  </conditionalFormatting>
  <conditionalFormatting sqref="AD33:AD34 AF33:AF34">
    <cfRule type="expression" dxfId="521" priority="1007" stopIfTrue="1">
      <formula>AND(ROW()=CELL("ROW"),COLUMN()=CELL("COL"))</formula>
    </cfRule>
  </conditionalFormatting>
  <conditionalFormatting sqref="AF33:AF34">
    <cfRule type="cellIs" dxfId="520" priority="1006" operator="equal">
      <formula>"NO VÁLIDA"</formula>
    </cfRule>
  </conditionalFormatting>
  <conditionalFormatting sqref="AF100:AF102 AF104:AF106">
    <cfRule type="cellIs" dxfId="519" priority="992" operator="equal">
      <formula>"VÁLIDA"</formula>
    </cfRule>
  </conditionalFormatting>
  <conditionalFormatting sqref="AD100:AF102 AD105:AF106 AD104 AF104">
    <cfRule type="expression" dxfId="518" priority="991" stopIfTrue="1">
      <formula>AND(ROW()=CELL("ROW"),COLUMN()=CELL("COL"))</formula>
    </cfRule>
  </conditionalFormatting>
  <conditionalFormatting sqref="AF100:AF102 AF104:AF106">
    <cfRule type="cellIs" dxfId="517" priority="990" operator="equal">
      <formula>"NO VÁLIDA"</formula>
    </cfRule>
  </conditionalFormatting>
  <conditionalFormatting sqref="I17:K20 I23:K23 J21:K22">
    <cfRule type="expression" dxfId="516" priority="599" stopIfTrue="1">
      <formula>AND(ROW()=CELL("ROW"),COLUMN()=CELL("COL"))</formula>
    </cfRule>
  </conditionalFormatting>
  <conditionalFormatting sqref="L17:N20 L23:N23 M21:N22">
    <cfRule type="expression" dxfId="515" priority="598" stopIfTrue="1">
      <formula>AND(ROW()=CELL("ROW"),COLUMN()=CELL("COL"))</formula>
    </cfRule>
  </conditionalFormatting>
  <conditionalFormatting sqref="O17:Q20 O23:Q23 P21:P22">
    <cfRule type="expression" dxfId="514" priority="597" stopIfTrue="1">
      <formula>AND(ROW()=CELL("ROW"),COLUMN()=CELL("COL"))</formula>
    </cfRule>
  </conditionalFormatting>
  <conditionalFormatting sqref="R17:T20 R23:T23 S21:S22">
    <cfRule type="expression" dxfId="513" priority="596" stopIfTrue="1">
      <formula>AND(ROW()=CELL("ROW"),COLUMN()=CELL("COL"))</formula>
    </cfRule>
  </conditionalFormatting>
  <conditionalFormatting sqref="U17:W20 U23:W23 V21:V22">
    <cfRule type="expression" dxfId="512" priority="595" stopIfTrue="1">
      <formula>AND(ROW()=CELL("ROW"),COLUMN()=CELL("COL"))</formula>
    </cfRule>
  </conditionalFormatting>
  <conditionalFormatting sqref="Y21:Y22 X17:AB20 AB21:AB22 AE21:AE22 AD17:AE20 X23:AF23">
    <cfRule type="expression" dxfId="511" priority="594" stopIfTrue="1">
      <formula>AND(ROW()=CELL("ROW"),COLUMN()=CELL("COL"))</formula>
    </cfRule>
  </conditionalFormatting>
  <conditionalFormatting sqref="AC17:AC20">
    <cfRule type="expression" dxfId="510" priority="593" stopIfTrue="1">
      <formula>AND(ROW()=CELL("ROW"),COLUMN()=CELL("COL"))</formula>
    </cfRule>
  </conditionalFormatting>
  <conditionalFormatting sqref="AF17:AF20">
    <cfRule type="expression" dxfId="509" priority="592" stopIfTrue="1">
      <formula>AND(ROW()=CELL("ROW"),COLUMN()=CELL("COL"))</formula>
    </cfRule>
  </conditionalFormatting>
  <conditionalFormatting sqref="J25:K25">
    <cfRule type="expression" dxfId="508" priority="591" stopIfTrue="1">
      <formula>AND(ROW()=CELL("ROW"),COLUMN()=CELL("COL"))</formula>
    </cfRule>
  </conditionalFormatting>
  <conditionalFormatting sqref="M25:N25">
    <cfRule type="expression" dxfId="507" priority="576" stopIfTrue="1">
      <formula>AND(ROW()=CELL("ROW"),COLUMN()=CELL("COL"))</formula>
    </cfRule>
  </conditionalFormatting>
  <conditionalFormatting sqref="P25">
    <cfRule type="expression" dxfId="506" priority="575" stopIfTrue="1">
      <formula>AND(ROW()=CELL("ROW"),COLUMN()=CELL("COL"))</formula>
    </cfRule>
  </conditionalFormatting>
  <conditionalFormatting sqref="S25">
    <cfRule type="expression" dxfId="505" priority="574" stopIfTrue="1">
      <formula>AND(ROW()=CELL("ROW"),COLUMN()=CELL("COL"))</formula>
    </cfRule>
  </conditionalFormatting>
  <conditionalFormatting sqref="V25">
    <cfRule type="expression" dxfId="504" priority="573" stopIfTrue="1">
      <formula>AND(ROW()=CELL("ROW"),COLUMN()=CELL("COL"))</formula>
    </cfRule>
  </conditionalFormatting>
  <conditionalFormatting sqref="Y25">
    <cfRule type="expression" dxfId="503" priority="572" stopIfTrue="1">
      <formula>AND(ROW()=CELL("ROW"),COLUMN()=CELL("COL"))</formula>
    </cfRule>
  </conditionalFormatting>
  <conditionalFormatting sqref="J27:K27">
    <cfRule type="expression" dxfId="502" priority="569" stopIfTrue="1">
      <formula>AND(ROW()=CELL("ROW"),COLUMN()=CELL("COL"))</formula>
    </cfRule>
  </conditionalFormatting>
  <conditionalFormatting sqref="N27">
    <cfRule type="expression" dxfId="501" priority="554" stopIfTrue="1">
      <formula>AND(ROW()=CELL("ROW"),COLUMN()=CELL("COL"))</formula>
    </cfRule>
  </conditionalFormatting>
  <conditionalFormatting sqref="S27">
    <cfRule type="expression" dxfId="500" priority="552" stopIfTrue="1">
      <formula>AND(ROW()=CELL("ROW"),COLUMN()=CELL("COL"))</formula>
    </cfRule>
  </conditionalFormatting>
  <conditionalFormatting sqref="V27">
    <cfRule type="expression" dxfId="499" priority="551" stopIfTrue="1">
      <formula>AND(ROW()=CELL("ROW"),COLUMN()=CELL("COL"))</formula>
    </cfRule>
  </conditionalFormatting>
  <conditionalFormatting sqref="Y27">
    <cfRule type="expression" dxfId="498" priority="550" stopIfTrue="1">
      <formula>AND(ROW()=CELL("ROW"),COLUMN()=CELL("COL"))</formula>
    </cfRule>
  </conditionalFormatting>
  <conditionalFormatting sqref="J29:K29">
    <cfRule type="expression" dxfId="497" priority="547" stopIfTrue="1">
      <formula>AND(ROW()=CELL("ROW"),COLUMN()=CELL("COL"))</formula>
    </cfRule>
  </conditionalFormatting>
  <conditionalFormatting sqref="M29:N29">
    <cfRule type="expression" dxfId="496" priority="532" stopIfTrue="1">
      <formula>AND(ROW()=CELL("ROW"),COLUMN()=CELL("COL"))</formula>
    </cfRule>
  </conditionalFormatting>
  <conditionalFormatting sqref="P29">
    <cfRule type="expression" dxfId="495" priority="531" stopIfTrue="1">
      <formula>AND(ROW()=CELL("ROW"),COLUMN()=CELL("COL"))</formula>
    </cfRule>
  </conditionalFormatting>
  <conditionalFormatting sqref="S29">
    <cfRule type="expression" dxfId="494" priority="530" stopIfTrue="1">
      <formula>AND(ROW()=CELL("ROW"),COLUMN()=CELL("COL"))</formula>
    </cfRule>
  </conditionalFormatting>
  <conditionalFormatting sqref="V29">
    <cfRule type="expression" dxfId="493" priority="529" stopIfTrue="1">
      <formula>AND(ROW()=CELL("ROW"),COLUMN()=CELL("COL"))</formula>
    </cfRule>
  </conditionalFormatting>
  <conditionalFormatting sqref="Y29">
    <cfRule type="expression" dxfId="492" priority="528" stopIfTrue="1">
      <formula>AND(ROW()=CELL("ROW"),COLUMN()=CELL("COL"))</formula>
    </cfRule>
  </conditionalFormatting>
  <conditionalFormatting sqref="J31:K31">
    <cfRule type="expression" dxfId="491" priority="525" stopIfTrue="1">
      <formula>AND(ROW()=CELL("ROW"),COLUMN()=CELL("COL"))</formula>
    </cfRule>
  </conditionalFormatting>
  <conditionalFormatting sqref="M31:N31">
    <cfRule type="expression" dxfId="490" priority="510" stopIfTrue="1">
      <formula>AND(ROW()=CELL("ROW"),COLUMN()=CELL("COL"))</formula>
    </cfRule>
  </conditionalFormatting>
  <conditionalFormatting sqref="P31">
    <cfRule type="expression" dxfId="489" priority="509" stopIfTrue="1">
      <formula>AND(ROW()=CELL("ROW"),COLUMN()=CELL("COL"))</formula>
    </cfRule>
  </conditionalFormatting>
  <conditionalFormatting sqref="S31">
    <cfRule type="expression" dxfId="488" priority="508" stopIfTrue="1">
      <formula>AND(ROW()=CELL("ROW"),COLUMN()=CELL("COL"))</formula>
    </cfRule>
  </conditionalFormatting>
  <conditionalFormatting sqref="V31">
    <cfRule type="expression" dxfId="487" priority="507" stopIfTrue="1">
      <formula>AND(ROW()=CELL("ROW"),COLUMN()=CELL("COL"))</formula>
    </cfRule>
  </conditionalFormatting>
  <conditionalFormatting sqref="Y31">
    <cfRule type="expression" dxfId="486" priority="506" stopIfTrue="1">
      <formula>AND(ROW()=CELL("ROW"),COLUMN()=CELL("COL"))</formula>
    </cfRule>
  </conditionalFormatting>
  <conditionalFormatting sqref="K89">
    <cfRule type="cellIs" dxfId="485" priority="503" operator="equal">
      <formula>"VÁLIDA"</formula>
    </cfRule>
  </conditionalFormatting>
  <conditionalFormatting sqref="K89">
    <cfRule type="cellIs" dxfId="484" priority="502" operator="equal">
      <formula>"NO VÁLIDA"</formula>
    </cfRule>
  </conditionalFormatting>
  <conditionalFormatting sqref="N89">
    <cfRule type="cellIs" dxfId="483" priority="501" operator="equal">
      <formula>"VÁLIDA"</formula>
    </cfRule>
  </conditionalFormatting>
  <conditionalFormatting sqref="N89">
    <cfRule type="cellIs" dxfId="482" priority="500" operator="equal">
      <formula>"NO VÁLIDA"</formula>
    </cfRule>
  </conditionalFormatting>
  <conditionalFormatting sqref="Q89">
    <cfRule type="cellIs" dxfId="481" priority="499" operator="equal">
      <formula>"VÁLIDA"</formula>
    </cfRule>
  </conditionalFormatting>
  <conditionalFormatting sqref="Q89">
    <cfRule type="cellIs" dxfId="480" priority="498" operator="equal">
      <formula>"NO VÁLIDA"</formula>
    </cfRule>
  </conditionalFormatting>
  <conditionalFormatting sqref="T89">
    <cfRule type="cellIs" dxfId="479" priority="497" operator="equal">
      <formula>"VÁLIDA"</formula>
    </cfRule>
  </conditionalFormatting>
  <conditionalFormatting sqref="T89">
    <cfRule type="cellIs" dxfId="478" priority="496" operator="equal">
      <formula>"NO VÁLIDA"</formula>
    </cfRule>
  </conditionalFormatting>
  <conditionalFormatting sqref="W89">
    <cfRule type="cellIs" dxfId="477" priority="495" operator="equal">
      <formula>"VÁLIDA"</formula>
    </cfRule>
  </conditionalFormatting>
  <conditionalFormatting sqref="W89">
    <cfRule type="cellIs" dxfId="476" priority="494" operator="equal">
      <formula>"NO VÁLIDA"</formula>
    </cfRule>
  </conditionalFormatting>
  <conditionalFormatting sqref="Z89">
    <cfRule type="cellIs" dxfId="475" priority="493" operator="equal">
      <formula>"VÁLIDA"</formula>
    </cfRule>
  </conditionalFormatting>
  <conditionalFormatting sqref="Z89">
    <cfRule type="cellIs" dxfId="474" priority="492" operator="equal">
      <formula>"NO VÁLIDA"</formula>
    </cfRule>
  </conditionalFormatting>
  <conditionalFormatting sqref="AC89">
    <cfRule type="cellIs" dxfId="473" priority="491" operator="equal">
      <formula>"VÁLIDA"</formula>
    </cfRule>
  </conditionalFormatting>
  <conditionalFormatting sqref="AC89">
    <cfRule type="cellIs" dxfId="472" priority="490" operator="equal">
      <formula>"NO VÁLIDA"</formula>
    </cfRule>
  </conditionalFormatting>
  <conditionalFormatting sqref="AF89">
    <cfRule type="cellIs" dxfId="471" priority="489" operator="equal">
      <formula>"VÁLIDA"</formula>
    </cfRule>
  </conditionalFormatting>
  <conditionalFormatting sqref="AF89">
    <cfRule type="cellIs" dxfId="470" priority="488" operator="equal">
      <formula>"NO VÁLIDA"</formula>
    </cfRule>
  </conditionalFormatting>
  <conditionalFormatting sqref="K88">
    <cfRule type="cellIs" dxfId="469" priority="487" operator="equal">
      <formula>"NO VÁLIDA"</formula>
    </cfRule>
  </conditionalFormatting>
  <conditionalFormatting sqref="N88">
    <cfRule type="cellIs" dxfId="468" priority="486" operator="equal">
      <formula>"NO VÁLIDA"</formula>
    </cfRule>
  </conditionalFormatting>
  <conditionalFormatting sqref="Q88">
    <cfRule type="cellIs" dxfId="467" priority="485" operator="equal">
      <formula>"NO VÁLIDA"</formula>
    </cfRule>
  </conditionalFormatting>
  <conditionalFormatting sqref="T88">
    <cfRule type="cellIs" dxfId="466" priority="484" operator="equal">
      <formula>"NO VÁLIDA"</formula>
    </cfRule>
  </conditionalFormatting>
  <conditionalFormatting sqref="W88">
    <cfRule type="cellIs" dxfId="465" priority="483" operator="equal">
      <formula>"NO VÁLIDA"</formula>
    </cfRule>
  </conditionalFormatting>
  <conditionalFormatting sqref="Z88">
    <cfRule type="cellIs" dxfId="464" priority="482" operator="equal">
      <formula>"NO VÁLIDA"</formula>
    </cfRule>
  </conditionalFormatting>
  <conditionalFormatting sqref="AC88">
    <cfRule type="cellIs" dxfId="463" priority="481" operator="equal">
      <formula>"NO VÁLIDA"</formula>
    </cfRule>
  </conditionalFormatting>
  <conditionalFormatting sqref="AF88">
    <cfRule type="cellIs" dxfId="462" priority="480" operator="equal">
      <formula>"NO VÁLIDA"</formula>
    </cfRule>
  </conditionalFormatting>
  <conditionalFormatting sqref="I21:I22">
    <cfRule type="expression" dxfId="461" priority="479" stopIfTrue="1">
      <formula>AND(ROW()=CELL("ROW"),COLUMN()=CELL("COL"))</formula>
    </cfRule>
  </conditionalFormatting>
  <conditionalFormatting sqref="I25">
    <cfRule type="expression" dxfId="460" priority="478" stopIfTrue="1">
      <formula>AND(ROW()=CELL("ROW"),COLUMN()=CELL("COL"))</formula>
    </cfRule>
  </conditionalFormatting>
  <conditionalFormatting sqref="I27">
    <cfRule type="expression" dxfId="459" priority="477" stopIfTrue="1">
      <formula>AND(ROW()=CELL("ROW"),COLUMN()=CELL("COL"))</formula>
    </cfRule>
  </conditionalFormatting>
  <conditionalFormatting sqref="I29">
    <cfRule type="expression" dxfId="458" priority="476" stopIfTrue="1">
      <formula>AND(ROW()=CELL("ROW"),COLUMN()=CELL("COL"))</formula>
    </cfRule>
  </conditionalFormatting>
  <conditionalFormatting sqref="I31">
    <cfRule type="expression" dxfId="457" priority="475" stopIfTrue="1">
      <formula>AND(ROW()=CELL("ROW"),COLUMN()=CELL("COL"))</formula>
    </cfRule>
  </conditionalFormatting>
  <conditionalFormatting sqref="I68">
    <cfRule type="expression" dxfId="456" priority="474" stopIfTrue="1">
      <formula>AND(ROW()=CELL("ROW"),COLUMN()=CELL("COL"))</formula>
    </cfRule>
  </conditionalFormatting>
  <conditionalFormatting sqref="I70">
    <cfRule type="expression" dxfId="455" priority="473" stopIfTrue="1">
      <formula>AND(ROW()=CELL("ROW"),COLUMN()=CELL("COL"))</formula>
    </cfRule>
  </conditionalFormatting>
  <conditionalFormatting sqref="I85">
    <cfRule type="expression" dxfId="454" priority="472" stopIfTrue="1">
      <formula>AND(ROW()=CELL("ROW"),COLUMN()=CELL("COL"))</formula>
    </cfRule>
  </conditionalFormatting>
  <conditionalFormatting sqref="I90">
    <cfRule type="expression" dxfId="453" priority="471" stopIfTrue="1">
      <formula>AND(ROW()=CELL("ROW"),COLUMN()=CELL("COL"))</formula>
    </cfRule>
  </conditionalFormatting>
  <conditionalFormatting sqref="I91">
    <cfRule type="expression" dxfId="452" priority="470" stopIfTrue="1">
      <formula>AND(ROW()=CELL("ROW"),COLUMN()=CELL("COL"))</formula>
    </cfRule>
  </conditionalFormatting>
  <conditionalFormatting sqref="I93">
    <cfRule type="expression" dxfId="451" priority="469" stopIfTrue="1">
      <formula>AND(ROW()=CELL("ROW"),COLUMN()=CELL("COL"))</formula>
    </cfRule>
  </conditionalFormatting>
  <conditionalFormatting sqref="I95">
    <cfRule type="expression" dxfId="450" priority="468" stopIfTrue="1">
      <formula>AND(ROW()=CELL("ROW"),COLUMN()=CELL("COL"))</formula>
    </cfRule>
  </conditionalFormatting>
  <conditionalFormatting sqref="I97">
    <cfRule type="expression" dxfId="449" priority="467" stopIfTrue="1">
      <formula>AND(ROW()=CELL("ROW"),COLUMN()=CELL("COL"))</formula>
    </cfRule>
  </conditionalFormatting>
  <conditionalFormatting sqref="K21">
    <cfRule type="expression" dxfId="448" priority="466" stopIfTrue="1">
      <formula>AND(ROW()=CELL("ROW"),COLUMN()=CELL("COL"))</formula>
    </cfRule>
  </conditionalFormatting>
  <conditionalFormatting sqref="K22">
    <cfRule type="expression" dxfId="447" priority="465" stopIfTrue="1">
      <formula>AND(ROW()=CELL("ROW"),COLUMN()=CELL("COL"))</formula>
    </cfRule>
  </conditionalFormatting>
  <conditionalFormatting sqref="K25">
    <cfRule type="expression" dxfId="446" priority="464" stopIfTrue="1">
      <formula>AND(ROW()=CELL("ROW"),COLUMN()=CELL("COL"))</formula>
    </cfRule>
  </conditionalFormatting>
  <conditionalFormatting sqref="K25">
    <cfRule type="expression" dxfId="445" priority="463" stopIfTrue="1">
      <formula>AND(ROW()=CELL("ROW"),COLUMN()=CELL("COL"))</formula>
    </cfRule>
  </conditionalFormatting>
  <conditionalFormatting sqref="K27">
    <cfRule type="expression" dxfId="444" priority="462" stopIfTrue="1">
      <formula>AND(ROW()=CELL("ROW"),COLUMN()=CELL("COL"))</formula>
    </cfRule>
  </conditionalFormatting>
  <conditionalFormatting sqref="K27">
    <cfRule type="expression" dxfId="443" priority="461" stopIfTrue="1">
      <formula>AND(ROW()=CELL("ROW"),COLUMN()=CELL("COL"))</formula>
    </cfRule>
  </conditionalFormatting>
  <conditionalFormatting sqref="K29">
    <cfRule type="expression" dxfId="442" priority="460" stopIfTrue="1">
      <formula>AND(ROW()=CELL("ROW"),COLUMN()=CELL("COL"))</formula>
    </cfRule>
  </conditionalFormatting>
  <conditionalFormatting sqref="K29">
    <cfRule type="expression" dxfId="441" priority="459" stopIfTrue="1">
      <formula>AND(ROW()=CELL("ROW"),COLUMN()=CELL("COL"))</formula>
    </cfRule>
  </conditionalFormatting>
  <conditionalFormatting sqref="K31">
    <cfRule type="expression" dxfId="440" priority="458" stopIfTrue="1">
      <formula>AND(ROW()=CELL("ROW"),COLUMN()=CELL("COL"))</formula>
    </cfRule>
  </conditionalFormatting>
  <conditionalFormatting sqref="K31">
    <cfRule type="expression" dxfId="439" priority="457" stopIfTrue="1">
      <formula>AND(ROW()=CELL("ROW"),COLUMN()=CELL("COL"))</formula>
    </cfRule>
  </conditionalFormatting>
  <conditionalFormatting sqref="K68">
    <cfRule type="cellIs" dxfId="438" priority="456" operator="equal">
      <formula>"VÁLIDA"</formula>
    </cfRule>
  </conditionalFormatting>
  <conditionalFormatting sqref="K68">
    <cfRule type="cellIs" dxfId="437" priority="455" operator="equal">
      <formula>"NO VÁLIDA"</formula>
    </cfRule>
  </conditionalFormatting>
  <conditionalFormatting sqref="K68">
    <cfRule type="expression" dxfId="436" priority="454" stopIfTrue="1">
      <formula>AND(ROW()=CELL("ROW"),COLUMN()=CELL("COL"))</formula>
    </cfRule>
  </conditionalFormatting>
  <conditionalFormatting sqref="K68">
    <cfRule type="expression" dxfId="435" priority="453" stopIfTrue="1">
      <formula>AND(ROW()=CELL("ROW"),COLUMN()=CELL("COL"))</formula>
    </cfRule>
  </conditionalFormatting>
  <conditionalFormatting sqref="K70">
    <cfRule type="cellIs" dxfId="434" priority="452" operator="equal">
      <formula>"VÁLIDA"</formula>
    </cfRule>
  </conditionalFormatting>
  <conditionalFormatting sqref="K70">
    <cfRule type="cellIs" dxfId="433" priority="451" operator="equal">
      <formula>"NO VÁLIDA"</formula>
    </cfRule>
  </conditionalFormatting>
  <conditionalFormatting sqref="K70">
    <cfRule type="expression" dxfId="432" priority="450" stopIfTrue="1">
      <formula>AND(ROW()=CELL("ROW"),COLUMN()=CELL("COL"))</formula>
    </cfRule>
  </conditionalFormatting>
  <conditionalFormatting sqref="K70">
    <cfRule type="expression" dxfId="431" priority="449" stopIfTrue="1">
      <formula>AND(ROW()=CELL("ROW"),COLUMN()=CELL("COL"))</formula>
    </cfRule>
  </conditionalFormatting>
  <conditionalFormatting sqref="K85">
    <cfRule type="expression" dxfId="430" priority="448" stopIfTrue="1">
      <formula>AND(ROW()=CELL("ROW"),COLUMN()=CELL("COL"))</formula>
    </cfRule>
  </conditionalFormatting>
  <conditionalFormatting sqref="K85">
    <cfRule type="expression" dxfId="429" priority="447" stopIfTrue="1">
      <formula>AND(ROW()=CELL("ROW"),COLUMN()=CELL("COL"))</formula>
    </cfRule>
  </conditionalFormatting>
  <conditionalFormatting sqref="K90:K91">
    <cfRule type="expression" dxfId="428" priority="446" stopIfTrue="1">
      <formula>AND(ROW()=CELL("ROW"),COLUMN()=CELL("COL"))</formula>
    </cfRule>
  </conditionalFormatting>
  <conditionalFormatting sqref="K90:K91">
    <cfRule type="expression" dxfId="427" priority="445" stopIfTrue="1">
      <formula>AND(ROW()=CELL("ROW"),COLUMN()=CELL("COL"))</formula>
    </cfRule>
  </conditionalFormatting>
  <conditionalFormatting sqref="K93">
    <cfRule type="expression" dxfId="426" priority="444" stopIfTrue="1">
      <formula>AND(ROW()=CELL("ROW"),COLUMN()=CELL("COL"))</formula>
    </cfRule>
  </conditionalFormatting>
  <conditionalFormatting sqref="K93">
    <cfRule type="expression" dxfId="425" priority="443" stopIfTrue="1">
      <formula>AND(ROW()=CELL("ROW"),COLUMN()=CELL("COL"))</formula>
    </cfRule>
  </conditionalFormatting>
  <conditionalFormatting sqref="K95">
    <cfRule type="expression" dxfId="424" priority="442" stopIfTrue="1">
      <formula>AND(ROW()=CELL("ROW"),COLUMN()=CELL("COL"))</formula>
    </cfRule>
  </conditionalFormatting>
  <conditionalFormatting sqref="K95">
    <cfRule type="expression" dxfId="423" priority="441" stopIfTrue="1">
      <formula>AND(ROW()=CELL("ROW"),COLUMN()=CELL("COL"))</formula>
    </cfRule>
  </conditionalFormatting>
  <conditionalFormatting sqref="K97">
    <cfRule type="expression" dxfId="422" priority="440" stopIfTrue="1">
      <formula>AND(ROW()=CELL("ROW"),COLUMN()=CELL("COL"))</formula>
    </cfRule>
  </conditionalFormatting>
  <conditionalFormatting sqref="K97">
    <cfRule type="expression" dxfId="421" priority="439" stopIfTrue="1">
      <formula>AND(ROW()=CELL("ROW"),COLUMN()=CELL("COL"))</formula>
    </cfRule>
  </conditionalFormatting>
  <conditionalFormatting sqref="K63">
    <cfRule type="cellIs" dxfId="420" priority="436" operator="equal">
      <formula>"VÁLIDA"</formula>
    </cfRule>
  </conditionalFormatting>
  <conditionalFormatting sqref="K63">
    <cfRule type="cellIs" dxfId="419" priority="435" operator="equal">
      <formula>"NO VÁLIDA"</formula>
    </cfRule>
  </conditionalFormatting>
  <conditionalFormatting sqref="N63">
    <cfRule type="cellIs" dxfId="418" priority="434" operator="equal">
      <formula>"VÁLIDA"</formula>
    </cfRule>
  </conditionalFormatting>
  <conditionalFormatting sqref="N63">
    <cfRule type="cellIs" dxfId="417" priority="433" operator="equal">
      <formula>"NO VÁLIDA"</formula>
    </cfRule>
  </conditionalFormatting>
  <conditionalFormatting sqref="Q63">
    <cfRule type="cellIs" dxfId="416" priority="432" operator="equal">
      <formula>"VÁLIDA"</formula>
    </cfRule>
  </conditionalFormatting>
  <conditionalFormatting sqref="Q63">
    <cfRule type="cellIs" dxfId="415" priority="431" operator="equal">
      <formula>"NO VÁLIDA"</formula>
    </cfRule>
  </conditionalFormatting>
  <conditionalFormatting sqref="T63">
    <cfRule type="cellIs" dxfId="414" priority="430" operator="equal">
      <formula>"VÁLIDA"</formula>
    </cfRule>
  </conditionalFormatting>
  <conditionalFormatting sqref="T63">
    <cfRule type="cellIs" dxfId="413" priority="429" operator="equal">
      <formula>"NO VÁLIDA"</formula>
    </cfRule>
  </conditionalFormatting>
  <conditionalFormatting sqref="W63">
    <cfRule type="cellIs" dxfId="412" priority="428" operator="equal">
      <formula>"VÁLIDA"</formula>
    </cfRule>
  </conditionalFormatting>
  <conditionalFormatting sqref="W63">
    <cfRule type="cellIs" dxfId="411" priority="427" operator="equal">
      <formula>"NO VÁLIDA"</formula>
    </cfRule>
  </conditionalFormatting>
  <conditionalFormatting sqref="Z63">
    <cfRule type="cellIs" dxfId="410" priority="426" operator="equal">
      <formula>"VÁLIDA"</formula>
    </cfRule>
  </conditionalFormatting>
  <conditionalFormatting sqref="Z63">
    <cfRule type="cellIs" dxfId="409" priority="425" operator="equal">
      <formula>"NO VÁLIDA"</formula>
    </cfRule>
  </conditionalFormatting>
  <conditionalFormatting sqref="AC63">
    <cfRule type="cellIs" dxfId="408" priority="424" operator="equal">
      <formula>"VÁLIDA"</formula>
    </cfRule>
  </conditionalFormatting>
  <conditionalFormatting sqref="AC63">
    <cfRule type="cellIs" dxfId="407" priority="423" operator="equal">
      <formula>"NO VÁLIDA"</formula>
    </cfRule>
  </conditionalFormatting>
  <conditionalFormatting sqref="AF63">
    <cfRule type="cellIs" dxfId="406" priority="422" operator="equal">
      <formula>"VÁLIDA"</formula>
    </cfRule>
  </conditionalFormatting>
  <conditionalFormatting sqref="AF63">
    <cfRule type="cellIs" dxfId="405" priority="421" operator="equal">
      <formula>"NO VÁLIDA"</formula>
    </cfRule>
  </conditionalFormatting>
  <conditionalFormatting sqref="K58">
    <cfRule type="cellIs" dxfId="404" priority="420" operator="equal">
      <formula>"VÁLIDA"</formula>
    </cfRule>
  </conditionalFormatting>
  <conditionalFormatting sqref="K58">
    <cfRule type="cellIs" dxfId="403" priority="419" operator="equal">
      <formula>"NO VÁLIDA"</formula>
    </cfRule>
  </conditionalFormatting>
  <conditionalFormatting sqref="N58">
    <cfRule type="cellIs" dxfId="402" priority="418" operator="equal">
      <formula>"VÁLIDA"</formula>
    </cfRule>
  </conditionalFormatting>
  <conditionalFormatting sqref="N58">
    <cfRule type="cellIs" dxfId="401" priority="417" operator="equal">
      <formula>"NO VÁLIDA"</formula>
    </cfRule>
  </conditionalFormatting>
  <conditionalFormatting sqref="Q58">
    <cfRule type="cellIs" dxfId="400" priority="416" operator="equal">
      <formula>"VÁLIDA"</formula>
    </cfRule>
  </conditionalFormatting>
  <conditionalFormatting sqref="Q58">
    <cfRule type="cellIs" dxfId="399" priority="415" operator="equal">
      <formula>"NO VÁLIDA"</formula>
    </cfRule>
  </conditionalFormatting>
  <conditionalFormatting sqref="T58">
    <cfRule type="cellIs" dxfId="398" priority="414" operator="equal">
      <formula>"VÁLIDA"</formula>
    </cfRule>
  </conditionalFormatting>
  <conditionalFormatting sqref="T58">
    <cfRule type="cellIs" dxfId="397" priority="413" operator="equal">
      <formula>"NO VÁLIDA"</formula>
    </cfRule>
  </conditionalFormatting>
  <conditionalFormatting sqref="W58">
    <cfRule type="cellIs" dxfId="396" priority="412" operator="equal">
      <formula>"VÁLIDA"</formula>
    </cfRule>
  </conditionalFormatting>
  <conditionalFormatting sqref="W58">
    <cfRule type="cellIs" dxfId="395" priority="411" operator="equal">
      <formula>"NO VÁLIDA"</formula>
    </cfRule>
  </conditionalFormatting>
  <conditionalFormatting sqref="Z58">
    <cfRule type="cellIs" dxfId="394" priority="410" operator="equal">
      <formula>"VÁLIDA"</formula>
    </cfRule>
  </conditionalFormatting>
  <conditionalFormatting sqref="Z58">
    <cfRule type="cellIs" dxfId="393" priority="409" operator="equal">
      <formula>"NO VÁLIDA"</formula>
    </cfRule>
  </conditionalFormatting>
  <conditionalFormatting sqref="AC58">
    <cfRule type="cellIs" dxfId="392" priority="408" operator="equal">
      <formula>"VÁLIDA"</formula>
    </cfRule>
  </conditionalFormatting>
  <conditionalFormatting sqref="AC58">
    <cfRule type="cellIs" dxfId="391" priority="407" operator="equal">
      <formula>"NO VÁLIDA"</formula>
    </cfRule>
  </conditionalFormatting>
  <conditionalFormatting sqref="AF58">
    <cfRule type="cellIs" dxfId="390" priority="406" operator="equal">
      <formula>"VÁLIDA"</formula>
    </cfRule>
  </conditionalFormatting>
  <conditionalFormatting sqref="AF58">
    <cfRule type="cellIs" dxfId="389" priority="405" operator="equal">
      <formula>"NO VÁLIDA"</formula>
    </cfRule>
  </conditionalFormatting>
  <conditionalFormatting sqref="K52">
    <cfRule type="cellIs" dxfId="388" priority="404" operator="equal">
      <formula>"VÁLIDA"</formula>
    </cfRule>
  </conditionalFormatting>
  <conditionalFormatting sqref="K52">
    <cfRule type="cellIs" dxfId="387" priority="403" operator="equal">
      <formula>"NO VÁLIDA"</formula>
    </cfRule>
  </conditionalFormatting>
  <conditionalFormatting sqref="N52">
    <cfRule type="cellIs" dxfId="386" priority="402" operator="equal">
      <formula>"VÁLIDA"</formula>
    </cfRule>
  </conditionalFormatting>
  <conditionalFormatting sqref="N52">
    <cfRule type="cellIs" dxfId="385" priority="401" operator="equal">
      <formula>"NO VÁLIDA"</formula>
    </cfRule>
  </conditionalFormatting>
  <conditionalFormatting sqref="Q52">
    <cfRule type="cellIs" dxfId="384" priority="400" operator="equal">
      <formula>"VÁLIDA"</formula>
    </cfRule>
  </conditionalFormatting>
  <conditionalFormatting sqref="Q52">
    <cfRule type="cellIs" dxfId="383" priority="399" operator="equal">
      <formula>"NO VÁLIDA"</formula>
    </cfRule>
  </conditionalFormatting>
  <conditionalFormatting sqref="T52">
    <cfRule type="cellIs" dxfId="382" priority="398" operator="equal">
      <formula>"VÁLIDA"</formula>
    </cfRule>
  </conditionalFormatting>
  <conditionalFormatting sqref="T52">
    <cfRule type="cellIs" dxfId="381" priority="397" operator="equal">
      <formula>"NO VÁLIDA"</formula>
    </cfRule>
  </conditionalFormatting>
  <conditionalFormatting sqref="W52">
    <cfRule type="cellIs" dxfId="380" priority="396" operator="equal">
      <formula>"VÁLIDA"</formula>
    </cfRule>
  </conditionalFormatting>
  <conditionalFormatting sqref="W52">
    <cfRule type="cellIs" dxfId="379" priority="395" operator="equal">
      <formula>"NO VÁLIDA"</formula>
    </cfRule>
  </conditionalFormatting>
  <conditionalFormatting sqref="Z52">
    <cfRule type="cellIs" dxfId="378" priority="394" operator="equal">
      <formula>"VÁLIDA"</formula>
    </cfRule>
  </conditionalFormatting>
  <conditionalFormatting sqref="Z52">
    <cfRule type="cellIs" dxfId="377" priority="393" operator="equal">
      <formula>"NO VÁLIDA"</formula>
    </cfRule>
  </conditionalFormatting>
  <conditionalFormatting sqref="AC52">
    <cfRule type="cellIs" dxfId="376" priority="392" operator="equal">
      <formula>"VÁLIDA"</formula>
    </cfRule>
  </conditionalFormatting>
  <conditionalFormatting sqref="AC52">
    <cfRule type="cellIs" dxfId="375" priority="391" operator="equal">
      <formula>"NO VÁLIDA"</formula>
    </cfRule>
  </conditionalFormatting>
  <conditionalFormatting sqref="AF52">
    <cfRule type="cellIs" dxfId="374" priority="390" operator="equal">
      <formula>"VÁLIDA"</formula>
    </cfRule>
  </conditionalFormatting>
  <conditionalFormatting sqref="AF52">
    <cfRule type="cellIs" dxfId="373" priority="389" operator="equal">
      <formula>"NO VÁLIDA"</formula>
    </cfRule>
  </conditionalFormatting>
  <conditionalFormatting sqref="K49">
    <cfRule type="cellIs" dxfId="372" priority="388" operator="equal">
      <formula>"VÁLIDA"</formula>
    </cfRule>
  </conditionalFormatting>
  <conditionalFormatting sqref="K49">
    <cfRule type="cellIs" dxfId="371" priority="387" operator="equal">
      <formula>"NO VÁLIDA"</formula>
    </cfRule>
  </conditionalFormatting>
  <conditionalFormatting sqref="N49">
    <cfRule type="cellIs" dxfId="370" priority="386" operator="equal">
      <formula>"VÁLIDA"</formula>
    </cfRule>
  </conditionalFormatting>
  <conditionalFormatting sqref="N49">
    <cfRule type="cellIs" dxfId="369" priority="385" operator="equal">
      <formula>"NO VÁLIDA"</formula>
    </cfRule>
  </conditionalFormatting>
  <conditionalFormatting sqref="Q49">
    <cfRule type="cellIs" dxfId="368" priority="384" operator="equal">
      <formula>"VÁLIDA"</formula>
    </cfRule>
  </conditionalFormatting>
  <conditionalFormatting sqref="Q49">
    <cfRule type="cellIs" dxfId="367" priority="383" operator="equal">
      <formula>"NO VÁLIDA"</formula>
    </cfRule>
  </conditionalFormatting>
  <conditionalFormatting sqref="T49">
    <cfRule type="cellIs" dxfId="366" priority="382" operator="equal">
      <formula>"VÁLIDA"</formula>
    </cfRule>
  </conditionalFormatting>
  <conditionalFormatting sqref="T49">
    <cfRule type="cellIs" dxfId="365" priority="381" operator="equal">
      <formula>"NO VÁLIDA"</formula>
    </cfRule>
  </conditionalFormatting>
  <conditionalFormatting sqref="W49">
    <cfRule type="cellIs" dxfId="364" priority="380" operator="equal">
      <formula>"VÁLIDA"</formula>
    </cfRule>
  </conditionalFormatting>
  <conditionalFormatting sqref="W49">
    <cfRule type="cellIs" dxfId="363" priority="379" operator="equal">
      <formula>"NO VÁLIDA"</formula>
    </cfRule>
  </conditionalFormatting>
  <conditionalFormatting sqref="Z49">
    <cfRule type="cellIs" dxfId="362" priority="378" operator="equal">
      <formula>"VÁLIDA"</formula>
    </cfRule>
  </conditionalFormatting>
  <conditionalFormatting sqref="Z49">
    <cfRule type="cellIs" dxfId="361" priority="377" operator="equal">
      <formula>"NO VÁLIDA"</formula>
    </cfRule>
  </conditionalFormatting>
  <conditionalFormatting sqref="AC49">
    <cfRule type="cellIs" dxfId="360" priority="376" operator="equal">
      <formula>"VÁLIDA"</formula>
    </cfRule>
  </conditionalFormatting>
  <conditionalFormatting sqref="AC49">
    <cfRule type="cellIs" dxfId="359" priority="375" operator="equal">
      <formula>"NO VÁLIDA"</formula>
    </cfRule>
  </conditionalFormatting>
  <conditionalFormatting sqref="AF49">
    <cfRule type="cellIs" dxfId="358" priority="374" operator="equal">
      <formula>"VÁLIDA"</formula>
    </cfRule>
  </conditionalFormatting>
  <conditionalFormatting sqref="AF49">
    <cfRule type="cellIs" dxfId="357" priority="373" operator="equal">
      <formula>"NO VÁLIDA"</formula>
    </cfRule>
  </conditionalFormatting>
  <conditionalFormatting sqref="K37">
    <cfRule type="cellIs" dxfId="356" priority="372" operator="equal">
      <formula>"VÁLIDA"</formula>
    </cfRule>
  </conditionalFormatting>
  <conditionalFormatting sqref="K37">
    <cfRule type="cellIs" dxfId="355" priority="371" operator="equal">
      <formula>"NO VÁLIDA"</formula>
    </cfRule>
  </conditionalFormatting>
  <conditionalFormatting sqref="N37">
    <cfRule type="cellIs" dxfId="354" priority="370" operator="equal">
      <formula>"VÁLIDA"</formula>
    </cfRule>
  </conditionalFormatting>
  <conditionalFormatting sqref="N37">
    <cfRule type="cellIs" dxfId="353" priority="369" operator="equal">
      <formula>"NO VÁLIDA"</formula>
    </cfRule>
  </conditionalFormatting>
  <conditionalFormatting sqref="Q37">
    <cfRule type="cellIs" dxfId="352" priority="368" operator="equal">
      <formula>"VÁLIDA"</formula>
    </cfRule>
  </conditionalFormatting>
  <conditionalFormatting sqref="Q37">
    <cfRule type="cellIs" dxfId="351" priority="367" operator="equal">
      <formula>"NO VÁLIDA"</formula>
    </cfRule>
  </conditionalFormatting>
  <conditionalFormatting sqref="T37">
    <cfRule type="cellIs" dxfId="350" priority="366" operator="equal">
      <formula>"VÁLIDA"</formula>
    </cfRule>
  </conditionalFormatting>
  <conditionalFormatting sqref="T37">
    <cfRule type="cellIs" dxfId="349" priority="365" operator="equal">
      <formula>"NO VÁLIDA"</formula>
    </cfRule>
  </conditionalFormatting>
  <conditionalFormatting sqref="W37">
    <cfRule type="cellIs" dxfId="348" priority="364" operator="equal">
      <formula>"VÁLIDA"</formula>
    </cfRule>
  </conditionalFormatting>
  <conditionalFormatting sqref="W37">
    <cfRule type="cellIs" dxfId="347" priority="363" operator="equal">
      <formula>"NO VÁLIDA"</formula>
    </cfRule>
  </conditionalFormatting>
  <conditionalFormatting sqref="Z37">
    <cfRule type="cellIs" dxfId="346" priority="362" operator="equal">
      <formula>"VÁLIDA"</formula>
    </cfRule>
  </conditionalFormatting>
  <conditionalFormatting sqref="Z37">
    <cfRule type="cellIs" dxfId="345" priority="361" operator="equal">
      <formula>"NO VÁLIDA"</formula>
    </cfRule>
  </conditionalFormatting>
  <conditionalFormatting sqref="AC37">
    <cfRule type="cellIs" dxfId="344" priority="360" operator="equal">
      <formula>"VÁLIDA"</formula>
    </cfRule>
  </conditionalFormatting>
  <conditionalFormatting sqref="AC37">
    <cfRule type="cellIs" dxfId="343" priority="359" operator="equal">
      <formula>"NO VÁLIDA"</formula>
    </cfRule>
  </conditionalFormatting>
  <conditionalFormatting sqref="AF37">
    <cfRule type="cellIs" dxfId="342" priority="358" operator="equal">
      <formula>"VÁLIDA"</formula>
    </cfRule>
  </conditionalFormatting>
  <conditionalFormatting sqref="AF37">
    <cfRule type="cellIs" dxfId="341" priority="357" operator="equal">
      <formula>"NO VÁLIDA"</formula>
    </cfRule>
  </conditionalFormatting>
  <conditionalFormatting sqref="K24">
    <cfRule type="cellIs" dxfId="340" priority="356" operator="equal">
      <formula>"VÁLIDA"</formula>
    </cfRule>
  </conditionalFormatting>
  <conditionalFormatting sqref="K24">
    <cfRule type="cellIs" dxfId="339" priority="355" operator="equal">
      <formula>"NO VÁLIDA"</formula>
    </cfRule>
  </conditionalFormatting>
  <conditionalFormatting sqref="N24">
    <cfRule type="cellIs" dxfId="338" priority="354" operator="equal">
      <formula>"VÁLIDA"</formula>
    </cfRule>
  </conditionalFormatting>
  <conditionalFormatting sqref="N24">
    <cfRule type="cellIs" dxfId="337" priority="353" operator="equal">
      <formula>"NO VÁLIDA"</formula>
    </cfRule>
  </conditionalFormatting>
  <conditionalFormatting sqref="Q24">
    <cfRule type="cellIs" dxfId="336" priority="352" operator="equal">
      <formula>"VÁLIDA"</formula>
    </cfRule>
  </conditionalFormatting>
  <conditionalFormatting sqref="Q24">
    <cfRule type="cellIs" dxfId="335" priority="351" operator="equal">
      <formula>"NO VÁLIDA"</formula>
    </cfRule>
  </conditionalFormatting>
  <conditionalFormatting sqref="T24">
    <cfRule type="cellIs" dxfId="334" priority="350" operator="equal">
      <formula>"VÁLIDA"</formula>
    </cfRule>
  </conditionalFormatting>
  <conditionalFormatting sqref="T24">
    <cfRule type="cellIs" dxfId="333" priority="349" operator="equal">
      <formula>"NO VÁLIDA"</formula>
    </cfRule>
  </conditionalFormatting>
  <conditionalFormatting sqref="W24">
    <cfRule type="cellIs" dxfId="332" priority="348" operator="equal">
      <formula>"VÁLIDA"</formula>
    </cfRule>
  </conditionalFormatting>
  <conditionalFormatting sqref="W24">
    <cfRule type="cellIs" dxfId="331" priority="347" operator="equal">
      <formula>"NO VÁLIDA"</formula>
    </cfRule>
  </conditionalFormatting>
  <conditionalFormatting sqref="Z24">
    <cfRule type="cellIs" dxfId="330" priority="346" operator="equal">
      <formula>"VÁLIDA"</formula>
    </cfRule>
  </conditionalFormatting>
  <conditionalFormatting sqref="Z24">
    <cfRule type="cellIs" dxfId="329" priority="345" operator="equal">
      <formula>"NO VÁLIDA"</formula>
    </cfRule>
  </conditionalFormatting>
  <conditionalFormatting sqref="K26">
    <cfRule type="cellIs" dxfId="328" priority="340" operator="equal">
      <formula>"VÁLIDA"</formula>
    </cfRule>
  </conditionalFormatting>
  <conditionalFormatting sqref="K26">
    <cfRule type="cellIs" dxfId="327" priority="339" operator="equal">
      <formula>"NO VÁLIDA"</formula>
    </cfRule>
  </conditionalFormatting>
  <conditionalFormatting sqref="N26">
    <cfRule type="cellIs" dxfId="326" priority="338" operator="equal">
      <formula>"VÁLIDA"</formula>
    </cfRule>
  </conditionalFormatting>
  <conditionalFormatting sqref="N26">
    <cfRule type="cellIs" dxfId="325" priority="337" operator="equal">
      <formula>"NO VÁLIDA"</formula>
    </cfRule>
  </conditionalFormatting>
  <conditionalFormatting sqref="K28">
    <cfRule type="cellIs" dxfId="324" priority="324" operator="equal">
      <formula>"VÁLIDA"</formula>
    </cfRule>
  </conditionalFormatting>
  <conditionalFormatting sqref="K28">
    <cfRule type="cellIs" dxfId="323" priority="323" operator="equal">
      <formula>"NO VÁLIDA"</formula>
    </cfRule>
  </conditionalFormatting>
  <conditionalFormatting sqref="N28">
    <cfRule type="cellIs" dxfId="322" priority="322" operator="equal">
      <formula>"VÁLIDA"</formula>
    </cfRule>
  </conditionalFormatting>
  <conditionalFormatting sqref="N28">
    <cfRule type="cellIs" dxfId="321" priority="321" operator="equal">
      <formula>"NO VÁLIDA"</formula>
    </cfRule>
  </conditionalFormatting>
  <conditionalFormatting sqref="K30">
    <cfRule type="cellIs" dxfId="320" priority="308" operator="equal">
      <formula>"VÁLIDA"</formula>
    </cfRule>
  </conditionalFormatting>
  <conditionalFormatting sqref="K30">
    <cfRule type="cellIs" dxfId="319" priority="307" operator="equal">
      <formula>"NO VÁLIDA"</formula>
    </cfRule>
  </conditionalFormatting>
  <conditionalFormatting sqref="N30">
    <cfRule type="cellIs" dxfId="318" priority="306" operator="equal">
      <formula>"VÁLIDA"</formula>
    </cfRule>
  </conditionalFormatting>
  <conditionalFormatting sqref="N30">
    <cfRule type="cellIs" dxfId="317" priority="305" operator="equal">
      <formula>"NO VÁLIDA"</formula>
    </cfRule>
  </conditionalFormatting>
  <conditionalFormatting sqref="K100:K102 K104:K106">
    <cfRule type="expression" dxfId="316" priority="292" stopIfTrue="1">
      <formula>AND(ROW()=CELL("ROW"),COLUMN()=CELL("COL"))</formula>
    </cfRule>
  </conditionalFormatting>
  <conditionalFormatting sqref="K100:K102 K104:K106">
    <cfRule type="expression" dxfId="315" priority="291" stopIfTrue="1">
      <formula>AND(ROW()=CELL("ROW"),COLUMN()=CELL("COL"))</formula>
    </cfRule>
  </conditionalFormatting>
  <conditionalFormatting sqref="L21:L22">
    <cfRule type="expression" dxfId="314" priority="290" stopIfTrue="1">
      <formula>AND(ROW()=CELL("ROW"),COLUMN()=CELL("COL"))</formula>
    </cfRule>
  </conditionalFormatting>
  <conditionalFormatting sqref="L25">
    <cfRule type="expression" dxfId="313" priority="289" stopIfTrue="1">
      <formula>AND(ROW()=CELL("ROW"),COLUMN()=CELL("COL"))</formula>
    </cfRule>
  </conditionalFormatting>
  <conditionalFormatting sqref="L27">
    <cfRule type="expression" dxfId="312" priority="288" stopIfTrue="1">
      <formula>AND(ROW()=CELL("ROW"),COLUMN()=CELL("COL"))</formula>
    </cfRule>
  </conditionalFormatting>
  <conditionalFormatting sqref="L29">
    <cfRule type="expression" dxfId="311" priority="287" stopIfTrue="1">
      <formula>AND(ROW()=CELL("ROW"),COLUMN()=CELL("COL"))</formula>
    </cfRule>
  </conditionalFormatting>
  <conditionalFormatting sqref="L31">
    <cfRule type="expression" dxfId="310" priority="286" stopIfTrue="1">
      <formula>AND(ROW()=CELL("ROW"),COLUMN()=CELL("COL"))</formula>
    </cfRule>
  </conditionalFormatting>
  <conditionalFormatting sqref="N25">
    <cfRule type="expression" dxfId="309" priority="285" stopIfTrue="1">
      <formula>AND(ROW()=CELL("ROW"),COLUMN()=CELL("COL"))</formula>
    </cfRule>
  </conditionalFormatting>
  <conditionalFormatting sqref="N27">
    <cfRule type="expression" dxfId="308" priority="284" stopIfTrue="1">
      <formula>AND(ROW()=CELL("ROW"),COLUMN()=CELL("COL"))</formula>
    </cfRule>
  </conditionalFormatting>
  <conditionalFormatting sqref="N29">
    <cfRule type="expression" dxfId="307" priority="283" stopIfTrue="1">
      <formula>AND(ROW()=CELL("ROW"),COLUMN()=CELL("COL"))</formula>
    </cfRule>
  </conditionalFormatting>
  <conditionalFormatting sqref="N31">
    <cfRule type="expression" dxfId="306" priority="282" stopIfTrue="1">
      <formula>AND(ROW()=CELL("ROW"),COLUMN()=CELL("COL"))</formula>
    </cfRule>
  </conditionalFormatting>
  <conditionalFormatting sqref="L68">
    <cfRule type="expression" dxfId="305" priority="281" stopIfTrue="1">
      <formula>AND(ROW()=CELL("ROW"),COLUMN()=CELL("COL"))</formula>
    </cfRule>
  </conditionalFormatting>
  <conditionalFormatting sqref="L70">
    <cfRule type="expression" dxfId="304" priority="280" stopIfTrue="1">
      <formula>AND(ROW()=CELL("ROW"),COLUMN()=CELL("COL"))</formula>
    </cfRule>
  </conditionalFormatting>
  <conditionalFormatting sqref="L85">
    <cfRule type="expression" dxfId="303" priority="279" stopIfTrue="1">
      <formula>AND(ROW()=CELL("ROW"),COLUMN()=CELL("COL"))</formula>
    </cfRule>
  </conditionalFormatting>
  <conditionalFormatting sqref="N85">
    <cfRule type="cellIs" dxfId="302" priority="278" operator="equal">
      <formula>"VÁLIDA"</formula>
    </cfRule>
  </conditionalFormatting>
  <conditionalFormatting sqref="N85">
    <cfRule type="cellIs" dxfId="301" priority="277" operator="equal">
      <formula>"NO VÁLIDA"</formula>
    </cfRule>
  </conditionalFormatting>
  <conditionalFormatting sqref="N85">
    <cfRule type="expression" dxfId="300" priority="276" stopIfTrue="1">
      <formula>AND(ROW()=CELL("ROW"),COLUMN()=CELL("COL"))</formula>
    </cfRule>
  </conditionalFormatting>
  <conditionalFormatting sqref="N85">
    <cfRule type="expression" dxfId="299" priority="275" stopIfTrue="1">
      <formula>AND(ROW()=CELL("ROW"),COLUMN()=CELL("COL"))</formula>
    </cfRule>
  </conditionalFormatting>
  <conditionalFormatting sqref="N68">
    <cfRule type="cellIs" dxfId="298" priority="274" operator="equal">
      <formula>"VÁLIDA"</formula>
    </cfRule>
  </conditionalFormatting>
  <conditionalFormatting sqref="N68">
    <cfRule type="cellIs" dxfId="297" priority="273" operator="equal">
      <formula>"NO VÁLIDA"</formula>
    </cfRule>
  </conditionalFormatting>
  <conditionalFormatting sqref="N68">
    <cfRule type="expression" dxfId="296" priority="272" stopIfTrue="1">
      <formula>AND(ROW()=CELL("ROW"),COLUMN()=CELL("COL"))</formula>
    </cfRule>
  </conditionalFormatting>
  <conditionalFormatting sqref="N68">
    <cfRule type="expression" dxfId="295" priority="271" stopIfTrue="1">
      <formula>AND(ROW()=CELL("ROW"),COLUMN()=CELL("COL"))</formula>
    </cfRule>
  </conditionalFormatting>
  <conditionalFormatting sqref="N70">
    <cfRule type="cellIs" dxfId="294" priority="270" operator="equal">
      <formula>"VÁLIDA"</formula>
    </cfRule>
  </conditionalFormatting>
  <conditionalFormatting sqref="N70">
    <cfRule type="cellIs" dxfId="293" priority="269" operator="equal">
      <formula>"NO VÁLIDA"</formula>
    </cfRule>
  </conditionalFormatting>
  <conditionalFormatting sqref="N70">
    <cfRule type="expression" dxfId="292" priority="268" stopIfTrue="1">
      <formula>AND(ROW()=CELL("ROW"),COLUMN()=CELL("COL"))</formula>
    </cfRule>
  </conditionalFormatting>
  <conditionalFormatting sqref="N70">
    <cfRule type="expression" dxfId="291" priority="267" stopIfTrue="1">
      <formula>AND(ROW()=CELL("ROW"),COLUMN()=CELL("COL"))</formula>
    </cfRule>
  </conditionalFormatting>
  <conditionalFormatting sqref="L90:L91">
    <cfRule type="expression" dxfId="290" priority="266" stopIfTrue="1">
      <formula>AND(ROW()=CELL("ROW"),COLUMN()=CELL("COL"))</formula>
    </cfRule>
  </conditionalFormatting>
  <conditionalFormatting sqref="L93">
    <cfRule type="expression" dxfId="289" priority="265" stopIfTrue="1">
      <formula>AND(ROW()=CELL("ROW"),COLUMN()=CELL("COL"))</formula>
    </cfRule>
  </conditionalFormatting>
  <conditionalFormatting sqref="L95">
    <cfRule type="expression" dxfId="288" priority="264" stopIfTrue="1">
      <formula>AND(ROW()=CELL("ROW"),COLUMN()=CELL("COL"))</formula>
    </cfRule>
  </conditionalFormatting>
  <conditionalFormatting sqref="L97">
    <cfRule type="expression" dxfId="287" priority="263" stopIfTrue="1">
      <formula>AND(ROW()=CELL("ROW"),COLUMN()=CELL("COL"))</formula>
    </cfRule>
  </conditionalFormatting>
  <conditionalFormatting sqref="O21:O22">
    <cfRule type="expression" dxfId="286" priority="262" stopIfTrue="1">
      <formula>AND(ROW()=CELL("ROW"),COLUMN()=CELL("COL"))</formula>
    </cfRule>
  </conditionalFormatting>
  <conditionalFormatting sqref="Q21:Q22">
    <cfRule type="cellIs" dxfId="285" priority="261" operator="equal">
      <formula>"VÁLIDA"</formula>
    </cfRule>
  </conditionalFormatting>
  <conditionalFormatting sqref="Q21:Q22">
    <cfRule type="cellIs" dxfId="284" priority="260" operator="equal">
      <formula>"NO VÁLIDA"</formula>
    </cfRule>
  </conditionalFormatting>
  <conditionalFormatting sqref="Q21:Q22">
    <cfRule type="expression" dxfId="283" priority="259" stopIfTrue="1">
      <formula>AND(ROW()=CELL("ROW"),COLUMN()=CELL("COL"))</formula>
    </cfRule>
  </conditionalFormatting>
  <conditionalFormatting sqref="O25">
    <cfRule type="expression" dxfId="282" priority="258" stopIfTrue="1">
      <formula>AND(ROW()=CELL("ROW"),COLUMN()=CELL("COL"))</formula>
    </cfRule>
  </conditionalFormatting>
  <conditionalFormatting sqref="O27">
    <cfRule type="expression" dxfId="281" priority="257" stopIfTrue="1">
      <formula>AND(ROW()=CELL("ROW"),COLUMN()=CELL("COL"))</formula>
    </cfRule>
  </conditionalFormatting>
  <conditionalFormatting sqref="O29">
    <cfRule type="expression" dxfId="280" priority="256" stopIfTrue="1">
      <formula>AND(ROW()=CELL("ROW"),COLUMN()=CELL("COL"))</formula>
    </cfRule>
  </conditionalFormatting>
  <conditionalFormatting sqref="O31">
    <cfRule type="expression" dxfId="279" priority="255" stopIfTrue="1">
      <formula>AND(ROW()=CELL("ROW"),COLUMN()=CELL("COL"))</formula>
    </cfRule>
  </conditionalFormatting>
  <conditionalFormatting sqref="Q25 Q27 Q29 Q31">
    <cfRule type="cellIs" dxfId="278" priority="254" operator="equal">
      <formula>"VÁLIDA"</formula>
    </cfRule>
  </conditionalFormatting>
  <conditionalFormatting sqref="Q25 Q27 Q29 Q31">
    <cfRule type="cellIs" dxfId="277" priority="253" operator="equal">
      <formula>"NO VÁLIDA"</formula>
    </cfRule>
  </conditionalFormatting>
  <conditionalFormatting sqref="Q25">
    <cfRule type="expression" dxfId="276" priority="252" stopIfTrue="1">
      <formula>AND(ROW()=CELL("ROW"),COLUMN()=CELL("COL"))</formula>
    </cfRule>
  </conditionalFormatting>
  <conditionalFormatting sqref="Q27">
    <cfRule type="expression" dxfId="275" priority="251" stopIfTrue="1">
      <formula>AND(ROW()=CELL("ROW"),COLUMN()=CELL("COL"))</formula>
    </cfRule>
  </conditionalFormatting>
  <conditionalFormatting sqref="Q29">
    <cfRule type="expression" dxfId="274" priority="250" stopIfTrue="1">
      <formula>AND(ROW()=CELL("ROW"),COLUMN()=CELL("COL"))</formula>
    </cfRule>
  </conditionalFormatting>
  <conditionalFormatting sqref="Q31">
    <cfRule type="expression" dxfId="273" priority="249" stopIfTrue="1">
      <formula>AND(ROW()=CELL("ROW"),COLUMN()=CELL("COL"))</formula>
    </cfRule>
  </conditionalFormatting>
  <conditionalFormatting sqref="Q26">
    <cfRule type="cellIs" dxfId="272" priority="248" operator="equal">
      <formula>"VÁLIDA"</formula>
    </cfRule>
  </conditionalFormatting>
  <conditionalFormatting sqref="Q26">
    <cfRule type="cellIs" dxfId="271" priority="247" operator="equal">
      <formula>"NO VÁLIDA"</formula>
    </cfRule>
  </conditionalFormatting>
  <conditionalFormatting sqref="Q28">
    <cfRule type="cellIs" dxfId="270" priority="246" operator="equal">
      <formula>"VÁLIDA"</formula>
    </cfRule>
  </conditionalFormatting>
  <conditionalFormatting sqref="Q28">
    <cfRule type="cellIs" dxfId="269" priority="245" operator="equal">
      <formula>"NO VÁLIDA"</formula>
    </cfRule>
  </conditionalFormatting>
  <conditionalFormatting sqref="Q30">
    <cfRule type="cellIs" dxfId="268" priority="244" operator="equal">
      <formula>"VÁLIDA"</formula>
    </cfRule>
  </conditionalFormatting>
  <conditionalFormatting sqref="Q30">
    <cfRule type="cellIs" dxfId="267" priority="243" operator="equal">
      <formula>"NO VÁLIDA"</formula>
    </cfRule>
  </conditionalFormatting>
  <conditionalFormatting sqref="Q25">
    <cfRule type="expression" dxfId="266" priority="242" stopIfTrue="1">
      <formula>AND(ROW()=CELL("ROW"),COLUMN()=CELL("COL"))</formula>
    </cfRule>
  </conditionalFormatting>
  <conditionalFormatting sqref="Q27">
    <cfRule type="expression" dxfId="265" priority="241" stopIfTrue="1">
      <formula>AND(ROW()=CELL("ROW"),COLUMN()=CELL("COL"))</formula>
    </cfRule>
  </conditionalFormatting>
  <conditionalFormatting sqref="Q29">
    <cfRule type="expression" dxfId="264" priority="240" stopIfTrue="1">
      <formula>AND(ROW()=CELL("ROW"),COLUMN()=CELL("COL"))</formula>
    </cfRule>
  </conditionalFormatting>
  <conditionalFormatting sqref="Q31">
    <cfRule type="expression" dxfId="263" priority="239" stopIfTrue="1">
      <formula>AND(ROW()=CELL("ROW"),COLUMN()=CELL("COL"))</formula>
    </cfRule>
  </conditionalFormatting>
  <conditionalFormatting sqref="O68">
    <cfRule type="expression" dxfId="262" priority="238" stopIfTrue="1">
      <formula>AND(ROW()=CELL("ROW"),COLUMN()=CELL("COL"))</formula>
    </cfRule>
  </conditionalFormatting>
  <conditionalFormatting sqref="O70">
    <cfRule type="expression" dxfId="261" priority="237" stopIfTrue="1">
      <formula>AND(ROW()=CELL("ROW"),COLUMN()=CELL("COL"))</formula>
    </cfRule>
  </conditionalFormatting>
  <conditionalFormatting sqref="Q69">
    <cfRule type="cellIs" dxfId="260" priority="236" operator="equal">
      <formula>"VÁLIDA"</formula>
    </cfRule>
  </conditionalFormatting>
  <conditionalFormatting sqref="Q69">
    <cfRule type="expression" dxfId="259" priority="235" stopIfTrue="1">
      <formula>AND(ROW()=CELL("ROW"),COLUMN()=CELL("COL"))</formula>
    </cfRule>
  </conditionalFormatting>
  <conditionalFormatting sqref="Q69">
    <cfRule type="cellIs" dxfId="258" priority="234" operator="equal">
      <formula>"NO VÁLIDA"</formula>
    </cfRule>
  </conditionalFormatting>
  <conditionalFormatting sqref="Q68">
    <cfRule type="cellIs" dxfId="257" priority="233" operator="equal">
      <formula>"VÁLIDA"</formula>
    </cfRule>
  </conditionalFormatting>
  <conditionalFormatting sqref="Q68">
    <cfRule type="cellIs" dxfId="256" priority="232" operator="equal">
      <formula>"NO VÁLIDA"</formula>
    </cfRule>
  </conditionalFormatting>
  <conditionalFormatting sqref="Q68">
    <cfRule type="expression" dxfId="255" priority="231" stopIfTrue="1">
      <formula>AND(ROW()=CELL("ROW"),COLUMN()=CELL("COL"))</formula>
    </cfRule>
  </conditionalFormatting>
  <conditionalFormatting sqref="Q68">
    <cfRule type="expression" dxfId="254" priority="230" stopIfTrue="1">
      <formula>AND(ROW()=CELL("ROW"),COLUMN()=CELL("COL"))</formula>
    </cfRule>
  </conditionalFormatting>
  <conditionalFormatting sqref="Q70">
    <cfRule type="cellIs" dxfId="253" priority="229" operator="equal">
      <formula>"VÁLIDA"</formula>
    </cfRule>
  </conditionalFormatting>
  <conditionalFormatting sqref="Q70">
    <cfRule type="cellIs" dxfId="252" priority="228" operator="equal">
      <formula>"NO VÁLIDA"</formula>
    </cfRule>
  </conditionalFormatting>
  <conditionalFormatting sqref="Q70">
    <cfRule type="expression" dxfId="251" priority="227" stopIfTrue="1">
      <formula>AND(ROW()=CELL("ROW"),COLUMN()=CELL("COL"))</formula>
    </cfRule>
  </conditionalFormatting>
  <conditionalFormatting sqref="Q70">
    <cfRule type="expression" dxfId="250" priority="226" stopIfTrue="1">
      <formula>AND(ROW()=CELL("ROW"),COLUMN()=CELL("COL"))</formula>
    </cfRule>
  </conditionalFormatting>
  <conditionalFormatting sqref="O85">
    <cfRule type="expression" dxfId="249" priority="225" stopIfTrue="1">
      <formula>AND(ROW()=CELL("ROW"),COLUMN()=CELL("COL"))</formula>
    </cfRule>
  </conditionalFormatting>
  <conditionalFormatting sqref="Q85">
    <cfRule type="cellIs" dxfId="248" priority="224" operator="equal">
      <formula>"VÁLIDA"</formula>
    </cfRule>
  </conditionalFormatting>
  <conditionalFormatting sqref="Q85">
    <cfRule type="cellIs" dxfId="247" priority="223" operator="equal">
      <formula>"NO VÁLIDA"</formula>
    </cfRule>
  </conditionalFormatting>
  <conditionalFormatting sqref="Q85">
    <cfRule type="expression" dxfId="246" priority="222" stopIfTrue="1">
      <formula>AND(ROW()=CELL("ROW"),COLUMN()=CELL("COL"))</formula>
    </cfRule>
  </conditionalFormatting>
  <conditionalFormatting sqref="Q85">
    <cfRule type="expression" dxfId="245" priority="221" stopIfTrue="1">
      <formula>AND(ROW()=CELL("ROW"),COLUMN()=CELL("COL"))</formula>
    </cfRule>
  </conditionalFormatting>
  <conditionalFormatting sqref="O90:O91">
    <cfRule type="expression" dxfId="244" priority="220" stopIfTrue="1">
      <formula>AND(ROW()=CELL("ROW"),COLUMN()=CELL("COL"))</formula>
    </cfRule>
  </conditionalFormatting>
  <conditionalFormatting sqref="O93">
    <cfRule type="expression" dxfId="243" priority="219" stopIfTrue="1">
      <formula>AND(ROW()=CELL("ROW"),COLUMN()=CELL("COL"))</formula>
    </cfRule>
  </conditionalFormatting>
  <conditionalFormatting sqref="O95">
    <cfRule type="expression" dxfId="242" priority="218" stopIfTrue="1">
      <formula>AND(ROW()=CELL("ROW"),COLUMN()=CELL("COL"))</formula>
    </cfRule>
  </conditionalFormatting>
  <conditionalFormatting sqref="O97">
    <cfRule type="expression" dxfId="241" priority="217" stopIfTrue="1">
      <formula>AND(ROW()=CELL("ROW"),COLUMN()=CELL("COL"))</formula>
    </cfRule>
  </conditionalFormatting>
  <conditionalFormatting sqref="R21:R22">
    <cfRule type="expression" dxfId="240" priority="216" stopIfTrue="1">
      <formula>AND(ROW()=CELL("ROW"),COLUMN()=CELL("COL"))</formula>
    </cfRule>
  </conditionalFormatting>
  <conditionalFormatting sqref="T21:T22">
    <cfRule type="cellIs" dxfId="239" priority="215" operator="equal">
      <formula>"VÁLIDA"</formula>
    </cfRule>
  </conditionalFormatting>
  <conditionalFormatting sqref="T21:T22">
    <cfRule type="cellIs" dxfId="238" priority="214" operator="equal">
      <formula>"NO VÁLIDA"</formula>
    </cfRule>
  </conditionalFormatting>
  <conditionalFormatting sqref="T21:T22">
    <cfRule type="expression" dxfId="237" priority="213" stopIfTrue="1">
      <formula>AND(ROW()=CELL("ROW"),COLUMN()=CELL("COL"))</formula>
    </cfRule>
  </conditionalFormatting>
  <conditionalFormatting sqref="R25">
    <cfRule type="expression" dxfId="236" priority="212" stopIfTrue="1">
      <formula>AND(ROW()=CELL("ROW"),COLUMN()=CELL("COL"))</formula>
    </cfRule>
  </conditionalFormatting>
  <conditionalFormatting sqref="R27">
    <cfRule type="expression" dxfId="235" priority="211" stopIfTrue="1">
      <formula>AND(ROW()=CELL("ROW"),COLUMN()=CELL("COL"))</formula>
    </cfRule>
  </conditionalFormatting>
  <conditionalFormatting sqref="R29">
    <cfRule type="expression" dxfId="234" priority="210" stopIfTrue="1">
      <formula>AND(ROW()=CELL("ROW"),COLUMN()=CELL("COL"))</formula>
    </cfRule>
  </conditionalFormatting>
  <conditionalFormatting sqref="R31">
    <cfRule type="expression" dxfId="233" priority="209" stopIfTrue="1">
      <formula>AND(ROW()=CELL("ROW"),COLUMN()=CELL("COL"))</formula>
    </cfRule>
  </conditionalFormatting>
  <conditionalFormatting sqref="T25 T27 T29 T31">
    <cfRule type="cellIs" dxfId="232" priority="208" operator="equal">
      <formula>"VÁLIDA"</formula>
    </cfRule>
  </conditionalFormatting>
  <conditionalFormatting sqref="T25 T27 T29 T31">
    <cfRule type="cellIs" dxfId="231" priority="207" operator="equal">
      <formula>"NO VÁLIDA"</formula>
    </cfRule>
  </conditionalFormatting>
  <conditionalFormatting sqref="T25">
    <cfRule type="expression" dxfId="230" priority="206" stopIfTrue="1">
      <formula>AND(ROW()=CELL("ROW"),COLUMN()=CELL("COL"))</formula>
    </cfRule>
  </conditionalFormatting>
  <conditionalFormatting sqref="T27">
    <cfRule type="expression" dxfId="229" priority="205" stopIfTrue="1">
      <formula>AND(ROW()=CELL("ROW"),COLUMN()=CELL("COL"))</formula>
    </cfRule>
  </conditionalFormatting>
  <conditionalFormatting sqref="T29">
    <cfRule type="expression" dxfId="228" priority="204" stopIfTrue="1">
      <formula>AND(ROW()=CELL("ROW"),COLUMN()=CELL("COL"))</formula>
    </cfRule>
  </conditionalFormatting>
  <conditionalFormatting sqref="T31">
    <cfRule type="expression" dxfId="227" priority="203" stopIfTrue="1">
      <formula>AND(ROW()=CELL("ROW"),COLUMN()=CELL("COL"))</formula>
    </cfRule>
  </conditionalFormatting>
  <conditionalFormatting sqref="T26">
    <cfRule type="cellIs" dxfId="226" priority="202" operator="equal">
      <formula>"VÁLIDA"</formula>
    </cfRule>
  </conditionalFormatting>
  <conditionalFormatting sqref="T26">
    <cfRule type="cellIs" dxfId="225" priority="201" operator="equal">
      <formula>"NO VÁLIDA"</formula>
    </cfRule>
  </conditionalFormatting>
  <conditionalFormatting sqref="T28">
    <cfRule type="cellIs" dxfId="224" priority="200" operator="equal">
      <formula>"VÁLIDA"</formula>
    </cfRule>
  </conditionalFormatting>
  <conditionalFormatting sqref="T28">
    <cfRule type="cellIs" dxfId="223" priority="199" operator="equal">
      <formula>"NO VÁLIDA"</formula>
    </cfRule>
  </conditionalFormatting>
  <conditionalFormatting sqref="T30">
    <cfRule type="cellIs" dxfId="222" priority="198" operator="equal">
      <formula>"VÁLIDA"</formula>
    </cfRule>
  </conditionalFormatting>
  <conditionalFormatting sqref="T30">
    <cfRule type="cellIs" dxfId="221" priority="197" operator="equal">
      <formula>"NO VÁLIDA"</formula>
    </cfRule>
  </conditionalFormatting>
  <conditionalFormatting sqref="T25">
    <cfRule type="expression" dxfId="220" priority="196" stopIfTrue="1">
      <formula>AND(ROW()=CELL("ROW"),COLUMN()=CELL("COL"))</formula>
    </cfRule>
  </conditionalFormatting>
  <conditionalFormatting sqref="T27">
    <cfRule type="expression" dxfId="219" priority="195" stopIfTrue="1">
      <formula>AND(ROW()=CELL("ROW"),COLUMN()=CELL("COL"))</formula>
    </cfRule>
  </conditionalFormatting>
  <conditionalFormatting sqref="T29">
    <cfRule type="expression" dxfId="218" priority="194" stopIfTrue="1">
      <formula>AND(ROW()=CELL("ROW"),COLUMN()=CELL("COL"))</formula>
    </cfRule>
  </conditionalFormatting>
  <conditionalFormatting sqref="T31">
    <cfRule type="expression" dxfId="217" priority="193" stopIfTrue="1">
      <formula>AND(ROW()=CELL("ROW"),COLUMN()=CELL("COL"))</formula>
    </cfRule>
  </conditionalFormatting>
  <conditionalFormatting sqref="R90:R91">
    <cfRule type="expression" dxfId="216" priority="192" stopIfTrue="1">
      <formula>AND(ROW()=CELL("ROW"),COLUMN()=CELL("COL"))</formula>
    </cfRule>
  </conditionalFormatting>
  <conditionalFormatting sqref="R93">
    <cfRule type="expression" dxfId="215" priority="191" stopIfTrue="1">
      <formula>AND(ROW()=CELL("ROW"),COLUMN()=CELL("COL"))</formula>
    </cfRule>
  </conditionalFormatting>
  <conditionalFormatting sqref="R95">
    <cfRule type="expression" dxfId="214" priority="190" stopIfTrue="1">
      <formula>AND(ROW()=CELL("ROW"),COLUMN()=CELL("COL"))</formula>
    </cfRule>
  </conditionalFormatting>
  <conditionalFormatting sqref="R97">
    <cfRule type="expression" dxfId="213" priority="189" stopIfTrue="1">
      <formula>AND(ROW()=CELL("ROW"),COLUMN()=CELL("COL"))</formula>
    </cfRule>
  </conditionalFormatting>
  <conditionalFormatting sqref="U21:U22">
    <cfRule type="expression" dxfId="212" priority="188" stopIfTrue="1">
      <formula>AND(ROW()=CELL("ROW"),COLUMN()=CELL("COL"))</formula>
    </cfRule>
  </conditionalFormatting>
  <conditionalFormatting sqref="W21:W22">
    <cfRule type="cellIs" dxfId="211" priority="187" operator="equal">
      <formula>"VÁLIDA"</formula>
    </cfRule>
  </conditionalFormatting>
  <conditionalFormatting sqref="W21:W22">
    <cfRule type="cellIs" dxfId="210" priority="186" operator="equal">
      <formula>"NO VÁLIDA"</formula>
    </cfRule>
  </conditionalFormatting>
  <conditionalFormatting sqref="W21:W22">
    <cfRule type="expression" dxfId="209" priority="185" stopIfTrue="1">
      <formula>AND(ROW()=CELL("ROW"),COLUMN()=CELL("COL"))</formula>
    </cfRule>
  </conditionalFormatting>
  <conditionalFormatting sqref="U25">
    <cfRule type="expression" dxfId="208" priority="184" stopIfTrue="1">
      <formula>AND(ROW()=CELL("ROW"),COLUMN()=CELL("COL"))</formula>
    </cfRule>
  </conditionalFormatting>
  <conditionalFormatting sqref="U27">
    <cfRule type="expression" dxfId="207" priority="183" stopIfTrue="1">
      <formula>AND(ROW()=CELL("ROW"),COLUMN()=CELL("COL"))</formula>
    </cfRule>
  </conditionalFormatting>
  <conditionalFormatting sqref="U29">
    <cfRule type="expression" dxfId="206" priority="182" stopIfTrue="1">
      <formula>AND(ROW()=CELL("ROW"),COLUMN()=CELL("COL"))</formula>
    </cfRule>
  </conditionalFormatting>
  <conditionalFormatting sqref="U31">
    <cfRule type="expression" dxfId="205" priority="181" stopIfTrue="1">
      <formula>AND(ROW()=CELL("ROW"),COLUMN()=CELL("COL"))</formula>
    </cfRule>
  </conditionalFormatting>
  <conditionalFormatting sqref="W25 W27 W29 W31">
    <cfRule type="cellIs" dxfId="204" priority="180" operator="equal">
      <formula>"VÁLIDA"</formula>
    </cfRule>
  </conditionalFormatting>
  <conditionalFormatting sqref="W25 W27 W29 W31">
    <cfRule type="cellIs" dxfId="203" priority="179" operator="equal">
      <formula>"NO VÁLIDA"</formula>
    </cfRule>
  </conditionalFormatting>
  <conditionalFormatting sqref="W25">
    <cfRule type="expression" dxfId="202" priority="178" stopIfTrue="1">
      <formula>AND(ROW()=CELL("ROW"),COLUMN()=CELL("COL"))</formula>
    </cfRule>
  </conditionalFormatting>
  <conditionalFormatting sqref="W27">
    <cfRule type="expression" dxfId="201" priority="177" stopIfTrue="1">
      <formula>AND(ROW()=CELL("ROW"),COLUMN()=CELL("COL"))</formula>
    </cfRule>
  </conditionalFormatting>
  <conditionalFormatting sqref="W29">
    <cfRule type="expression" dxfId="200" priority="176" stopIfTrue="1">
      <formula>AND(ROW()=CELL("ROW"),COLUMN()=CELL("COL"))</formula>
    </cfRule>
  </conditionalFormatting>
  <conditionalFormatting sqref="W31">
    <cfRule type="expression" dxfId="199" priority="175" stopIfTrue="1">
      <formula>AND(ROW()=CELL("ROW"),COLUMN()=CELL("COL"))</formula>
    </cfRule>
  </conditionalFormatting>
  <conditionalFormatting sqref="W26">
    <cfRule type="cellIs" dxfId="198" priority="174" operator="equal">
      <formula>"VÁLIDA"</formula>
    </cfRule>
  </conditionalFormatting>
  <conditionalFormatting sqref="W26">
    <cfRule type="cellIs" dxfId="197" priority="173" operator="equal">
      <formula>"NO VÁLIDA"</formula>
    </cfRule>
  </conditionalFormatting>
  <conditionalFormatting sqref="W28">
    <cfRule type="cellIs" dxfId="196" priority="172" operator="equal">
      <formula>"VÁLIDA"</formula>
    </cfRule>
  </conditionalFormatting>
  <conditionalFormatting sqref="W28">
    <cfRule type="cellIs" dxfId="195" priority="171" operator="equal">
      <formula>"NO VÁLIDA"</formula>
    </cfRule>
  </conditionalFormatting>
  <conditionalFormatting sqref="W30">
    <cfRule type="cellIs" dxfId="194" priority="170" operator="equal">
      <formula>"VÁLIDA"</formula>
    </cfRule>
  </conditionalFormatting>
  <conditionalFormatting sqref="W30">
    <cfRule type="cellIs" dxfId="193" priority="169" operator="equal">
      <formula>"NO VÁLIDA"</formula>
    </cfRule>
  </conditionalFormatting>
  <conditionalFormatting sqref="W25">
    <cfRule type="expression" dxfId="192" priority="168" stopIfTrue="1">
      <formula>AND(ROW()=CELL("ROW"),COLUMN()=CELL("COL"))</formula>
    </cfRule>
  </conditionalFormatting>
  <conditionalFormatting sqref="W27">
    <cfRule type="expression" dxfId="191" priority="167" stopIfTrue="1">
      <formula>AND(ROW()=CELL("ROW"),COLUMN()=CELL("COL"))</formula>
    </cfRule>
  </conditionalFormatting>
  <conditionalFormatting sqref="W29">
    <cfRule type="expression" dxfId="190" priority="166" stopIfTrue="1">
      <formula>AND(ROW()=CELL("ROW"),COLUMN()=CELL("COL"))</formula>
    </cfRule>
  </conditionalFormatting>
  <conditionalFormatting sqref="W31">
    <cfRule type="expression" dxfId="189" priority="165" stopIfTrue="1">
      <formula>AND(ROW()=CELL("ROW"),COLUMN()=CELL("COL"))</formula>
    </cfRule>
  </conditionalFormatting>
  <conditionalFormatting sqref="X25">
    <cfRule type="expression" dxfId="188" priority="164" stopIfTrue="1">
      <formula>AND(ROW()=CELL("ROW"),COLUMN()=CELL("COL"))</formula>
    </cfRule>
  </conditionalFormatting>
  <conditionalFormatting sqref="X27">
    <cfRule type="expression" dxfId="187" priority="163" stopIfTrue="1">
      <formula>AND(ROW()=CELL("ROW"),COLUMN()=CELL("COL"))</formula>
    </cfRule>
  </conditionalFormatting>
  <conditionalFormatting sqref="X29">
    <cfRule type="expression" dxfId="186" priority="162" stopIfTrue="1">
      <formula>AND(ROW()=CELL("ROW"),COLUMN()=CELL("COL"))</formula>
    </cfRule>
  </conditionalFormatting>
  <conditionalFormatting sqref="X31">
    <cfRule type="expression" dxfId="185" priority="161" stopIfTrue="1">
      <formula>AND(ROW()=CELL("ROW"),COLUMN()=CELL("COL"))</formula>
    </cfRule>
  </conditionalFormatting>
  <conditionalFormatting sqref="Z25 Z27 Z29 Z31">
    <cfRule type="cellIs" dxfId="184" priority="160" operator="equal">
      <formula>"VÁLIDA"</formula>
    </cfRule>
  </conditionalFormatting>
  <conditionalFormatting sqref="Z25 Z27 Z29 Z31">
    <cfRule type="cellIs" dxfId="183" priority="159" operator="equal">
      <formula>"NO VÁLIDA"</formula>
    </cfRule>
  </conditionalFormatting>
  <conditionalFormatting sqref="Z25">
    <cfRule type="expression" dxfId="182" priority="158" stopIfTrue="1">
      <formula>AND(ROW()=CELL("ROW"),COLUMN()=CELL("COL"))</formula>
    </cfRule>
  </conditionalFormatting>
  <conditionalFormatting sqref="Z27">
    <cfRule type="expression" dxfId="181" priority="157" stopIfTrue="1">
      <formula>AND(ROW()=CELL("ROW"),COLUMN()=CELL("COL"))</formula>
    </cfRule>
  </conditionalFormatting>
  <conditionalFormatting sqref="Z29">
    <cfRule type="expression" dxfId="180" priority="156" stopIfTrue="1">
      <formula>AND(ROW()=CELL("ROW"),COLUMN()=CELL("COL"))</formula>
    </cfRule>
  </conditionalFormatting>
  <conditionalFormatting sqref="Z31">
    <cfRule type="expression" dxfId="179" priority="155" stopIfTrue="1">
      <formula>AND(ROW()=CELL("ROW"),COLUMN()=CELL("COL"))</formula>
    </cfRule>
  </conditionalFormatting>
  <conditionalFormatting sqref="Z26">
    <cfRule type="cellIs" dxfId="178" priority="154" operator="equal">
      <formula>"VÁLIDA"</formula>
    </cfRule>
  </conditionalFormatting>
  <conditionalFormatting sqref="Z26">
    <cfRule type="cellIs" dxfId="177" priority="153" operator="equal">
      <formula>"NO VÁLIDA"</formula>
    </cfRule>
  </conditionalFormatting>
  <conditionalFormatting sqref="Z28">
    <cfRule type="cellIs" dxfId="176" priority="152" operator="equal">
      <formula>"VÁLIDA"</formula>
    </cfRule>
  </conditionalFormatting>
  <conditionalFormatting sqref="Z28">
    <cfRule type="cellIs" dxfId="175" priority="151" operator="equal">
      <formula>"NO VÁLIDA"</formula>
    </cfRule>
  </conditionalFormatting>
  <conditionalFormatting sqref="Z30">
    <cfRule type="cellIs" dxfId="174" priority="150" operator="equal">
      <formula>"VÁLIDA"</formula>
    </cfRule>
  </conditionalFormatting>
  <conditionalFormatting sqref="Z30">
    <cfRule type="cellIs" dxfId="173" priority="149" operator="equal">
      <formula>"NO VÁLIDA"</formula>
    </cfRule>
  </conditionalFormatting>
  <conditionalFormatting sqref="Z25">
    <cfRule type="expression" dxfId="172" priority="148" stopIfTrue="1">
      <formula>AND(ROW()=CELL("ROW"),COLUMN()=CELL("COL"))</formula>
    </cfRule>
  </conditionalFormatting>
  <conditionalFormatting sqref="Z27">
    <cfRule type="expression" dxfId="171" priority="147" stopIfTrue="1">
      <formula>AND(ROW()=CELL("ROW"),COLUMN()=CELL("COL"))</formula>
    </cfRule>
  </conditionalFormatting>
  <conditionalFormatting sqref="Z29">
    <cfRule type="expression" dxfId="170" priority="146" stopIfTrue="1">
      <formula>AND(ROW()=CELL("ROW"),COLUMN()=CELL("COL"))</formula>
    </cfRule>
  </conditionalFormatting>
  <conditionalFormatting sqref="Z31">
    <cfRule type="expression" dxfId="169" priority="145" stopIfTrue="1">
      <formula>AND(ROW()=CELL("ROW"),COLUMN()=CELL("COL"))</formula>
    </cfRule>
  </conditionalFormatting>
  <conditionalFormatting sqref="X21:X22">
    <cfRule type="expression" dxfId="168" priority="144" stopIfTrue="1">
      <formula>AND(ROW()=CELL("ROW"),COLUMN()=CELL("COL"))</formula>
    </cfRule>
  </conditionalFormatting>
  <conditionalFormatting sqref="Z21:Z22">
    <cfRule type="cellIs" dxfId="167" priority="143" operator="equal">
      <formula>"VÁLIDA"</formula>
    </cfRule>
  </conditionalFormatting>
  <conditionalFormatting sqref="Z21:Z22">
    <cfRule type="cellIs" dxfId="166" priority="142" operator="equal">
      <formula>"NO VÁLIDA"</formula>
    </cfRule>
  </conditionalFormatting>
  <conditionalFormatting sqref="Z21:Z22">
    <cfRule type="expression" dxfId="165" priority="141" stopIfTrue="1">
      <formula>AND(ROW()=CELL("ROW"),COLUMN()=CELL("COL"))</formula>
    </cfRule>
  </conditionalFormatting>
  <conditionalFormatting sqref="AC23">
    <cfRule type="cellIs" dxfId="164" priority="140" operator="equal">
      <formula>"VÁLIDA"</formula>
    </cfRule>
  </conditionalFormatting>
  <conditionalFormatting sqref="AC23">
    <cfRule type="cellIs" dxfId="163" priority="139" operator="equal">
      <formula>"NO VÁLIDA"</formula>
    </cfRule>
  </conditionalFormatting>
  <conditionalFormatting sqref="AB25">
    <cfRule type="expression" dxfId="162" priority="138" stopIfTrue="1">
      <formula>AND(ROW()=CELL("ROW"),COLUMN()=CELL("COL"))</formula>
    </cfRule>
  </conditionalFormatting>
  <conditionalFormatting sqref="AB27">
    <cfRule type="expression" dxfId="161" priority="137" stopIfTrue="1">
      <formula>AND(ROW()=CELL("ROW"),COLUMN()=CELL("COL"))</formula>
    </cfRule>
  </conditionalFormatting>
  <conditionalFormatting sqref="AB29">
    <cfRule type="expression" dxfId="160" priority="136" stopIfTrue="1">
      <formula>AND(ROW()=CELL("ROW"),COLUMN()=CELL("COL"))</formula>
    </cfRule>
  </conditionalFormatting>
  <conditionalFormatting sqref="AB31">
    <cfRule type="expression" dxfId="159" priority="135" stopIfTrue="1">
      <formula>AND(ROW()=CELL("ROW"),COLUMN()=CELL("COL"))</formula>
    </cfRule>
  </conditionalFormatting>
  <conditionalFormatting sqref="AC24">
    <cfRule type="cellIs" dxfId="158" priority="134" operator="equal">
      <formula>"VÁLIDA"</formula>
    </cfRule>
  </conditionalFormatting>
  <conditionalFormatting sqref="AC24">
    <cfRule type="cellIs" dxfId="157" priority="133" operator="equal">
      <formula>"NO VÁLIDA"</formula>
    </cfRule>
  </conditionalFormatting>
  <conditionalFormatting sqref="AA25">
    <cfRule type="expression" dxfId="156" priority="132" stopIfTrue="1">
      <formula>AND(ROW()=CELL("ROW"),COLUMN()=CELL("COL"))</formula>
    </cfRule>
  </conditionalFormatting>
  <conditionalFormatting sqref="AA27">
    <cfRule type="expression" dxfId="155" priority="131" stopIfTrue="1">
      <formula>AND(ROW()=CELL("ROW"),COLUMN()=CELL("COL"))</formula>
    </cfRule>
  </conditionalFormatting>
  <conditionalFormatting sqref="AA29">
    <cfRule type="expression" dxfId="154" priority="130" stopIfTrue="1">
      <formula>AND(ROW()=CELL("ROW"),COLUMN()=CELL("COL"))</formula>
    </cfRule>
  </conditionalFormatting>
  <conditionalFormatting sqref="AA31">
    <cfRule type="expression" dxfId="153" priority="129" stopIfTrue="1">
      <formula>AND(ROW()=CELL("ROW"),COLUMN()=CELL("COL"))</formula>
    </cfRule>
  </conditionalFormatting>
  <conditionalFormatting sqref="AC25 AC27 AC29 AC31">
    <cfRule type="cellIs" dxfId="152" priority="128" operator="equal">
      <formula>"VÁLIDA"</formula>
    </cfRule>
  </conditionalFormatting>
  <conditionalFormatting sqref="AC25 AC27 AC29 AC31">
    <cfRule type="cellIs" dxfId="151" priority="127" operator="equal">
      <formula>"NO VÁLIDA"</formula>
    </cfRule>
  </conditionalFormatting>
  <conditionalFormatting sqref="AC25">
    <cfRule type="expression" dxfId="150" priority="126" stopIfTrue="1">
      <formula>AND(ROW()=CELL("ROW"),COLUMN()=CELL("COL"))</formula>
    </cfRule>
  </conditionalFormatting>
  <conditionalFormatting sqref="AC27">
    <cfRule type="expression" dxfId="149" priority="125" stopIfTrue="1">
      <formula>AND(ROW()=CELL("ROW"),COLUMN()=CELL("COL"))</formula>
    </cfRule>
  </conditionalFormatting>
  <conditionalFormatting sqref="AC29">
    <cfRule type="expression" dxfId="148" priority="124" stopIfTrue="1">
      <formula>AND(ROW()=CELL("ROW"),COLUMN()=CELL("COL"))</formula>
    </cfRule>
  </conditionalFormatting>
  <conditionalFormatting sqref="AC31">
    <cfRule type="expression" dxfId="147" priority="123" stopIfTrue="1">
      <formula>AND(ROW()=CELL("ROW"),COLUMN()=CELL("COL"))</formula>
    </cfRule>
  </conditionalFormatting>
  <conditionalFormatting sqref="AC26">
    <cfRule type="cellIs" dxfId="146" priority="122" operator="equal">
      <formula>"VÁLIDA"</formula>
    </cfRule>
  </conditionalFormatting>
  <conditionalFormatting sqref="AC26">
    <cfRule type="cellIs" dxfId="145" priority="121" operator="equal">
      <formula>"NO VÁLIDA"</formula>
    </cfRule>
  </conditionalFormatting>
  <conditionalFormatting sqref="AC28">
    <cfRule type="cellIs" dxfId="144" priority="120" operator="equal">
      <formula>"VÁLIDA"</formula>
    </cfRule>
  </conditionalFormatting>
  <conditionalFormatting sqref="AC28">
    <cfRule type="cellIs" dxfId="143" priority="119" operator="equal">
      <formula>"NO VÁLIDA"</formula>
    </cfRule>
  </conditionalFormatting>
  <conditionalFormatting sqref="AC30">
    <cfRule type="cellIs" dxfId="142" priority="118" operator="equal">
      <formula>"VÁLIDA"</formula>
    </cfRule>
  </conditionalFormatting>
  <conditionalFormatting sqref="AC30">
    <cfRule type="cellIs" dxfId="141" priority="117" operator="equal">
      <formula>"NO VÁLIDA"</formula>
    </cfRule>
  </conditionalFormatting>
  <conditionalFormatting sqref="AC25">
    <cfRule type="expression" dxfId="140" priority="116" stopIfTrue="1">
      <formula>AND(ROW()=CELL("ROW"),COLUMN()=CELL("COL"))</formula>
    </cfRule>
  </conditionalFormatting>
  <conditionalFormatting sqref="AC27">
    <cfRule type="expression" dxfId="139" priority="115" stopIfTrue="1">
      <formula>AND(ROW()=CELL("ROW"),COLUMN()=CELL("COL"))</formula>
    </cfRule>
  </conditionalFormatting>
  <conditionalFormatting sqref="AC29">
    <cfRule type="expression" dxfId="138" priority="114" stopIfTrue="1">
      <formula>AND(ROW()=CELL("ROW"),COLUMN()=CELL("COL"))</formula>
    </cfRule>
  </conditionalFormatting>
  <conditionalFormatting sqref="AC31">
    <cfRule type="expression" dxfId="137" priority="113" stopIfTrue="1">
      <formula>AND(ROW()=CELL("ROW"),COLUMN()=CELL("COL"))</formula>
    </cfRule>
  </conditionalFormatting>
  <conditionalFormatting sqref="AC21:AC22">
    <cfRule type="cellIs" dxfId="136" priority="111" operator="equal">
      <formula>"VÁLIDA"</formula>
    </cfRule>
  </conditionalFormatting>
  <conditionalFormatting sqref="AC21:AC22">
    <cfRule type="cellIs" dxfId="135" priority="110" operator="equal">
      <formula>"NO VÁLIDA"</formula>
    </cfRule>
  </conditionalFormatting>
  <conditionalFormatting sqref="AC21:AC22">
    <cfRule type="expression" dxfId="134" priority="109" stopIfTrue="1">
      <formula>AND(ROW()=CELL("ROW"),COLUMN()=CELL("COL"))</formula>
    </cfRule>
  </conditionalFormatting>
  <conditionalFormatting sqref="AF23">
    <cfRule type="cellIs" dxfId="133" priority="108" operator="equal">
      <formula>"VÁLIDA"</formula>
    </cfRule>
  </conditionalFormatting>
  <conditionalFormatting sqref="AF23">
    <cfRule type="cellIs" dxfId="132" priority="107" operator="equal">
      <formula>"NO VÁLIDA"</formula>
    </cfRule>
  </conditionalFormatting>
  <conditionalFormatting sqref="AE25">
    <cfRule type="expression" dxfId="131" priority="106" stopIfTrue="1">
      <formula>AND(ROW()=CELL("ROW"),COLUMN()=CELL("COL"))</formula>
    </cfRule>
  </conditionalFormatting>
  <conditionalFormatting sqref="AE27">
    <cfRule type="expression" dxfId="130" priority="105" stopIfTrue="1">
      <formula>AND(ROW()=CELL("ROW"),COLUMN()=CELL("COL"))</formula>
    </cfRule>
  </conditionalFormatting>
  <conditionalFormatting sqref="AE29">
    <cfRule type="expression" dxfId="129" priority="104" stopIfTrue="1">
      <formula>AND(ROW()=CELL("ROW"),COLUMN()=CELL("COL"))</formula>
    </cfRule>
  </conditionalFormatting>
  <conditionalFormatting sqref="AE31">
    <cfRule type="expression" dxfId="128" priority="103" stopIfTrue="1">
      <formula>AND(ROW()=CELL("ROW"),COLUMN()=CELL("COL"))</formula>
    </cfRule>
  </conditionalFormatting>
  <conditionalFormatting sqref="AF24">
    <cfRule type="cellIs" dxfId="127" priority="102" operator="equal">
      <formula>"VÁLIDA"</formula>
    </cfRule>
  </conditionalFormatting>
  <conditionalFormatting sqref="AF24">
    <cfRule type="cellIs" dxfId="126" priority="101" operator="equal">
      <formula>"NO VÁLIDA"</formula>
    </cfRule>
  </conditionalFormatting>
  <conditionalFormatting sqref="AD25">
    <cfRule type="expression" dxfId="125" priority="100" stopIfTrue="1">
      <formula>AND(ROW()=CELL("ROW"),COLUMN()=CELL("COL"))</formula>
    </cfRule>
  </conditionalFormatting>
  <conditionalFormatting sqref="AD27">
    <cfRule type="expression" dxfId="124" priority="99" stopIfTrue="1">
      <formula>AND(ROW()=CELL("ROW"),COLUMN()=CELL("COL"))</formula>
    </cfRule>
  </conditionalFormatting>
  <conditionalFormatting sqref="AD29">
    <cfRule type="expression" dxfId="123" priority="98" stopIfTrue="1">
      <formula>AND(ROW()=CELL("ROW"),COLUMN()=CELL("COL"))</formula>
    </cfRule>
  </conditionalFormatting>
  <conditionalFormatting sqref="AD31">
    <cfRule type="expression" dxfId="122" priority="97" stopIfTrue="1">
      <formula>AND(ROW()=CELL("ROW"),COLUMN()=CELL("COL"))</formula>
    </cfRule>
  </conditionalFormatting>
  <conditionalFormatting sqref="AF25 AF27 AF29 AF31">
    <cfRule type="cellIs" dxfId="121" priority="96" operator="equal">
      <formula>"VÁLIDA"</formula>
    </cfRule>
  </conditionalFormatting>
  <conditionalFormatting sqref="AF25 AF27 AF29 AF31">
    <cfRule type="cellIs" dxfId="120" priority="95" operator="equal">
      <formula>"NO VÁLIDA"</formula>
    </cfRule>
  </conditionalFormatting>
  <conditionalFormatting sqref="AF25">
    <cfRule type="expression" dxfId="119" priority="94" stopIfTrue="1">
      <formula>AND(ROW()=CELL("ROW"),COLUMN()=CELL("COL"))</formula>
    </cfRule>
  </conditionalFormatting>
  <conditionalFormatting sqref="AF27">
    <cfRule type="expression" dxfId="118" priority="93" stopIfTrue="1">
      <formula>AND(ROW()=CELL("ROW"),COLUMN()=CELL("COL"))</formula>
    </cfRule>
  </conditionalFormatting>
  <conditionalFormatting sqref="AF29">
    <cfRule type="expression" dxfId="117" priority="92" stopIfTrue="1">
      <formula>AND(ROW()=CELL("ROW"),COLUMN()=CELL("COL"))</formula>
    </cfRule>
  </conditionalFormatting>
  <conditionalFormatting sqref="AF31">
    <cfRule type="expression" dxfId="116" priority="91" stopIfTrue="1">
      <formula>AND(ROW()=CELL("ROW"),COLUMN()=CELL("COL"))</formula>
    </cfRule>
  </conditionalFormatting>
  <conditionalFormatting sqref="AF26">
    <cfRule type="cellIs" dxfId="115" priority="90" operator="equal">
      <formula>"VÁLIDA"</formula>
    </cfRule>
  </conditionalFormatting>
  <conditionalFormatting sqref="AF26">
    <cfRule type="cellIs" dxfId="114" priority="89" operator="equal">
      <formula>"NO VÁLIDA"</formula>
    </cfRule>
  </conditionalFormatting>
  <conditionalFormatting sqref="AF28">
    <cfRule type="cellIs" dxfId="113" priority="88" operator="equal">
      <formula>"VÁLIDA"</formula>
    </cfRule>
  </conditionalFormatting>
  <conditionalFormatting sqref="AF28">
    <cfRule type="cellIs" dxfId="112" priority="87" operator="equal">
      <formula>"NO VÁLIDA"</formula>
    </cfRule>
  </conditionalFormatting>
  <conditionalFormatting sqref="AF30">
    <cfRule type="cellIs" dxfId="111" priority="86" operator="equal">
      <formula>"VÁLIDA"</formula>
    </cfRule>
  </conditionalFormatting>
  <conditionalFormatting sqref="AF30">
    <cfRule type="cellIs" dxfId="110" priority="85" operator="equal">
      <formula>"NO VÁLIDA"</formula>
    </cfRule>
  </conditionalFormatting>
  <conditionalFormatting sqref="AF25">
    <cfRule type="expression" dxfId="109" priority="84" stopIfTrue="1">
      <formula>AND(ROW()=CELL("ROW"),COLUMN()=CELL("COL"))</formula>
    </cfRule>
  </conditionalFormatting>
  <conditionalFormatting sqref="AF27">
    <cfRule type="expression" dxfId="108" priority="83" stopIfTrue="1">
      <formula>AND(ROW()=CELL("ROW"),COLUMN()=CELL("COL"))</formula>
    </cfRule>
  </conditionalFormatting>
  <conditionalFormatting sqref="AF29">
    <cfRule type="expression" dxfId="107" priority="82" stopIfTrue="1">
      <formula>AND(ROW()=CELL("ROW"),COLUMN()=CELL("COL"))</formula>
    </cfRule>
  </conditionalFormatting>
  <conditionalFormatting sqref="AF31">
    <cfRule type="expression" dxfId="106" priority="81" stopIfTrue="1">
      <formula>AND(ROW()=CELL("ROW"),COLUMN()=CELL("COL"))</formula>
    </cfRule>
  </conditionalFormatting>
  <conditionalFormatting sqref="AF21:AF22">
    <cfRule type="cellIs" dxfId="105" priority="79" operator="equal">
      <formula>"VÁLIDA"</formula>
    </cfRule>
  </conditionalFormatting>
  <conditionalFormatting sqref="AF21:AF22">
    <cfRule type="cellIs" dxfId="104" priority="78" operator="equal">
      <formula>"NO VÁLIDA"</formula>
    </cfRule>
  </conditionalFormatting>
  <conditionalFormatting sqref="AF21:AF22">
    <cfRule type="expression" dxfId="103" priority="77" stopIfTrue="1">
      <formula>AND(ROW()=CELL("ROW"),COLUMN()=CELL("COL"))</formula>
    </cfRule>
  </conditionalFormatting>
  <conditionalFormatting sqref="U90:U91">
    <cfRule type="expression" dxfId="102" priority="76" stopIfTrue="1">
      <formula>AND(ROW()=CELL("ROW"),COLUMN()=CELL("COL"))</formula>
    </cfRule>
  </conditionalFormatting>
  <conditionalFormatting sqref="U93">
    <cfRule type="expression" dxfId="101" priority="75" stopIfTrue="1">
      <formula>AND(ROW()=CELL("ROW"),COLUMN()=CELL("COL"))</formula>
    </cfRule>
  </conditionalFormatting>
  <conditionalFormatting sqref="U95">
    <cfRule type="expression" dxfId="100" priority="74" stopIfTrue="1">
      <formula>AND(ROW()=CELL("ROW"),COLUMN()=CELL("COL"))</formula>
    </cfRule>
  </conditionalFormatting>
  <conditionalFormatting sqref="U97">
    <cfRule type="expression" dxfId="99" priority="73" stopIfTrue="1">
      <formula>AND(ROW()=CELL("ROW"),COLUMN()=CELL("COL"))</formula>
    </cfRule>
  </conditionalFormatting>
  <conditionalFormatting sqref="X90:X91">
    <cfRule type="expression" dxfId="98" priority="72" stopIfTrue="1">
      <formula>AND(ROW()=CELL("ROW"),COLUMN()=CELL("COL"))</formula>
    </cfRule>
  </conditionalFormatting>
  <conditionalFormatting sqref="X93">
    <cfRule type="expression" dxfId="97" priority="71" stopIfTrue="1">
      <formula>AND(ROW()=CELL("ROW"),COLUMN()=CELL("COL"))</formula>
    </cfRule>
  </conditionalFormatting>
  <conditionalFormatting sqref="X95">
    <cfRule type="expression" dxfId="96" priority="70" stopIfTrue="1">
      <formula>AND(ROW()=CELL("ROW"),COLUMN()=CELL("COL"))</formula>
    </cfRule>
  </conditionalFormatting>
  <conditionalFormatting sqref="X97">
    <cfRule type="expression" dxfId="95" priority="69" stopIfTrue="1">
      <formula>AND(ROW()=CELL("ROW"),COLUMN()=CELL("COL"))</formula>
    </cfRule>
  </conditionalFormatting>
  <conditionalFormatting sqref="AA90:AA91">
    <cfRule type="expression" dxfId="94" priority="68" stopIfTrue="1">
      <formula>AND(ROW()=CELL("ROW"),COLUMN()=CELL("COL"))</formula>
    </cfRule>
  </conditionalFormatting>
  <conditionalFormatting sqref="AA93">
    <cfRule type="expression" dxfId="93" priority="67" stopIfTrue="1">
      <formula>AND(ROW()=CELL("ROW"),COLUMN()=CELL("COL"))</formula>
    </cfRule>
  </conditionalFormatting>
  <conditionalFormatting sqref="AA95">
    <cfRule type="expression" dxfId="92" priority="66" stopIfTrue="1">
      <formula>AND(ROW()=CELL("ROW"),COLUMN()=CELL("COL"))</formula>
    </cfRule>
  </conditionalFormatting>
  <conditionalFormatting sqref="AA97">
    <cfRule type="expression" dxfId="91" priority="65" stopIfTrue="1">
      <formula>AND(ROW()=CELL("ROW"),COLUMN()=CELL("COL"))</formula>
    </cfRule>
  </conditionalFormatting>
  <conditionalFormatting sqref="AD90:AD91">
    <cfRule type="expression" dxfId="90" priority="64" stopIfTrue="1">
      <formula>AND(ROW()=CELL("ROW"),COLUMN()=CELL("COL"))</formula>
    </cfRule>
  </conditionalFormatting>
  <conditionalFormatting sqref="AD93">
    <cfRule type="expression" dxfId="89" priority="63" stopIfTrue="1">
      <formula>AND(ROW()=CELL("ROW"),COLUMN()=CELL("COL"))</formula>
    </cfRule>
  </conditionalFormatting>
  <conditionalFormatting sqref="AD95">
    <cfRule type="expression" dxfId="88" priority="62" stopIfTrue="1">
      <formula>AND(ROW()=CELL("ROW"),COLUMN()=CELL("COL"))</formula>
    </cfRule>
  </conditionalFormatting>
  <conditionalFormatting sqref="AD97">
    <cfRule type="expression" dxfId="87" priority="61" stopIfTrue="1">
      <formula>AND(ROW()=CELL("ROW"),COLUMN()=CELL("COL"))</formula>
    </cfRule>
  </conditionalFormatting>
  <conditionalFormatting sqref="AA21:AA22">
    <cfRule type="expression" dxfId="86" priority="60" stopIfTrue="1">
      <formula>AND(ROW()=CELL("ROW"),COLUMN()=CELL("COL"))</formula>
    </cfRule>
  </conditionalFormatting>
  <conditionalFormatting sqref="AD16:AE16">
    <cfRule type="expression" dxfId="85" priority="59" stopIfTrue="1">
      <formula>AND(ROW()=CELL("ROW"),COLUMN()=CELL("COL"))</formula>
    </cfRule>
  </conditionalFormatting>
  <conditionalFormatting sqref="AD21:AD22">
    <cfRule type="expression" dxfId="84" priority="58" stopIfTrue="1">
      <formula>AND(ROW()=CELL("ROW"),COLUMN()=CELL("COL"))</formula>
    </cfRule>
  </conditionalFormatting>
  <conditionalFormatting sqref="M27">
    <cfRule type="expression" dxfId="83" priority="57" stopIfTrue="1">
      <formula>AND(ROW()=CELL("ROW"),COLUMN()=CELL("COL"))</formula>
    </cfRule>
  </conditionalFormatting>
  <conditionalFormatting sqref="P27">
    <cfRule type="expression" dxfId="82" priority="56" stopIfTrue="1">
      <formula>AND(ROW()=CELL("ROW"),COLUMN()=CELL("COL"))</formula>
    </cfRule>
  </conditionalFormatting>
  <conditionalFormatting sqref="AA103">
    <cfRule type="expression" dxfId="81" priority="55" stopIfTrue="1">
      <formula>AND(ROW()=CELL("ROW"),COLUMN()=CELL("COL"))</formula>
    </cfRule>
  </conditionalFormatting>
  <conditionalFormatting sqref="AF103">
    <cfRule type="cellIs" dxfId="80" priority="54" operator="equal">
      <formula>"VÁLIDA"</formula>
    </cfRule>
  </conditionalFormatting>
  <conditionalFormatting sqref="AE103:AF103">
    <cfRule type="expression" dxfId="79" priority="53" stopIfTrue="1">
      <formula>AND(ROW()=CELL("ROW"),COLUMN()=CELL("COL"))</formula>
    </cfRule>
  </conditionalFormatting>
  <conditionalFormatting sqref="AF103">
    <cfRule type="cellIs" dxfId="78" priority="52" operator="equal">
      <formula>"NO VÁLIDA"</formula>
    </cfRule>
  </conditionalFormatting>
  <conditionalFormatting sqref="AD103">
    <cfRule type="expression" dxfId="77" priority="51" stopIfTrue="1">
      <formula>AND(ROW()=CELL("ROW"),COLUMN()=CELL("COL"))</formula>
    </cfRule>
  </conditionalFormatting>
  <conditionalFormatting sqref="Z103">
    <cfRule type="cellIs" dxfId="76" priority="50" operator="equal">
      <formula>"VÁLIDA"</formula>
    </cfRule>
  </conditionalFormatting>
  <conditionalFormatting sqref="Y103:Z103">
    <cfRule type="expression" dxfId="75" priority="49" stopIfTrue="1">
      <formula>AND(ROW()=CELL("ROW"),COLUMN()=CELL("COL"))</formula>
    </cfRule>
  </conditionalFormatting>
  <conditionalFormatting sqref="Z103">
    <cfRule type="cellIs" dxfId="74" priority="48" operator="equal">
      <formula>"NO VÁLIDA"</formula>
    </cfRule>
  </conditionalFormatting>
  <conditionalFormatting sqref="X103">
    <cfRule type="expression" dxfId="73" priority="47" stopIfTrue="1">
      <formula>AND(ROW()=CELL("ROW"),COLUMN()=CELL("COL"))</formula>
    </cfRule>
  </conditionalFormatting>
  <conditionalFormatting sqref="W103">
    <cfRule type="cellIs" dxfId="72" priority="46" operator="equal">
      <formula>"VÁLIDA"</formula>
    </cfRule>
  </conditionalFormatting>
  <conditionalFormatting sqref="V103:W103">
    <cfRule type="expression" dxfId="71" priority="45" stopIfTrue="1">
      <formula>AND(ROW()=CELL("ROW"),COLUMN()=CELL("COL"))</formula>
    </cfRule>
  </conditionalFormatting>
  <conditionalFormatting sqref="W103">
    <cfRule type="cellIs" dxfId="70" priority="44" operator="equal">
      <formula>"NO VÁLIDA"</formula>
    </cfRule>
  </conditionalFormatting>
  <conditionalFormatting sqref="U103">
    <cfRule type="expression" dxfId="69" priority="43" stopIfTrue="1">
      <formula>AND(ROW()=CELL("ROW"),COLUMN()=CELL("COL"))</formula>
    </cfRule>
  </conditionalFormatting>
  <conditionalFormatting sqref="T103">
    <cfRule type="cellIs" dxfId="68" priority="42" operator="equal">
      <formula>"VÁLIDA"</formula>
    </cfRule>
  </conditionalFormatting>
  <conditionalFormatting sqref="S103:T103">
    <cfRule type="expression" dxfId="67" priority="41" stopIfTrue="1">
      <formula>AND(ROW()=CELL("ROW"),COLUMN()=CELL("COL"))</formula>
    </cfRule>
  </conditionalFormatting>
  <conditionalFormatting sqref="T103">
    <cfRule type="cellIs" dxfId="66" priority="40" operator="equal">
      <formula>"NO VÁLIDA"</formula>
    </cfRule>
  </conditionalFormatting>
  <conditionalFormatting sqref="R103">
    <cfRule type="expression" dxfId="65" priority="39" stopIfTrue="1">
      <formula>AND(ROW()=CELL("ROW"),COLUMN()=CELL("COL"))</formula>
    </cfRule>
  </conditionalFormatting>
  <conditionalFormatting sqref="Q103">
    <cfRule type="cellIs" dxfId="64" priority="38" operator="equal">
      <formula>"VÁLIDA"</formula>
    </cfRule>
  </conditionalFormatting>
  <conditionalFormatting sqref="P103:Q103">
    <cfRule type="expression" dxfId="63" priority="37" stopIfTrue="1">
      <formula>AND(ROW()=CELL("ROW"),COLUMN()=CELL("COL"))</formula>
    </cfRule>
  </conditionalFormatting>
  <conditionalFormatting sqref="Q103">
    <cfRule type="cellIs" dxfId="62" priority="36" operator="equal">
      <formula>"NO VÁLIDA"</formula>
    </cfRule>
  </conditionalFormatting>
  <conditionalFormatting sqref="O103">
    <cfRule type="expression" dxfId="61" priority="35" stopIfTrue="1">
      <formula>AND(ROW()=CELL("ROW"),COLUMN()=CELL("COL"))</formula>
    </cfRule>
  </conditionalFormatting>
  <conditionalFormatting sqref="N103">
    <cfRule type="cellIs" dxfId="60" priority="34" operator="equal">
      <formula>"VÁLIDA"</formula>
    </cfRule>
  </conditionalFormatting>
  <conditionalFormatting sqref="M103:N103">
    <cfRule type="expression" dxfId="59" priority="33" stopIfTrue="1">
      <formula>AND(ROW()=CELL("ROW"),COLUMN()=CELL("COL"))</formula>
    </cfRule>
  </conditionalFormatting>
  <conditionalFormatting sqref="N103">
    <cfRule type="cellIs" dxfId="58" priority="32" operator="equal">
      <formula>"NO VÁLIDA"</formula>
    </cfRule>
  </conditionalFormatting>
  <conditionalFormatting sqref="L103">
    <cfRule type="expression" dxfId="57" priority="31" stopIfTrue="1">
      <formula>AND(ROW()=CELL("ROW"),COLUMN()=CELL("COL"))</formula>
    </cfRule>
  </conditionalFormatting>
  <conditionalFormatting sqref="K103">
    <cfRule type="expression" dxfId="56" priority="30" stopIfTrue="1">
      <formula>AND(ROW()=CELL("ROW"),COLUMN()=CELL("COL"))</formula>
    </cfRule>
  </conditionalFormatting>
  <conditionalFormatting sqref="K103">
    <cfRule type="cellIs" dxfId="55" priority="29" operator="equal">
      <formula>"VÁLIDA"</formula>
    </cfRule>
  </conditionalFormatting>
  <conditionalFormatting sqref="J103:K103">
    <cfRule type="expression" dxfId="54" priority="28" stopIfTrue="1">
      <formula>AND(ROW()=CELL("ROW"),COLUMN()=CELL("COL"))</formula>
    </cfRule>
  </conditionalFormatting>
  <conditionalFormatting sqref="K103">
    <cfRule type="cellIs" dxfId="53" priority="27" operator="equal">
      <formula>"NO VÁLIDA"</formula>
    </cfRule>
  </conditionalFormatting>
  <conditionalFormatting sqref="I103">
    <cfRule type="expression" dxfId="52" priority="26" stopIfTrue="1">
      <formula>AND(ROW()=CELL("ROW"),COLUMN()=CELL("COL"))</formula>
    </cfRule>
  </conditionalFormatting>
  <conditionalFormatting sqref="T104">
    <cfRule type="cellIs" dxfId="51" priority="25" operator="equal">
      <formula>"VÁLIDA"</formula>
    </cfRule>
  </conditionalFormatting>
  <conditionalFormatting sqref="T104">
    <cfRule type="expression" dxfId="50" priority="24" stopIfTrue="1">
      <formula>AND(ROW()=CELL("ROW"),COLUMN()=CELL("COL"))</formula>
    </cfRule>
  </conditionalFormatting>
  <conditionalFormatting sqref="T104">
    <cfRule type="cellIs" dxfId="49" priority="23" operator="equal">
      <formula>"NO VÁLIDA"</formula>
    </cfRule>
  </conditionalFormatting>
  <conditionalFormatting sqref="Q104">
    <cfRule type="cellIs" dxfId="48" priority="22" operator="equal">
      <formula>"VÁLIDA"</formula>
    </cfRule>
  </conditionalFormatting>
  <conditionalFormatting sqref="Q104">
    <cfRule type="expression" dxfId="47" priority="21" stopIfTrue="1">
      <formula>AND(ROW()=CELL("ROW"),COLUMN()=CELL("COL"))</formula>
    </cfRule>
  </conditionalFormatting>
  <conditionalFormatting sqref="Q104">
    <cfRule type="cellIs" dxfId="46" priority="20" operator="equal">
      <formula>"NO VÁLIDA"</formula>
    </cfRule>
  </conditionalFormatting>
  <conditionalFormatting sqref="Q104">
    <cfRule type="cellIs" dxfId="45" priority="19" operator="equal">
      <formula>"VÁLIDA"</formula>
    </cfRule>
  </conditionalFormatting>
  <conditionalFormatting sqref="Q104">
    <cfRule type="expression" dxfId="44" priority="18" stopIfTrue="1">
      <formula>AND(ROW()=CELL("ROW"),COLUMN()=CELL("COL"))</formula>
    </cfRule>
  </conditionalFormatting>
  <conditionalFormatting sqref="Q104">
    <cfRule type="cellIs" dxfId="43" priority="17" operator="equal">
      <formula>"NO VÁLIDA"</formula>
    </cfRule>
  </conditionalFormatting>
  <conditionalFormatting sqref="N104">
    <cfRule type="cellIs" dxfId="42" priority="16" operator="equal">
      <formula>"VÁLIDA"</formula>
    </cfRule>
  </conditionalFormatting>
  <conditionalFormatting sqref="N104">
    <cfRule type="expression" dxfId="41" priority="15" stopIfTrue="1">
      <formula>AND(ROW()=CELL("ROW"),COLUMN()=CELL("COL"))</formula>
    </cfRule>
  </conditionalFormatting>
  <conditionalFormatting sqref="N104">
    <cfRule type="cellIs" dxfId="40" priority="14" operator="equal">
      <formula>"NO VÁLIDA"</formula>
    </cfRule>
  </conditionalFormatting>
  <conditionalFormatting sqref="N104">
    <cfRule type="cellIs" dxfId="39" priority="13" operator="equal">
      <formula>"VÁLIDA"</formula>
    </cfRule>
  </conditionalFormatting>
  <conditionalFormatting sqref="N104">
    <cfRule type="expression" dxfId="38" priority="12" stopIfTrue="1">
      <formula>AND(ROW()=CELL("ROW"),COLUMN()=CELL("COL"))</formula>
    </cfRule>
  </conditionalFormatting>
  <conditionalFormatting sqref="N104">
    <cfRule type="cellIs" dxfId="37" priority="11" operator="equal">
      <formula>"NO VÁLIDA"</formula>
    </cfRule>
  </conditionalFormatting>
  <conditionalFormatting sqref="K104">
    <cfRule type="expression" dxfId="36" priority="10" stopIfTrue="1">
      <formula>AND(ROW()=CELL("ROW"),COLUMN()=CELL("COL"))</formula>
    </cfRule>
  </conditionalFormatting>
  <conditionalFormatting sqref="K104">
    <cfRule type="cellIs" dxfId="35" priority="9" operator="equal">
      <formula>"VÁLIDA"</formula>
    </cfRule>
  </conditionalFormatting>
  <conditionalFormatting sqref="K104">
    <cfRule type="expression" dxfId="34" priority="8" stopIfTrue="1">
      <formula>AND(ROW()=CELL("ROW"),COLUMN()=CELL("COL"))</formula>
    </cfRule>
  </conditionalFormatting>
  <conditionalFormatting sqref="K104">
    <cfRule type="cellIs" dxfId="33" priority="7" operator="equal">
      <formula>"NO VÁLIDA"</formula>
    </cfRule>
  </conditionalFormatting>
  <conditionalFormatting sqref="K104">
    <cfRule type="cellIs" dxfId="32" priority="6" operator="equal">
      <formula>"VÁLIDA"</formula>
    </cfRule>
  </conditionalFormatting>
  <conditionalFormatting sqref="K104">
    <cfRule type="expression" dxfId="31" priority="5" stopIfTrue="1">
      <formula>AND(ROW()=CELL("ROW"),COLUMN()=CELL("COL"))</formula>
    </cfRule>
  </conditionalFormatting>
  <conditionalFormatting sqref="K104">
    <cfRule type="cellIs" dxfId="30" priority="4" operator="equal">
      <formula>"NO VÁLIDA"</formula>
    </cfRule>
  </conditionalFormatting>
  <conditionalFormatting sqref="AB104">
    <cfRule type="expression" dxfId="29" priority="3" stopIfTrue="1">
      <formula>AND(ROW()=CELL("ROW"),COLUMN()=CELL("COL"))</formula>
    </cfRule>
  </conditionalFormatting>
  <conditionalFormatting sqref="AE104">
    <cfRule type="expression" dxfId="28" priority="2" stopIfTrue="1">
      <formula>AND(ROW()=CELL("ROW"),COLUMN()=CELL("COL"))</formula>
    </cfRule>
  </conditionalFormatting>
  <conditionalFormatting sqref="J176">
    <cfRule type="expression" dxfId="27" priority="1" stopIfTrue="1">
      <formula>AND(ROW()=CELL("ROW"),COLUMN()=CELL("COL"))</formula>
    </cfRule>
  </conditionalFormatting>
  <dataValidations count="2">
    <dataValidation type="decimal" allowBlank="1" showInputMessage="1" showErrorMessage="1" errorTitle="ESTA CELDA ESTA FORMULADA" error="PARA DESBLOQUEAR, SOMBREAR LAS CELDAS, LUEGO CLICK EN DATOS, DESPUES VALIDACION DE DATOS, LUEGO VLIDACION DE DATOS, DESPUES BORRAR TODOS Y CLICK EN ACEPTAR." sqref="J74:J76 J15:K16 AE89:AE99 J106:K106 M89:M99 M74:M76 P89:P99 N107:N108 M15:N16 K17:K34 P74:P76 S89:S99 Q107:Q108 P15:Q16 K107:K108 S74:S76 V89:V99 T107:T108 S15:T16 N37:N71 V74:V76 N89:N105 W107:W108 V15:W16 Y74:Y76 W89:W105 Z107:Z108 Y15:Z16 AB74:AB76 W17:W34 AC107:AC108 AE74:AE76 AB15:AC16 Z17:Z34 K74:K87 AF107:AF108 P64:P71 M64:M71 J64:J71 AB64:AB71 Y64:Y71 V64:V71 S64:S71 AE106:AF106 AB106:AC106 Y106:Z106 V106:W106 S106:T106 P106:Q106 M106:N106 AF74:AF87 AE84:AE87 AC74:AC87 AB84:AB87 Z74:Z87 Y84:Y87 W74:W87 V84:V87 T74:T87 S84:S87 Q37:Q71 P84:P87 N17:N34 M84:M87 AC17:AC34 J84:J87 J89:J99 K37:K71 N74:N87 Q17:Q34 T37:T71 W37:W71 Z37:Z71 AC37:AC71 AF37:AF71 J38:J48 M38:M48 P38:P48 S38:S48 V38:V48 Y38:Y48 AB38:AB48 AE38:AE48 J50:J51 M50:M51 P50:P51 S50:S51 V50:V51 Y50:Y51 AB50:AB51 AE50:AE51 J53:J57 M53:M57 P53:P57 S53:S57 V53:V57 Y53:Y57 AB53:AB57 AE53:AE57 J59:J62 M59:M62 P59:P62 S59:S62 V59:V62 Y59:Y62 AB59:AB62 AE59:AE62 AE64:AE71 T89:T105 Q74:Q87 T17:T34 AF17:AF34 Z89:Z105 Y89:Y99 AB89:AB99 Q89:Q105 AF89:AF105 AE15:AF16 AC89:AC105 K89:K105" xr:uid="{00000000-0002-0000-0200-000000000000}">
      <formula1>-0.0000007</formula1>
      <formula2>-0.0000007</formula2>
    </dataValidation>
    <dataValidation type="decimal" errorStyle="warning" allowBlank="1" showInputMessage="1" showErrorMessage="1" errorTitle="ESTA CELDA ESTA FORMULADA" error="PARA DESBLOQUEAR, SOMBREAR LAS CELDAS, LUEGO CLICK EN DATOS, DESPUES VALIDACION DE DATOS, LUEGO VLIDACION DE DATOS, DESPUES BORRAR TODOS Y CLICK EN ACEPTAR." sqref="J108 M108 P108 S108 V108 Y108 AB108 AE108" xr:uid="{00000000-0002-0000-0200-000001000000}">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ignoredErrors>
    <ignoredError sqref="H110:H113 I109:K109"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8" tint="-0.499984740745262"/>
    <pageSetUpPr fitToPage="1"/>
  </sheetPr>
  <dimension ref="A1:Z343"/>
  <sheetViews>
    <sheetView showGridLines="0" topLeftCell="A42" zoomScale="130" zoomScaleNormal="130" workbookViewId="0">
      <selection activeCell="F45" sqref="F45:F52"/>
    </sheetView>
  </sheetViews>
  <sheetFormatPr baseColWidth="10" defaultColWidth="0" defaultRowHeight="12.75" zeroHeight="1"/>
  <cols>
    <col min="1" max="1" width="2.7109375" style="27" customWidth="1"/>
    <col min="2" max="2" width="8.28515625" style="27" hidden="1" customWidth="1"/>
    <col min="3" max="3" width="13.5703125" style="27" customWidth="1"/>
    <col min="4" max="4" width="44.28515625" style="27" customWidth="1"/>
    <col min="5" max="5" width="21.5703125" style="27" hidden="1" customWidth="1"/>
    <col min="6" max="6" width="21.5703125" style="27" customWidth="1"/>
    <col min="7" max="7" width="21" style="27" hidden="1" customWidth="1"/>
    <col min="8" max="8" width="20.7109375" style="27" hidden="1" customWidth="1"/>
    <col min="9" max="9" width="15.42578125" style="27" hidden="1" customWidth="1"/>
    <col min="10" max="10" width="28.7109375" style="29" bestFit="1" customWidth="1"/>
    <col min="11" max="11" width="13.7109375" style="25" hidden="1" customWidth="1"/>
    <col min="12" max="12" width="13.7109375" style="26" hidden="1" customWidth="1"/>
    <col min="13" max="15" width="13.7109375" style="27" hidden="1" customWidth="1"/>
    <col min="16" max="16" width="19.5703125" style="131" hidden="1" customWidth="1"/>
    <col min="17" max="17" width="47.7109375" style="146" hidden="1" customWidth="1"/>
    <col min="18" max="18" width="22.28515625" style="146" hidden="1" customWidth="1"/>
    <col min="19" max="19" width="22.28515625" style="131" hidden="1" customWidth="1"/>
    <col min="20" max="20" width="23.28515625" style="131" hidden="1" customWidth="1"/>
    <col min="21" max="21" width="22.28515625" style="131" hidden="1" customWidth="1"/>
    <col min="22" max="22" width="22.28515625" style="27" hidden="1" customWidth="1"/>
    <col min="23" max="23" width="22.28515625" style="184" hidden="1" customWidth="1"/>
    <col min="24" max="24" width="22.28515625" style="27" hidden="1" customWidth="1"/>
    <col min="25" max="26" width="22.28515625" style="131" bestFit="1" customWidth="1"/>
    <col min="27" max="16384" width="11.42578125" style="27" hidden="1"/>
  </cols>
  <sheetData>
    <row r="1" spans="2:19" ht="18">
      <c r="B1" s="444" t="str">
        <f>RESUMEN!B1</f>
        <v>AGENCIA NACIONAL DE INFRAESTRUCTURA</v>
      </c>
      <c r="C1" s="444"/>
      <c r="D1" s="444"/>
      <c r="E1" s="444"/>
      <c r="F1" s="444"/>
      <c r="G1" s="444"/>
      <c r="H1" s="444"/>
      <c r="I1" s="444"/>
      <c r="J1" s="444"/>
    </row>
    <row r="2" spans="2:19">
      <c r="B2" s="445" t="str">
        <f>RESUMEN!B2</f>
        <v>VICEPRESIDENCIA JURIDICA</v>
      </c>
      <c r="C2" s="445"/>
      <c r="D2" s="445"/>
      <c r="E2" s="445"/>
      <c r="F2" s="445"/>
      <c r="G2" s="445"/>
      <c r="H2" s="445"/>
      <c r="I2" s="445"/>
      <c r="J2" s="445"/>
    </row>
    <row r="3" spans="2:19">
      <c r="B3" s="445" t="str">
        <f>RESUMEN!B3</f>
        <v>GIT DE CONTRATACIÓN</v>
      </c>
      <c r="C3" s="445"/>
      <c r="D3" s="445"/>
      <c r="E3" s="445"/>
      <c r="F3" s="445"/>
      <c r="G3" s="445"/>
      <c r="H3" s="445"/>
      <c r="I3" s="445"/>
      <c r="J3" s="445"/>
    </row>
    <row r="4" spans="2:19">
      <c r="B4" s="445"/>
      <c r="C4" s="445"/>
      <c r="D4" s="445"/>
      <c r="E4" s="445"/>
      <c r="F4" s="445"/>
      <c r="G4" s="445"/>
      <c r="H4" s="445"/>
      <c r="I4" s="445"/>
      <c r="J4" s="445"/>
    </row>
    <row r="5" spans="2:19">
      <c r="B5" s="445" t="str">
        <f>RESUMEN!B4</f>
        <v>LICITACIÓN PÚBLICA VJ-VE-LP-001-2023</v>
      </c>
      <c r="C5" s="445"/>
      <c r="D5" s="445"/>
      <c r="E5" s="445"/>
      <c r="F5" s="445"/>
      <c r="G5" s="445"/>
      <c r="H5" s="445"/>
      <c r="I5" s="445"/>
      <c r="J5" s="445"/>
    </row>
    <row r="6" spans="2:19" ht="21" customHeight="1">
      <c r="B6" s="537"/>
      <c r="C6" s="537"/>
      <c r="D6" s="537"/>
      <c r="E6" s="537"/>
      <c r="F6" s="537"/>
      <c r="G6" s="537"/>
      <c r="H6" s="537"/>
      <c r="I6" s="537"/>
      <c r="J6" s="537"/>
    </row>
    <row r="7" spans="2:19" ht="40.5" customHeight="1">
      <c r="B7" s="445" t="str">
        <f>RESUMEN!B6</f>
        <v>OBJETO: “EL CONTRATISTA SE OBLIGA CON LA AGENCIA NACIONAL DE INFRAESTRUCTURA A EJECUTAR LAS ACTIVIDADES DE MANTENIMIENTO, CONSERVACIÓN Y MEJORAMIENTO DE LA INFRAESTRUCTURA ENTREGADA Y QUE HACE PARTE DEL CORREDOR LA DORADA (CALDAS) - CHIRIGUANA (CESAR) Y RAMALES INCLUIDOS EN LOS ANEXOS TÉCNICOS, ASÍ COMO EL CONTROL Y MANTENIMIENTO DE MATERIAL RODANTE Y ATENCIÓN DE EMERGENCIAS QUE ALTEREN DE ALGUNA MANERA LAS OPERACIONES FERROVIARIAS EN EL CORREDOR FERROVIARIO, Y DEMÁS ACTIVIDADES CONSAGRADAS EN LOS ANEXOS"</v>
      </c>
      <c r="C7" s="445"/>
      <c r="D7" s="445"/>
      <c r="E7" s="445"/>
      <c r="F7" s="445"/>
      <c r="G7" s="445"/>
      <c r="H7" s="445"/>
      <c r="I7" s="445"/>
      <c r="J7" s="445"/>
    </row>
    <row r="8" spans="2:19" ht="15.75">
      <c r="B8" s="32"/>
      <c r="C8" s="32"/>
      <c r="D8" s="28"/>
      <c r="E8" s="28"/>
      <c r="F8" s="28"/>
      <c r="G8" s="28"/>
      <c r="H8" s="28"/>
      <c r="I8" s="28"/>
      <c r="J8" s="28"/>
    </row>
    <row r="9" spans="2:19" ht="15.75" customHeight="1">
      <c r="B9" s="436" t="s">
        <v>26</v>
      </c>
      <c r="C9" s="436"/>
      <c r="D9" s="436"/>
      <c r="E9" s="436"/>
      <c r="F9" s="436"/>
      <c r="G9" s="436"/>
      <c r="H9" s="436"/>
      <c r="I9" s="436"/>
      <c r="J9" s="436"/>
    </row>
    <row r="10" spans="2:19" ht="16.5" customHeight="1">
      <c r="B10" s="536" t="s">
        <v>27</v>
      </c>
      <c r="C10" s="536"/>
      <c r="D10" s="536"/>
      <c r="E10" s="536"/>
      <c r="F10" s="536"/>
      <c r="G10" s="536"/>
      <c r="H10" s="536"/>
      <c r="I10" s="536"/>
      <c r="J10" s="536"/>
      <c r="S10" s="130"/>
    </row>
    <row r="11" spans="2:19" ht="16.5" thickBot="1">
      <c r="B11" s="33"/>
      <c r="C11" s="33"/>
      <c r="D11" s="28"/>
      <c r="E11" s="28"/>
      <c r="F11" s="28"/>
      <c r="G11" s="28"/>
      <c r="H11" s="28"/>
      <c r="I11" s="28"/>
      <c r="J11" s="28"/>
    </row>
    <row r="12" spans="2:19" ht="15.75" customHeight="1" thickBot="1">
      <c r="B12" s="488" t="s">
        <v>144</v>
      </c>
      <c r="C12" s="489"/>
      <c r="D12" s="350" t="s">
        <v>83</v>
      </c>
      <c r="E12" s="481" t="s">
        <v>43</v>
      </c>
      <c r="F12" s="482"/>
      <c r="G12" s="482"/>
      <c r="H12" s="482"/>
      <c r="I12" s="482"/>
      <c r="J12" s="483"/>
      <c r="Q12" s="147" t="s">
        <v>83</v>
      </c>
    </row>
    <row r="13" spans="2:19" ht="21" customHeight="1" thickBot="1">
      <c r="B13" s="490"/>
      <c r="C13" s="491"/>
      <c r="D13" s="358"/>
      <c r="E13" s="484" t="s">
        <v>98</v>
      </c>
      <c r="F13" s="484"/>
      <c r="G13" s="484"/>
      <c r="H13" s="484"/>
      <c r="I13" s="65" t="s">
        <v>44</v>
      </c>
      <c r="J13" s="87">
        <v>4177.58</v>
      </c>
      <c r="Q13" s="148">
        <v>1</v>
      </c>
    </row>
    <row r="14" spans="2:19" ht="15.75" customHeight="1" thickBot="1">
      <c r="B14" s="492"/>
      <c r="C14" s="493"/>
      <c r="D14" s="351" t="s">
        <v>80</v>
      </c>
      <c r="E14" s="67"/>
      <c r="F14" s="67"/>
      <c r="G14" s="67"/>
      <c r="H14" s="67"/>
      <c r="I14" s="67" t="s">
        <v>45</v>
      </c>
      <c r="J14" s="360">
        <f>100*(J13-INT(J13))</f>
        <v>57.999999999992724</v>
      </c>
      <c r="Q14" s="149"/>
    </row>
    <row r="15" spans="2:19" ht="15.75" customHeight="1" thickBot="1">
      <c r="B15" s="494"/>
      <c r="C15" s="495"/>
      <c r="D15" s="359"/>
      <c r="E15" s="487" t="s">
        <v>71</v>
      </c>
      <c r="F15" s="487"/>
      <c r="G15" s="485" t="str">
        <f>IF(OR(B14=1,D15=""),IF(AND(J14&gt;=0,J14&lt;=24),"MEDIANA CON VALOR ABSOLUTO",IF(AND(J14&gt;=25,J14&lt;=49),"MEDIA GEOMÉTRICA",IF(AND(J14&gt;=50,J14&lt;=74),"MEDIA ARITMÉTICA BAJA","MENOR VALOR"))),IF(D15="MEDIANA CON VALOR ABSOLUTO","MEDIA GEOMÉTRICA",IF(D15="MEDIA GEOMÉTRICA","MEDIA ARITMÉTICA BAJA",IF(D15="MEDIA ARITMÉTICA BAJA","MENOR VALOR","MEDIANA CON VALOR ABSOLUTO"))))</f>
        <v>MEDIA ARITMÉTICA BAJA</v>
      </c>
      <c r="H15" s="485"/>
      <c r="I15" s="485"/>
      <c r="J15" s="486"/>
      <c r="Q15" s="147" t="s">
        <v>80</v>
      </c>
    </row>
    <row r="16" spans="2:19" ht="16.5" thickBot="1">
      <c r="B16" s="33"/>
      <c r="C16" s="33"/>
      <c r="D16" s="28"/>
      <c r="E16" s="28"/>
      <c r="F16" s="28"/>
      <c r="G16" s="28"/>
      <c r="H16" s="28"/>
      <c r="I16" s="28"/>
      <c r="J16" s="28"/>
      <c r="Q16" s="148" t="s">
        <v>97</v>
      </c>
    </row>
    <row r="17" spans="2:26" ht="15.6" customHeight="1">
      <c r="B17" s="508" t="s">
        <v>46</v>
      </c>
      <c r="C17" s="509"/>
      <c r="D17" s="509"/>
      <c r="E17" s="509"/>
      <c r="F17" s="509"/>
      <c r="G17" s="509"/>
      <c r="H17" s="509"/>
      <c r="I17" s="509"/>
      <c r="J17" s="510"/>
    </row>
    <row r="18" spans="2:26">
      <c r="B18" s="60"/>
      <c r="C18" s="65"/>
      <c r="D18" s="61"/>
      <c r="E18" s="61"/>
      <c r="F18" s="62"/>
      <c r="G18" s="62"/>
      <c r="H18" s="62"/>
      <c r="I18" s="65" t="s">
        <v>47</v>
      </c>
      <c r="J18" s="73">
        <f>COUNT(F45:F52)</f>
        <v>8</v>
      </c>
    </row>
    <row r="19" spans="2:26">
      <c r="B19" s="66"/>
      <c r="C19" s="65"/>
      <c r="D19" s="61"/>
      <c r="E19" s="61"/>
      <c r="F19" s="62"/>
      <c r="G19" s="62"/>
      <c r="H19" s="62"/>
      <c r="I19" s="65" t="s">
        <v>49</v>
      </c>
      <c r="J19" s="76">
        <f>IF(J18=0,0,MIN(F45:F52))</f>
        <v>71425915048</v>
      </c>
    </row>
    <row r="20" spans="2:26">
      <c r="B20" s="60"/>
      <c r="C20" s="67"/>
      <c r="D20" s="61"/>
      <c r="E20" s="61"/>
      <c r="F20" s="62"/>
      <c r="G20" s="62"/>
      <c r="H20" s="62"/>
      <c r="I20" s="65" t="s">
        <v>111</v>
      </c>
      <c r="J20" s="76">
        <f>IF(J18=0,0,AVERAGE(F45:F52))</f>
        <v>72162974269</v>
      </c>
    </row>
    <row r="21" spans="2:26">
      <c r="B21" s="60"/>
      <c r="C21" s="67"/>
      <c r="D21" s="61"/>
      <c r="E21" s="61"/>
      <c r="F21" s="62"/>
      <c r="G21" s="62"/>
      <c r="H21" s="62"/>
      <c r="I21" s="65" t="s">
        <v>56</v>
      </c>
      <c r="J21" s="76">
        <f>IF(J18=0,0,MEDIAN(F45:F52))</f>
        <v>72262826444</v>
      </c>
    </row>
    <row r="22" spans="2:26">
      <c r="B22" s="68"/>
      <c r="C22" s="69"/>
      <c r="D22" s="61"/>
      <c r="E22" s="61"/>
      <c r="F22" s="62"/>
      <c r="G22" s="62"/>
      <c r="H22" s="62"/>
      <c r="I22" s="65" t="s">
        <v>57</v>
      </c>
      <c r="J22" s="76">
        <f>'VR-PROP'!$H$108</f>
        <v>76021366201</v>
      </c>
      <c r="V22" s="187"/>
      <c r="W22" s="185"/>
      <c r="X22"/>
    </row>
    <row r="23" spans="2:26" ht="13.5" thickBot="1">
      <c r="B23" s="70"/>
      <c r="C23" s="71"/>
      <c r="D23" s="63"/>
      <c r="E23" s="63"/>
      <c r="F23" s="64"/>
      <c r="G23" s="64"/>
      <c r="H23" s="64"/>
      <c r="I23" s="72" t="s">
        <v>48</v>
      </c>
      <c r="J23" s="74">
        <v>59.5</v>
      </c>
    </row>
    <row r="24" spans="2:26" customFormat="1">
      <c r="P24" s="130"/>
      <c r="Q24" s="154"/>
      <c r="R24" s="154"/>
      <c r="S24" s="130"/>
      <c r="T24" s="130"/>
      <c r="U24" s="130"/>
      <c r="V24" s="27"/>
      <c r="W24" s="184"/>
      <c r="X24" s="27"/>
      <c r="Y24" s="130"/>
      <c r="Z24" s="130"/>
    </row>
    <row r="25" spans="2:26" ht="15" hidden="1" customHeight="1">
      <c r="B25" s="521" t="s">
        <v>112</v>
      </c>
      <c r="C25" s="522"/>
      <c r="D25" s="522"/>
      <c r="E25" s="522"/>
      <c r="F25" s="522"/>
      <c r="G25" s="522"/>
      <c r="H25" s="522"/>
      <c r="I25" s="522"/>
      <c r="J25" s="523"/>
    </row>
    <row r="26" spans="2:26" ht="15" hidden="1" customHeight="1">
      <c r="B26" s="498" t="s">
        <v>106</v>
      </c>
      <c r="C26" s="499"/>
      <c r="D26" s="499"/>
      <c r="E26" s="499"/>
      <c r="F26" s="499"/>
      <c r="G26" s="499"/>
      <c r="H26" s="499"/>
      <c r="I26" s="500"/>
      <c r="J26" s="145" t="str">
        <f>IF(J18=0,0,IF(MOD(J18,2)=0,"Par","Impar"))</f>
        <v>Par</v>
      </c>
    </row>
    <row r="27" spans="2:26" ht="15" hidden="1" customHeight="1">
      <c r="B27" s="498" t="str">
        <f>IF(J26=0,"Registrar Propuestas",IF(J26="Impar","Valor de la Mediana",IF(J26="Par","Valor de la Propuesta Inmediatamente por debajo del Valor de la Mediana")))</f>
        <v>Valor de la Propuesta Inmediatamente por debajo del Valor de la Mediana</v>
      </c>
      <c r="C27" s="499"/>
      <c r="D27" s="499"/>
      <c r="E27" s="499"/>
      <c r="F27" s="499"/>
      <c r="G27" s="499"/>
      <c r="H27" s="499"/>
      <c r="I27" s="500"/>
      <c r="J27" s="145">
        <f>IF(J26=0,0,IF(J26="Impar",MEDIAN(F45:F52),IF(J26="Par",VLOOKUP("MÍNIMO",$S$45:$T$52,2,FALSE),"NO APLICA")))</f>
        <v>71550545338</v>
      </c>
    </row>
    <row r="28" spans="2:26" ht="15" hidden="1" customHeight="1">
      <c r="B28" s="516" t="s">
        <v>123</v>
      </c>
      <c r="C28" s="517"/>
      <c r="D28" s="517"/>
      <c r="E28" s="517"/>
      <c r="F28" s="517"/>
      <c r="G28" s="517"/>
      <c r="H28" s="517"/>
      <c r="I28" s="517"/>
      <c r="J28" s="518"/>
    </row>
    <row r="29" spans="2:26" ht="13.5" hidden="1">
      <c r="B29" s="498" t="s">
        <v>72</v>
      </c>
      <c r="C29" s="499"/>
      <c r="D29" s="499"/>
      <c r="E29" s="499"/>
      <c r="F29" s="499"/>
      <c r="G29" s="499"/>
      <c r="H29" s="499"/>
      <c r="I29" s="500"/>
      <c r="J29" s="77">
        <f>IF(J18=0,0,PRODUCT(H45:H52))</f>
        <v>735230998269368.25</v>
      </c>
      <c r="K29" s="109"/>
    </row>
    <row r="30" spans="2:26" hidden="1">
      <c r="B30" s="498" t="s">
        <v>121</v>
      </c>
      <c r="C30" s="499"/>
      <c r="D30" s="499"/>
      <c r="E30" s="499"/>
      <c r="F30" s="499"/>
      <c r="G30" s="499"/>
      <c r="H30" s="499"/>
      <c r="I30" s="500"/>
      <c r="J30" s="188">
        <f>IF(J18=0,0,VLOOKUP("MÍNIMO",$W$45:$Z$52,2,FALSE))</f>
        <v>71550545338</v>
      </c>
      <c r="K30" s="109"/>
    </row>
    <row r="31" spans="2:26" ht="13.15" hidden="1" customHeight="1">
      <c r="B31" s="498" t="s">
        <v>120</v>
      </c>
      <c r="C31" s="499"/>
      <c r="D31" s="499"/>
      <c r="E31" s="499"/>
      <c r="F31" s="499"/>
      <c r="G31" s="499"/>
      <c r="H31" s="499"/>
      <c r="I31" s="500"/>
      <c r="J31" s="75">
        <f>IF(J18=0,0,1000000000*POWER(J29,1/(J18)))</f>
        <v>72161071972.62915</v>
      </c>
      <c r="K31" s="110"/>
    </row>
    <row r="32" spans="2:26" ht="15" customHeight="1">
      <c r="B32" s="516" t="s">
        <v>113</v>
      </c>
      <c r="C32" s="517"/>
      <c r="D32" s="517"/>
      <c r="E32" s="517"/>
      <c r="F32" s="517"/>
      <c r="G32" s="517"/>
      <c r="H32" s="517"/>
      <c r="I32" s="517"/>
      <c r="J32" s="518"/>
      <c r="K32" s="110"/>
    </row>
    <row r="33" spans="2:26" ht="13.15" customHeight="1">
      <c r="B33" s="498" t="s">
        <v>114</v>
      </c>
      <c r="C33" s="499"/>
      <c r="D33" s="499"/>
      <c r="E33" s="499"/>
      <c r="F33" s="499"/>
      <c r="G33" s="499"/>
      <c r="H33" s="499"/>
      <c r="I33" s="500"/>
      <c r="J33" s="145">
        <f>AVERAGE(J19,J20)</f>
        <v>71794444658.5</v>
      </c>
      <c r="K33" s="110"/>
    </row>
    <row r="34" spans="2:26" ht="15" hidden="1" customHeight="1">
      <c r="B34" s="516" t="s">
        <v>122</v>
      </c>
      <c r="C34" s="517"/>
      <c r="D34" s="517"/>
      <c r="E34" s="517"/>
      <c r="F34" s="517"/>
      <c r="G34" s="517"/>
      <c r="H34" s="517"/>
      <c r="I34" s="517"/>
      <c r="J34" s="518"/>
      <c r="K34"/>
    </row>
    <row r="35" spans="2:26" ht="13.5" hidden="1" thickBot="1">
      <c r="B35" s="511" t="s">
        <v>50</v>
      </c>
      <c r="C35" s="512"/>
      <c r="D35" s="512"/>
      <c r="E35" s="512"/>
      <c r="F35" s="512"/>
      <c r="G35" s="512"/>
      <c r="H35" s="512"/>
      <c r="I35" s="513"/>
      <c r="J35" s="78">
        <f>J19</f>
        <v>71425915048</v>
      </c>
      <c r="K35"/>
      <c r="V35" s="26"/>
      <c r="W35" s="186"/>
      <c r="X35" s="26"/>
    </row>
    <row r="36" spans="2:26">
      <c r="B36" s="88"/>
      <c r="C36" s="88"/>
      <c r="D36" s="88"/>
      <c r="E36" s="88"/>
      <c r="F36" s="88"/>
      <c r="G36" s="88"/>
      <c r="H36" s="88"/>
      <c r="I36" s="88"/>
      <c r="J36" s="89"/>
      <c r="K36"/>
    </row>
    <row r="37" spans="2:26" ht="16.5" thickBot="1">
      <c r="B37" s="56"/>
      <c r="C37" s="56"/>
      <c r="D37" s="56"/>
      <c r="E37" s="56"/>
      <c r="F37" s="57"/>
      <c r="G37" s="57"/>
      <c r="H37" s="57"/>
      <c r="I37" s="28"/>
      <c r="J37" s="28"/>
      <c r="K37"/>
    </row>
    <row r="38" spans="2:26" s="26" customFormat="1" ht="40.5" customHeight="1" thickBot="1">
      <c r="B38" s="514" t="s">
        <v>58</v>
      </c>
      <c r="C38" s="515"/>
      <c r="D38" s="515"/>
      <c r="E38" s="352"/>
      <c r="F38" s="524" t="str">
        <f>G15</f>
        <v>MEDIA ARITMÉTICA BAJA</v>
      </c>
      <c r="G38" s="524"/>
      <c r="H38" s="524"/>
      <c r="I38" s="524"/>
      <c r="J38" s="382">
        <f>IF(F38="MEDIANA CON VALOR ABSOLUTO",J27,IF(F38="MEDIA GEOMÉTRICA",J31,IF(F38="MEDIA ARITMÉTICA BAJA",J33,IF(F38="MENOR VALOR",J35,""))))</f>
        <v>71794444658.5</v>
      </c>
      <c r="K38" s="108"/>
      <c r="P38" s="132"/>
      <c r="Q38" s="155"/>
      <c r="R38" s="155"/>
      <c r="S38" s="132"/>
      <c r="T38" s="132"/>
      <c r="U38" s="132"/>
      <c r="V38" s="27"/>
      <c r="W38" s="184"/>
      <c r="X38" s="27"/>
      <c r="Y38" s="132"/>
      <c r="Z38" s="132"/>
    </row>
    <row r="39" spans="2:26" ht="15.75">
      <c r="B39" s="56"/>
      <c r="C39" s="56"/>
      <c r="D39" s="56"/>
      <c r="E39" s="56"/>
      <c r="F39" s="57"/>
      <c r="G39" s="57"/>
      <c r="H39" s="57"/>
      <c r="I39" s="28"/>
      <c r="J39" s="28"/>
      <c r="K39"/>
    </row>
    <row r="40" spans="2:26" ht="16.5" thickBot="1">
      <c r="B40" s="33"/>
      <c r="C40" s="33"/>
      <c r="D40" s="28"/>
      <c r="E40" s="28"/>
      <c r="F40" s="182"/>
      <c r="G40" s="28"/>
      <c r="H40" s="28"/>
      <c r="I40" s="28"/>
      <c r="J40" s="28"/>
    </row>
    <row r="41" spans="2:26" ht="15">
      <c r="B41" s="525" t="s">
        <v>60</v>
      </c>
      <c r="C41" s="526"/>
      <c r="D41" s="526"/>
      <c r="E41" s="526"/>
      <c r="F41" s="526"/>
      <c r="G41" s="526"/>
      <c r="H41" s="526"/>
      <c r="I41" s="526"/>
      <c r="J41" s="527"/>
    </row>
    <row r="42" spans="2:26" ht="75">
      <c r="B42" s="530" t="s">
        <v>39</v>
      </c>
      <c r="C42" s="532" t="s">
        <v>13</v>
      </c>
      <c r="D42" s="534" t="s">
        <v>7</v>
      </c>
      <c r="E42" s="353" t="s">
        <v>102</v>
      </c>
      <c r="F42" s="353" t="s">
        <v>101</v>
      </c>
      <c r="G42" s="353" t="s">
        <v>267</v>
      </c>
      <c r="H42" s="353" t="s">
        <v>28</v>
      </c>
      <c r="I42" s="353" t="s">
        <v>30</v>
      </c>
      <c r="J42" s="354" t="s">
        <v>6</v>
      </c>
      <c r="K42" s="528" t="s">
        <v>55</v>
      </c>
      <c r="L42" s="519" t="s">
        <v>51</v>
      </c>
      <c r="M42" s="519" t="s">
        <v>52</v>
      </c>
      <c r="N42" s="519" t="s">
        <v>53</v>
      </c>
      <c r="O42" s="519" t="s">
        <v>54</v>
      </c>
    </row>
    <row r="43" spans="2:26" ht="22.5" customHeight="1" thickBot="1">
      <c r="B43" s="531"/>
      <c r="C43" s="533"/>
      <c r="D43" s="535"/>
      <c r="E43" s="355" t="s">
        <v>29</v>
      </c>
      <c r="F43" s="356" t="s">
        <v>29</v>
      </c>
      <c r="G43" s="356" t="s">
        <v>16</v>
      </c>
      <c r="H43" s="356" t="s">
        <v>73</v>
      </c>
      <c r="I43" s="356" t="s">
        <v>16</v>
      </c>
      <c r="J43" s="357" t="s">
        <v>59</v>
      </c>
      <c r="K43" s="529"/>
      <c r="L43" s="520"/>
      <c r="M43" s="520"/>
      <c r="N43" s="520"/>
      <c r="O43" s="520"/>
      <c r="V43" s="183"/>
    </row>
    <row r="44" spans="2:26" ht="6.75" customHeight="1" thickBot="1">
      <c r="B44" s="200"/>
      <c r="C44" s="201"/>
      <c r="D44" s="202"/>
      <c r="E44" s="280">
        <f>'VR-PROP'!H108</f>
        <v>76021366201</v>
      </c>
      <c r="F44" s="202"/>
      <c r="G44" s="202"/>
      <c r="H44" s="202"/>
      <c r="I44" s="202"/>
      <c r="J44" s="203"/>
      <c r="K44" s="190"/>
      <c r="L44" s="189"/>
      <c r="M44" s="189"/>
      <c r="N44" s="189"/>
      <c r="O44" s="189"/>
      <c r="V44" s="183"/>
    </row>
    <row r="45" spans="2:26" ht="26.25" customHeight="1">
      <c r="B45" s="192">
        <v>1</v>
      </c>
      <c r="C45" s="193">
        <f>RESUMEN!C15</f>
        <v>1</v>
      </c>
      <c r="D45" s="194" t="str">
        <f>VLOOKUP(C45,RESUMEN!$C$15:$D$22,2,0)</f>
        <v>CONSORCIO CORREDORES FERREOS SI</v>
      </c>
      <c r="E45" s="195">
        <f>IF(ISTEXT('VR-PROP'!$J$108),"DESCARTADO",'VR-PROP'!$J$107)</f>
        <v>72050425401</v>
      </c>
      <c r="F45" s="195">
        <f>IF(ISTEXT('VR-PROP'!$J$108),"DESCARTADO",'VR-PROP'!$J$108)</f>
        <v>71550545338</v>
      </c>
      <c r="G45" s="196">
        <f>IF(ISTEXT(F45),"",ABS(1-(F45/E45)))</f>
        <v>6.9379196613745808E-3</v>
      </c>
      <c r="H45" s="197">
        <f>IF(ISTEXT(F45),"",F45/1000000000)</f>
        <v>71.550545338000006</v>
      </c>
      <c r="I45" s="198">
        <f>IF(F45="DESCARTADO","DESCARTADO",(F45/$J$22)-1)</f>
        <v>-5.8810056782973019E-2</v>
      </c>
      <c r="J45" s="199">
        <f t="shared" ref="J45:J52" si="0">IF(F45="DESCARTADO","",IF($F$38="MEDIANA CON VALOR ABSOLUTO",$J$23*(1-ABS(($J$38-F45)/$J$38)),IF(AND($F$38="MEDIA GEOMÉTRICA",F45=$J$30),$J$23,IF($F$38="MEDIA GEOMÉTRICA",$J$23*(1-(ABS($J$38-F45)/$J$38)),IF($F$38="MENOR VALOR",$J$23*($J$19/F45),IF(F45&lt;=$J$38,$J$23*(1-(($J$38-F45)/$J$38)),$J$23*(1-(ABS($J$38-F45)/$J$38))))))))</f>
        <v>59.297867235567068</v>
      </c>
      <c r="K45" s="58">
        <f>IF(ISTEXT(F45),"",F45/$J$22)</f>
        <v>0.94118994321702698</v>
      </c>
      <c r="L45" s="59" t="e">
        <f>IF(ISTEXT(F45),"",F45/#REF!)</f>
        <v>#REF!</v>
      </c>
      <c r="M45" s="59" t="e">
        <f>IF(ISTEXT(F45),"",F45/#REF!)</f>
        <v>#REF!</v>
      </c>
      <c r="N45" s="59">
        <f>IF(ISTEXT(F45),"",F45/$J$31)</f>
        <v>0.9915393907277219</v>
      </c>
      <c r="O45" s="59">
        <f>IF(ISTEXT(F45),"",F45/$J$35)</f>
        <v>1.0017448889512475</v>
      </c>
      <c r="P45" s="150">
        <f>IF(F45="DESCARTADO","",COUNTIF($F$45:$F$52,F45))</f>
        <v>1</v>
      </c>
      <c r="Q45" s="151" t="e">
        <f>IF(F45="DESCARTADO","",ABS(F45-#REF!))</f>
        <v>#REF!</v>
      </c>
      <c r="R45" s="151">
        <f>IF(F45="DESCARTADO","",IF($J$26="Impar","",IF(F45&gt;$J$21,"",$J$21-F45)))</f>
        <v>712281106</v>
      </c>
      <c r="S45" s="151" t="str">
        <f>IF(R45=MIN($R$45:$R$52),"MÍNIMO","")</f>
        <v>MÍNIMO</v>
      </c>
      <c r="T45" s="151">
        <f>IF(S45="","",IF(S45="MÍNIMO",F45,""))</f>
        <v>71550545338</v>
      </c>
      <c r="U45" s="151">
        <f>IF(OR(ISTEXT(E45),ISTEXT(F45)),"",E45-F45)</f>
        <v>499880063</v>
      </c>
      <c r="V45" s="183">
        <f>IF(F45="DESCARTADO","",ABS(F45-$J$31))</f>
        <v>610526634.62915039</v>
      </c>
      <c r="W45" s="184" t="str">
        <f>IF(V45=MIN($V$45:$V$52),"MÍNIMO","")</f>
        <v>MÍNIMO</v>
      </c>
      <c r="X45" s="183">
        <f>IF(W45="","",IF(W45="MÍNIMO",F45,""))</f>
        <v>71550545338</v>
      </c>
      <c r="Y45" s="403"/>
      <c r="Z45" s="404"/>
    </row>
    <row r="46" spans="2:26" ht="26.25" customHeight="1">
      <c r="B46" s="192"/>
      <c r="C46" s="193">
        <v>2</v>
      </c>
      <c r="D46" s="194" t="str">
        <f>VLOOKUP(C46,RESUMEN!$C$15:$D$22,2,0)</f>
        <v>CONSORCIO FERREO CHIRIGUANA</v>
      </c>
      <c r="E46" s="195">
        <f>IF(ISTEXT('VR-PROP'!$M$108),"DESCARTADO",'VR-PROP'!$M$107)</f>
        <v>72436437440</v>
      </c>
      <c r="F46" s="195">
        <f>IF(ISTEXT('VR-PROP'!$M$108),"DESCARTADO",'VR-PROP'!$M$108)</f>
        <v>71961637671</v>
      </c>
      <c r="G46" s="196">
        <f t="shared" ref="G46:G52" si="1">IF(ISTEXT(F46),"",ABS(1-(F46/E46)))</f>
        <v>6.5547090080635417E-3</v>
      </c>
      <c r="H46" s="197">
        <f t="shared" ref="H46:H52" si="2">IF(ISTEXT(F46),"",F46/1000000000)</f>
        <v>71.961637671000005</v>
      </c>
      <c r="I46" s="198">
        <f t="shared" ref="I46:I52" si="3">IF(F46="DESCARTADO","DESCARTADO",(F46/$J$22)-1)</f>
        <v>-5.3402467396680309E-2</v>
      </c>
      <c r="J46" s="199">
        <f t="shared" si="0"/>
        <v>59.361437966529742</v>
      </c>
      <c r="K46" s="58"/>
      <c r="L46" s="59"/>
      <c r="M46" s="59"/>
      <c r="N46" s="59"/>
      <c r="O46" s="59"/>
      <c r="P46" s="150"/>
      <c r="Q46" s="151"/>
      <c r="R46" s="151"/>
      <c r="S46" s="151"/>
      <c r="T46" s="151"/>
      <c r="U46" s="151"/>
      <c r="V46" s="183"/>
      <c r="X46" s="183"/>
      <c r="Y46" s="403"/>
      <c r="Z46" s="404"/>
    </row>
    <row r="47" spans="2:26" ht="26.25" customHeight="1">
      <c r="B47" s="192"/>
      <c r="C47" s="193">
        <v>3</v>
      </c>
      <c r="D47" s="194" t="str">
        <f>VLOOKUP(C47,RESUMEN!$C$15:$D$22,2,0)</f>
        <v>CONSORCIO SAN FELIPE FERREO</v>
      </c>
      <c r="E47" s="195">
        <f>IF(ISTEXT('VR-PROP'!$P$108),"DESCARTADO",'VR-PROP'!$P$107)</f>
        <v>72174558490</v>
      </c>
      <c r="F47" s="195">
        <f>IF(ISTEXT('VR-PROP'!$P$108),"DESCARTADO",'VR-PROP'!$P$108)</f>
        <v>71715321740</v>
      </c>
      <c r="G47" s="196">
        <f t="shared" si="1"/>
        <v>6.3628619226486771E-3</v>
      </c>
      <c r="H47" s="197">
        <f t="shared" si="2"/>
        <v>71.715321739999993</v>
      </c>
      <c r="I47" s="198">
        <f t="shared" si="3"/>
        <v>-5.6642555589106913E-2</v>
      </c>
      <c r="J47" s="199">
        <f t="shared" si="0"/>
        <v>59.434426491170129</v>
      </c>
      <c r="K47" s="58"/>
      <c r="L47" s="59"/>
      <c r="M47" s="59"/>
      <c r="N47" s="59"/>
      <c r="O47" s="59"/>
      <c r="P47" s="150"/>
      <c r="Q47" s="151"/>
      <c r="R47" s="151"/>
      <c r="S47" s="151"/>
      <c r="T47" s="151"/>
      <c r="U47" s="151"/>
      <c r="V47" s="183"/>
      <c r="X47" s="183"/>
      <c r="Y47" s="403"/>
      <c r="Z47" s="404"/>
    </row>
    <row r="48" spans="2:26" ht="26.25" customHeight="1">
      <c r="B48" s="192"/>
      <c r="C48" s="193">
        <v>4</v>
      </c>
      <c r="D48" s="194" t="str">
        <f>VLOOKUP(C48,RESUMEN!$C$15:$D$22,2,0)</f>
        <v>CONSORCIO FERROVIARIO RYC</v>
      </c>
      <c r="E48" s="195">
        <f>IF(ISTEXT('VR-PROP'!$S$108),"DESCARTADO",'VR-PROP'!$S$107)</f>
        <v>73074278453</v>
      </c>
      <c r="F48" s="195">
        <f>IF(ISTEXT('VR-PROP'!$S$108),"DESCARTADO",'VR-PROP'!$S$108)</f>
        <v>72564015217</v>
      </c>
      <c r="G48" s="196">
        <f t="shared" si="1"/>
        <v>6.9828022500173503E-3</v>
      </c>
      <c r="H48" s="197">
        <f t="shared" si="2"/>
        <v>72.564015217000005</v>
      </c>
      <c r="I48" s="198">
        <f t="shared" si="3"/>
        <v>-4.5478674703882449E-2</v>
      </c>
      <c r="J48" s="199">
        <f t="shared" si="0"/>
        <v>58.862214605203043</v>
      </c>
      <c r="K48" s="58"/>
      <c r="L48" s="59"/>
      <c r="M48" s="59"/>
      <c r="N48" s="59"/>
      <c r="O48" s="59"/>
      <c r="P48" s="150"/>
      <c r="Q48" s="151"/>
      <c r="R48" s="151"/>
      <c r="S48" s="151"/>
      <c r="T48" s="151"/>
      <c r="U48" s="151"/>
      <c r="V48" s="183"/>
      <c r="X48" s="183"/>
      <c r="Y48" s="403"/>
      <c r="Z48" s="404"/>
    </row>
    <row r="49" spans="2:26" ht="26.25" customHeight="1">
      <c r="B49" s="192"/>
      <c r="C49" s="193">
        <v>5</v>
      </c>
      <c r="D49" s="194" t="str">
        <f>VLOOKUP(C49,RESUMEN!$C$15:$D$22,2,0)</f>
        <v>CONSORCIO INGED</v>
      </c>
      <c r="E49" s="195">
        <f>IF(ISTEXT('VR-PROP'!$V$108),"DESCARTADO",'VR-PROP'!$V$107)</f>
        <v>71425915048</v>
      </c>
      <c r="F49" s="195">
        <f>IF(ISTEXT('VR-PROP'!$V$108),"DESCARTADO",'VR-PROP'!$V$108)</f>
        <v>71425915048</v>
      </c>
      <c r="G49" s="196">
        <f t="shared" si="1"/>
        <v>0</v>
      </c>
      <c r="H49" s="197">
        <f t="shared" si="2"/>
        <v>71.425915047999993</v>
      </c>
      <c r="I49" s="198">
        <f t="shared" si="3"/>
        <v>-6.044946812518015E-2</v>
      </c>
      <c r="J49" s="199">
        <f t="shared" si="0"/>
        <v>59.194579268228189</v>
      </c>
      <c r="K49" s="58"/>
      <c r="L49" s="59"/>
      <c r="M49" s="59"/>
      <c r="N49" s="59"/>
      <c r="O49" s="59"/>
      <c r="P49" s="150"/>
      <c r="Q49" s="151"/>
      <c r="R49" s="151"/>
      <c r="S49" s="151"/>
      <c r="T49" s="151"/>
      <c r="U49" s="151"/>
      <c r="V49" s="183"/>
      <c r="X49" s="183"/>
      <c r="Y49" s="403"/>
      <c r="Z49" s="404"/>
    </row>
    <row r="50" spans="2:26" ht="26.25" customHeight="1">
      <c r="B50" s="192"/>
      <c r="C50" s="193">
        <v>6</v>
      </c>
      <c r="D50" s="194" t="str">
        <f>VLOOKUP(C50,RESUMEN!$C$15:$D$22,2,0)</f>
        <v>CONSORCIO FERROVIARIO DE LOS ANDES</v>
      </c>
      <c r="E50" s="195">
        <f>IF(ISTEXT('VR-PROP'!$Y$108),"DESCARTADO",'VR-PROP'!$Y$107)</f>
        <v>73109747899</v>
      </c>
      <c r="F50" s="195">
        <f>IF(ISTEXT('VR-PROP'!$Y$108),"DESCARTADO",'VR-PROP'!$Y$108)</f>
        <v>72608147899</v>
      </c>
      <c r="G50" s="196">
        <f t="shared" si="1"/>
        <v>6.8609182005791025E-3</v>
      </c>
      <c r="H50" s="197">
        <f t="shared" si="2"/>
        <v>72.608147899000002</v>
      </c>
      <c r="I50" s="198">
        <f t="shared" si="3"/>
        <v>-4.4898144726516431E-2</v>
      </c>
      <c r="J50" s="199">
        <f t="shared" si="0"/>
        <v>58.825639427395195</v>
      </c>
      <c r="K50" s="58"/>
      <c r="L50" s="59"/>
      <c r="M50" s="59"/>
      <c r="N50" s="59"/>
      <c r="O50" s="59"/>
      <c r="P50" s="150"/>
      <c r="Q50" s="151"/>
      <c r="R50" s="151"/>
      <c r="S50" s="151"/>
      <c r="T50" s="151"/>
      <c r="U50" s="151"/>
      <c r="V50" s="183"/>
      <c r="X50" s="183"/>
      <c r="Y50" s="403"/>
      <c r="Z50" s="404"/>
    </row>
    <row r="51" spans="2:26" ht="26.25" customHeight="1">
      <c r="B51" s="192"/>
      <c r="C51" s="193">
        <v>7</v>
      </c>
      <c r="D51" s="194" t="str">
        <f>VLOOKUP(C51,RESUMEN!$C$15:$D$22,2,0)</f>
        <v>CONSORCIO INFRAESTRUCTURA LA DORADA</v>
      </c>
      <c r="E51" s="195">
        <f>IF(ISTEXT('VR-PROP'!$AB$108),"DESCARTADO",'VR-PROP'!$AB$107)</f>
        <v>72659553152</v>
      </c>
      <c r="F51" s="195">
        <f>IF(ISTEXT('VR-PROP'!$AB$108),"DESCARTADO",'VR-PROP'!$AB$108)</f>
        <v>72659553154</v>
      </c>
      <c r="G51" s="196">
        <f t="shared" si="1"/>
        <v>2.7525537404926581E-11</v>
      </c>
      <c r="H51" s="197">
        <f t="shared" si="2"/>
        <v>72.659553153999994</v>
      </c>
      <c r="I51" s="198">
        <f t="shared" si="3"/>
        <v>-4.4221949893815227E-2</v>
      </c>
      <c r="J51" s="199">
        <f t="shared" si="0"/>
        <v>58.783037068855492</v>
      </c>
      <c r="K51" s="58"/>
      <c r="L51" s="59"/>
      <c r="M51" s="59"/>
      <c r="N51" s="59"/>
      <c r="O51" s="59"/>
      <c r="P51" s="150"/>
      <c r="Q51" s="151"/>
      <c r="R51" s="151"/>
      <c r="S51" s="151"/>
      <c r="T51" s="151"/>
      <c r="U51" s="151"/>
      <c r="V51" s="183"/>
      <c r="X51" s="183"/>
      <c r="Y51" s="403"/>
      <c r="Z51" s="404"/>
    </row>
    <row r="52" spans="2:26" ht="26.25" customHeight="1">
      <c r="B52" s="192"/>
      <c r="C52" s="193">
        <v>8</v>
      </c>
      <c r="D52" s="194" t="str">
        <f>VLOOKUP(C52,RESUMEN!$C$15:$D$22,2,0)</f>
        <v>CONSORCIO FERREO CONYRAHS</v>
      </c>
      <c r="E52" s="195">
        <f>IF(ISTEXT('VR-PROP'!$AE$108),"DESCARTADO",'VR-PROP'!$AE$107)</f>
        <v>73337598514</v>
      </c>
      <c r="F52" s="195">
        <f>IF(ISTEXT('VR-PROP'!$AE$108),"DESCARTADO",'VR-PROP'!$AE$108)</f>
        <v>72818658085</v>
      </c>
      <c r="G52" s="196">
        <f t="shared" si="1"/>
        <v>7.0760488414538525E-3</v>
      </c>
      <c r="H52" s="197">
        <f t="shared" si="2"/>
        <v>72.818658084999996</v>
      </c>
      <c r="I52" s="198">
        <f t="shared" si="3"/>
        <v>-4.2129052344732409E-2</v>
      </c>
      <c r="J52" s="199">
        <f t="shared" si="0"/>
        <v>58.651178072807404</v>
      </c>
      <c r="K52" s="58"/>
      <c r="L52" s="59"/>
      <c r="M52" s="59"/>
      <c r="N52" s="59"/>
      <c r="O52" s="59"/>
      <c r="P52" s="150"/>
      <c r="Q52" s="151"/>
      <c r="R52" s="151"/>
      <c r="S52" s="151"/>
      <c r="T52" s="151"/>
      <c r="U52" s="151"/>
      <c r="V52" s="183"/>
      <c r="X52" s="183"/>
      <c r="Y52" s="403"/>
      <c r="Z52" s="404"/>
    </row>
    <row r="53" spans="2:26" customFormat="1" ht="5.25" customHeight="1" thickBot="1">
      <c r="P53" s="156"/>
      <c r="Q53" s="157"/>
      <c r="R53" s="151"/>
      <c r="S53" s="151"/>
      <c r="T53" s="151"/>
      <c r="U53" s="151"/>
      <c r="V53" s="27"/>
      <c r="W53" s="185"/>
      <c r="Y53" s="151"/>
      <c r="Z53" s="130"/>
    </row>
    <row r="54" spans="2:26" customFormat="1" ht="15">
      <c r="B54" s="503" t="s">
        <v>61</v>
      </c>
      <c r="C54" s="504"/>
      <c r="D54" s="504"/>
      <c r="E54" s="504"/>
      <c r="F54" s="504"/>
      <c r="G54" s="504"/>
      <c r="H54" s="504"/>
      <c r="I54" s="504"/>
      <c r="J54" s="505"/>
      <c r="P54" s="130"/>
      <c r="Q54" s="157"/>
      <c r="R54" s="151"/>
      <c r="S54" s="151"/>
      <c r="T54" s="151"/>
      <c r="U54" s="151"/>
      <c r="V54" s="187"/>
      <c r="W54" s="185"/>
      <c r="Y54" s="151"/>
      <c r="Z54" s="130"/>
    </row>
    <row r="55" spans="2:26" customFormat="1">
      <c r="B55" s="506" t="s">
        <v>62</v>
      </c>
      <c r="C55" s="507"/>
      <c r="D55" s="507"/>
      <c r="E55" s="507"/>
      <c r="F55" s="507"/>
      <c r="G55" s="507"/>
      <c r="H55" s="507"/>
      <c r="I55" s="507"/>
      <c r="J55" s="322" t="s">
        <v>63</v>
      </c>
      <c r="P55" s="130"/>
      <c r="Q55" s="154"/>
      <c r="R55" s="151"/>
      <c r="S55" s="151"/>
      <c r="T55" s="151"/>
      <c r="U55" s="151"/>
      <c r="V55" s="187"/>
      <c r="W55" s="185"/>
      <c r="Y55" s="151"/>
      <c r="Z55" s="130"/>
    </row>
    <row r="56" spans="2:26" customFormat="1">
      <c r="B56" s="496" t="s">
        <v>64</v>
      </c>
      <c r="C56" s="497"/>
      <c r="D56" s="497"/>
      <c r="E56" s="497"/>
      <c r="F56" s="497"/>
      <c r="G56" s="497"/>
      <c r="H56" s="497"/>
      <c r="I56" s="497"/>
      <c r="J56" s="80">
        <f>COUNTIF(J45:J52,"DESCARTADO")</f>
        <v>0</v>
      </c>
      <c r="N56" s="27"/>
      <c r="O56" s="27"/>
      <c r="P56" s="130"/>
      <c r="Q56" s="154"/>
      <c r="R56" s="151"/>
      <c r="S56" s="151"/>
      <c r="T56" s="151"/>
      <c r="U56" s="151"/>
      <c r="V56" s="187"/>
      <c r="W56" s="185"/>
      <c r="Y56" s="151"/>
      <c r="Z56" s="130"/>
    </row>
    <row r="57" spans="2:26" ht="13.15" customHeight="1">
      <c r="B57" s="496" t="s">
        <v>66</v>
      </c>
      <c r="C57" s="497"/>
      <c r="D57" s="497"/>
      <c r="E57" s="497"/>
      <c r="F57" s="497"/>
      <c r="G57" s="497"/>
      <c r="H57" s="497"/>
      <c r="I57" s="497"/>
      <c r="J57" s="81">
        <f>COUNTIF(F45:F52,"&lt;="&amp;J38)</f>
        <v>3</v>
      </c>
      <c r="K57"/>
      <c r="L57"/>
      <c r="M57"/>
      <c r="R57" s="151"/>
      <c r="S57" s="151"/>
      <c r="T57" s="151"/>
      <c r="U57" s="151"/>
      <c r="Y57" s="151"/>
    </row>
    <row r="58" spans="2:26" ht="13.15" customHeight="1">
      <c r="B58" s="496" t="s">
        <v>65</v>
      </c>
      <c r="C58" s="497"/>
      <c r="D58" s="497"/>
      <c r="E58" s="497"/>
      <c r="F58" s="497"/>
      <c r="G58" s="497"/>
      <c r="H58" s="497"/>
      <c r="I58" s="497"/>
      <c r="J58" s="81">
        <f>COUNTIF(F45:F52,"&gt;"&amp;J38)</f>
        <v>5</v>
      </c>
      <c r="K58"/>
      <c r="L58"/>
      <c r="M58"/>
      <c r="R58" s="151"/>
      <c r="S58" s="151"/>
      <c r="T58" s="151"/>
      <c r="U58" s="151"/>
      <c r="Y58" s="151"/>
    </row>
    <row r="59" spans="2:26" ht="13.15" customHeight="1">
      <c r="B59" s="496" t="s">
        <v>67</v>
      </c>
      <c r="C59" s="497"/>
      <c r="D59" s="497"/>
      <c r="E59" s="497"/>
      <c r="F59" s="497"/>
      <c r="G59" s="497"/>
      <c r="H59" s="497"/>
      <c r="I59" s="497"/>
      <c r="J59" s="82">
        <f>DMIN(I42:J52,1,I63:J64)</f>
        <v>-5.6642555589106913E-2</v>
      </c>
      <c r="K59"/>
      <c r="L59"/>
      <c r="M59"/>
      <c r="N59"/>
      <c r="O59"/>
      <c r="P59" s="130"/>
      <c r="R59" s="151"/>
      <c r="S59" s="151"/>
      <c r="T59" s="151"/>
      <c r="U59" s="151"/>
      <c r="Y59" s="151"/>
    </row>
    <row r="60" spans="2:26" ht="13.9" customHeight="1">
      <c r="B60" s="496" t="s">
        <v>69</v>
      </c>
      <c r="C60" s="497"/>
      <c r="D60" s="497"/>
      <c r="E60" s="497"/>
      <c r="F60" s="497"/>
      <c r="G60" s="497"/>
      <c r="H60" s="497"/>
      <c r="I60" s="497"/>
      <c r="J60" s="86">
        <f>IF(J18=0,"",DGET(C42:J52,1,J63:J64))</f>
        <v>3</v>
      </c>
      <c r="K60"/>
      <c r="L60"/>
      <c r="M60"/>
      <c r="N60"/>
      <c r="O60"/>
      <c r="P60" s="130"/>
      <c r="R60" s="151"/>
      <c r="S60" s="151"/>
      <c r="T60" s="151"/>
      <c r="U60" s="151"/>
      <c r="Y60" s="151"/>
    </row>
    <row r="61" spans="2:26" s="26" customFormat="1" ht="26.25" thickBot="1">
      <c r="B61" s="501" t="s">
        <v>68</v>
      </c>
      <c r="C61" s="502"/>
      <c r="D61" s="502"/>
      <c r="E61" s="502"/>
      <c r="F61" s="502"/>
      <c r="G61" s="502"/>
      <c r="H61" s="502"/>
      <c r="I61" s="502"/>
      <c r="J61" s="83" t="str">
        <f>IF(J18=0,"",DGET(C42:O52,2,J63:J64))</f>
        <v>CONSORCIO SAN FELIPE FERREO</v>
      </c>
      <c r="K61" s="108"/>
      <c r="L61" s="108"/>
      <c r="M61" s="108"/>
      <c r="N61" s="108"/>
      <c r="O61" s="108"/>
      <c r="P61" s="158"/>
      <c r="Q61" s="155"/>
      <c r="R61" s="151"/>
      <c r="S61" s="151"/>
      <c r="T61" s="151"/>
      <c r="U61" s="151"/>
      <c r="W61" s="186"/>
      <c r="Y61" s="151"/>
      <c r="Z61" s="132"/>
    </row>
    <row r="62" spans="2:26" ht="3" hidden="1" customHeight="1" thickBot="1">
      <c r="B62" s="130" t="s">
        <v>117</v>
      </c>
      <c r="C62"/>
      <c r="D62"/>
      <c r="E62"/>
      <c r="F62"/>
      <c r="G62"/>
      <c r="H62"/>
      <c r="J62" s="27"/>
      <c r="K62" s="27"/>
      <c r="L62"/>
      <c r="M62"/>
      <c r="N62"/>
      <c r="O62"/>
      <c r="P62" s="130"/>
      <c r="R62" s="151"/>
      <c r="S62" s="151"/>
      <c r="T62" s="151"/>
      <c r="U62" s="151"/>
      <c r="Y62" s="151"/>
    </row>
    <row r="63" spans="2:26" ht="22.5" hidden="1">
      <c r="B63"/>
      <c r="C63"/>
      <c r="D63"/>
      <c r="E63"/>
      <c r="F63"/>
      <c r="G63"/>
      <c r="H63"/>
      <c r="I63" s="84" t="s">
        <v>30</v>
      </c>
      <c r="J63" s="84" t="s">
        <v>6</v>
      </c>
      <c r="K63" s="27"/>
      <c r="L63"/>
      <c r="M63"/>
      <c r="N63"/>
      <c r="O63"/>
      <c r="P63" s="130"/>
      <c r="R63" s="151"/>
      <c r="S63" s="151"/>
      <c r="T63" s="151"/>
      <c r="U63" s="151"/>
      <c r="Y63" s="151"/>
    </row>
    <row r="64" spans="2:26" ht="13.5" hidden="1" customHeight="1" thickBot="1">
      <c r="B64"/>
      <c r="C64"/>
      <c r="D64"/>
      <c r="E64"/>
      <c r="F64"/>
      <c r="G64"/>
      <c r="H64"/>
      <c r="I64" s="30" t="s">
        <v>17</v>
      </c>
      <c r="J64" s="85">
        <f>MAX(J45:J52)</f>
        <v>59.434426491170129</v>
      </c>
      <c r="K64" s="27"/>
      <c r="L64"/>
      <c r="M64"/>
      <c r="N64"/>
      <c r="O64"/>
      <c r="P64" s="130"/>
      <c r="R64" s="151"/>
      <c r="S64" s="151"/>
      <c r="T64" s="151"/>
      <c r="U64" s="151"/>
      <c r="Y64" s="151"/>
    </row>
    <row r="65" spans="2:25" ht="3.95" customHeight="1">
      <c r="B65" s="187" t="s">
        <v>117</v>
      </c>
      <c r="C65"/>
      <c r="D65"/>
      <c r="E65"/>
      <c r="F65"/>
      <c r="G65"/>
      <c r="H65"/>
      <c r="J65" s="27"/>
      <c r="K65" s="27"/>
      <c r="L65"/>
      <c r="M65"/>
      <c r="N65"/>
      <c r="O65"/>
      <c r="P65" s="130"/>
      <c r="R65" s="151"/>
      <c r="S65" s="151"/>
      <c r="T65" s="151"/>
      <c r="U65" s="151"/>
      <c r="Y65" s="151"/>
    </row>
    <row r="66" spans="2:25" ht="13.5" customHeight="1">
      <c r="B66"/>
      <c r="C66"/>
      <c r="D66"/>
      <c r="E66"/>
      <c r="F66"/>
      <c r="G66"/>
      <c r="H66"/>
      <c r="J66" s="27"/>
      <c r="K66" s="27"/>
      <c r="L66"/>
      <c r="M66"/>
      <c r="N66"/>
      <c r="O66"/>
      <c r="P66" s="130"/>
      <c r="R66" s="151"/>
      <c r="S66" s="151"/>
      <c r="T66" s="151"/>
      <c r="U66" s="151"/>
      <c r="Y66" s="151"/>
    </row>
    <row r="67" spans="2:25" ht="13.5" customHeight="1">
      <c r="B67"/>
      <c r="C67"/>
      <c r="D67"/>
      <c r="E67"/>
      <c r="F67"/>
      <c r="G67"/>
      <c r="H67"/>
      <c r="J67" s="27"/>
      <c r="K67" s="27"/>
      <c r="L67"/>
      <c r="M67"/>
      <c r="N67"/>
      <c r="O67"/>
      <c r="P67" s="130"/>
      <c r="R67" s="151"/>
      <c r="S67" s="151"/>
      <c r="T67" s="151"/>
      <c r="U67" s="151"/>
      <c r="Y67" s="151"/>
    </row>
    <row r="68" spans="2:25" ht="13.5" customHeight="1">
      <c r="B68"/>
      <c r="C68"/>
      <c r="D68"/>
      <c r="E68"/>
      <c r="F68"/>
      <c r="G68"/>
      <c r="H68"/>
      <c r="J68" s="27"/>
      <c r="K68" s="27"/>
      <c r="L68"/>
      <c r="M68"/>
      <c r="N68"/>
      <c r="O68"/>
      <c r="P68" s="130"/>
    </row>
    <row r="69" spans="2:25"/>
    <row r="70" spans="2:25"/>
    <row r="71" spans="2:25"/>
    <row r="72" spans="2:25"/>
    <row r="73" spans="2:25"/>
    <row r="74" spans="2:25"/>
    <row r="75" spans="2:25"/>
    <row r="76" spans="2:25"/>
    <row r="77" spans="2:25"/>
    <row r="78" spans="2:25"/>
    <row r="79" spans="2:25"/>
    <row r="80" spans="2: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sheetData>
  <sheetProtection selectLockedCells="1"/>
  <dataConsolidate/>
  <mergeCells count="46">
    <mergeCell ref="B7:J7"/>
    <mergeCell ref="B9:J9"/>
    <mergeCell ref="B10:J10"/>
    <mergeCell ref="B1:J1"/>
    <mergeCell ref="B2:J2"/>
    <mergeCell ref="B3:J3"/>
    <mergeCell ref="B4:J4"/>
    <mergeCell ref="B5:J5"/>
    <mergeCell ref="B6:J6"/>
    <mergeCell ref="O42:O43"/>
    <mergeCell ref="B25:J25"/>
    <mergeCell ref="B28:J28"/>
    <mergeCell ref="B34:J34"/>
    <mergeCell ref="F38:I38"/>
    <mergeCell ref="N42:N43"/>
    <mergeCell ref="M42:M43"/>
    <mergeCell ref="B41:J41"/>
    <mergeCell ref="K42:K43"/>
    <mergeCell ref="L42:L43"/>
    <mergeCell ref="B33:I33"/>
    <mergeCell ref="B42:B43"/>
    <mergeCell ref="C42:C43"/>
    <mergeCell ref="D42:D43"/>
    <mergeCell ref="B17:J17"/>
    <mergeCell ref="B35:I35"/>
    <mergeCell ref="B38:D38"/>
    <mergeCell ref="B29:I29"/>
    <mergeCell ref="B30:I30"/>
    <mergeCell ref="B31:I31"/>
    <mergeCell ref="B32:J32"/>
    <mergeCell ref="B56:I56"/>
    <mergeCell ref="B26:I26"/>
    <mergeCell ref="B27:I27"/>
    <mergeCell ref="B61:I61"/>
    <mergeCell ref="B60:I60"/>
    <mergeCell ref="B54:J54"/>
    <mergeCell ref="B59:I59"/>
    <mergeCell ref="B55:I55"/>
    <mergeCell ref="B57:I57"/>
    <mergeCell ref="B58:I58"/>
    <mergeCell ref="E12:J12"/>
    <mergeCell ref="E13:H13"/>
    <mergeCell ref="G15:J15"/>
    <mergeCell ref="E15:F15"/>
    <mergeCell ref="B12:C13"/>
    <mergeCell ref="B14:C15"/>
  </mergeCells>
  <conditionalFormatting sqref="B45:J52">
    <cfRule type="expression" dxfId="26" priority="23" stopIfTrue="1">
      <formula>MOD(ROW(),2)</formula>
    </cfRule>
  </conditionalFormatting>
  <conditionalFormatting sqref="E45:I52">
    <cfRule type="cellIs" dxfId="25" priority="22" stopIfTrue="1" operator="equal">
      <formula>"NO ADMISIBLE"</formula>
    </cfRule>
  </conditionalFormatting>
  <conditionalFormatting sqref="E45:I52">
    <cfRule type="cellIs" dxfId="24" priority="21" stopIfTrue="1" operator="equal">
      <formula>"DESCARTADO"</formula>
    </cfRule>
  </conditionalFormatting>
  <conditionalFormatting sqref="F38:J38">
    <cfRule type="expression" dxfId="23" priority="1">
      <formula>$F$38="MENOR VALOR"</formula>
    </cfRule>
    <cfRule type="expression" dxfId="22" priority="2">
      <formula>$F$38="MEDIA ARITMÉTICA BAJA"</formula>
    </cfRule>
    <cfRule type="expression" dxfId="21" priority="3">
      <formula>$F$38="MEDIA GEOMÉTRICA"</formula>
    </cfRule>
    <cfRule type="expression" dxfId="20" priority="4">
      <formula>$F$38="MEDIANA CON VALOR ABSOLUTO"</formula>
    </cfRule>
  </conditionalFormatting>
  <dataValidations count="2">
    <dataValidation type="list" allowBlank="1" showInputMessage="1" showErrorMessage="1" sqref="Q16 D15" xr:uid="{00000000-0002-0000-0300-000000000000}">
      <formula1>METEVA</formula1>
    </dataValidation>
    <dataValidation type="whole" allowBlank="1" showInputMessage="1" showErrorMessage="1" errorTitle="ERROR" error="&quot;EL NUMERO DE MODULO ESTA POR FUERA DEL RANGO&quot;" sqref="B14:C15" xr:uid="{00000000-0002-0000-0300-000001000000}">
      <formula1>1</formula1>
      <formula2>D13</formula2>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8" min="1" max="6" man="1"/>
  </rowBreaks>
  <ignoredErrors>
    <ignoredError sqref="J19" unlockedFormula="1"/>
  </ignoredError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2" tint="-0.749992370372631"/>
  </sheetPr>
  <dimension ref="A1:AB292"/>
  <sheetViews>
    <sheetView showGridLines="0" tabSelected="1" topLeftCell="A13" zoomScale="120" zoomScaleNormal="120" zoomScaleSheetLayoutView="100" workbookViewId="0">
      <selection activeCell="A16" sqref="A16"/>
    </sheetView>
  </sheetViews>
  <sheetFormatPr baseColWidth="10" defaultColWidth="0" defaultRowHeight="15" zeroHeight="1"/>
  <cols>
    <col min="1" max="1" width="2.7109375" style="2" customWidth="1"/>
    <col min="2" max="2" width="10.28515625" style="2" bestFit="1" customWidth="1"/>
    <col min="3" max="3" width="10.28515625" style="2" customWidth="1"/>
    <col min="4" max="4" width="37.85546875" style="2" bestFit="1" customWidth="1"/>
    <col min="5" max="5" width="17.42578125" style="2" hidden="1" customWidth="1"/>
    <col min="6" max="6" width="16" style="2" bestFit="1" customWidth="1"/>
    <col min="7" max="7" width="16" style="2" hidden="1" customWidth="1"/>
    <col min="8" max="8" width="15.28515625" style="2" hidden="1" customWidth="1"/>
    <col min="9" max="9" width="12.28515625" style="2" customWidth="1"/>
    <col min="10" max="11" width="11.85546875" style="2" customWidth="1"/>
    <col min="12" max="12" width="17.7109375" style="2" customWidth="1"/>
    <col min="13" max="14" width="11.85546875" style="2" customWidth="1"/>
    <col min="15" max="15" width="15.28515625" style="314" hidden="1" customWidth="1"/>
    <col min="16" max="16" width="12.85546875" style="2" customWidth="1"/>
    <col min="17" max="17" width="11.42578125" style="2" hidden="1" customWidth="1"/>
    <col min="18" max="18" width="3" style="2" hidden="1" customWidth="1"/>
    <col min="19" max="19" width="3.42578125" style="2" customWidth="1"/>
    <col min="20" max="20" width="3.28515625" style="3" hidden="1" customWidth="1"/>
    <col min="21" max="21" width="9.28515625" style="3" bestFit="1" customWidth="1"/>
    <col min="22" max="22" width="62.42578125" style="2" customWidth="1"/>
    <col min="23" max="23" width="20" style="2" customWidth="1"/>
    <col min="24" max="24" width="20.140625" style="2" bestFit="1" customWidth="1"/>
    <col min="25" max="25" width="5.28515625" style="2" customWidth="1"/>
    <col min="26" max="26" width="11.42578125" style="138" customWidth="1"/>
    <col min="27" max="28" width="0" style="2" hidden="1" customWidth="1"/>
    <col min="29" max="16384" width="11.42578125" style="2" hidden="1"/>
  </cols>
  <sheetData>
    <row r="1" spans="2:24" ht="18">
      <c r="B1" s="444" t="str">
        <f>RESUMEN!B1</f>
        <v>AGENCIA NACIONAL DE INFRAESTRUCTURA</v>
      </c>
      <c r="C1" s="444"/>
      <c r="D1" s="444"/>
      <c r="E1" s="444"/>
      <c r="F1" s="444"/>
      <c r="G1" s="444"/>
      <c r="H1" s="444"/>
      <c r="I1" s="444"/>
      <c r="J1" s="444"/>
      <c r="K1" s="444"/>
      <c r="L1" s="444"/>
      <c r="M1" s="444"/>
      <c r="N1" s="444"/>
      <c r="O1" s="444"/>
      <c r="P1" s="444"/>
      <c r="Q1" s="1"/>
      <c r="U1" s="444" t="str">
        <f t="shared" ref="U1:U8" si="0">B1</f>
        <v>AGENCIA NACIONAL DE INFRAESTRUCTURA</v>
      </c>
      <c r="V1" s="444"/>
      <c r="W1" s="444"/>
      <c r="X1" s="444"/>
    </row>
    <row r="2" spans="2:24" ht="15.75">
      <c r="B2" s="445" t="str">
        <f>RESUMEN!B2</f>
        <v>VICEPRESIDENCIA JURIDICA</v>
      </c>
      <c r="C2" s="445"/>
      <c r="D2" s="445"/>
      <c r="E2" s="445"/>
      <c r="F2" s="445"/>
      <c r="G2" s="445"/>
      <c r="H2" s="445"/>
      <c r="I2" s="445"/>
      <c r="J2" s="445"/>
      <c r="K2" s="445"/>
      <c r="L2" s="445"/>
      <c r="M2" s="445"/>
      <c r="N2" s="445"/>
      <c r="O2" s="445"/>
      <c r="P2" s="445"/>
      <c r="Q2" s="4"/>
      <c r="U2" s="445" t="str">
        <f t="shared" si="0"/>
        <v>VICEPRESIDENCIA JURIDICA</v>
      </c>
      <c r="V2" s="445"/>
      <c r="W2" s="445"/>
      <c r="X2" s="445"/>
    </row>
    <row r="3" spans="2:24" ht="12.75">
      <c r="B3" s="445" t="str">
        <f>RESUMEN!B3</f>
        <v>GIT DE CONTRATACIÓN</v>
      </c>
      <c r="C3" s="445"/>
      <c r="D3" s="445"/>
      <c r="E3" s="445"/>
      <c r="F3" s="445"/>
      <c r="G3" s="445"/>
      <c r="H3" s="445"/>
      <c r="I3" s="445"/>
      <c r="J3" s="445"/>
      <c r="K3" s="445"/>
      <c r="L3" s="445"/>
      <c r="M3" s="445"/>
      <c r="N3" s="445"/>
      <c r="O3" s="445"/>
      <c r="P3" s="445"/>
      <c r="Q3" s="5"/>
      <c r="U3" s="445" t="str">
        <f t="shared" si="0"/>
        <v>GIT DE CONTRATACIÓN</v>
      </c>
      <c r="V3" s="445"/>
      <c r="W3" s="445"/>
      <c r="X3" s="445"/>
    </row>
    <row r="4" spans="2:24" ht="12.75">
      <c r="B4" s="445"/>
      <c r="C4" s="445"/>
      <c r="D4" s="445"/>
      <c r="E4" s="445"/>
      <c r="F4" s="445"/>
      <c r="G4" s="445"/>
      <c r="H4" s="445"/>
      <c r="I4" s="445"/>
      <c r="J4" s="445"/>
      <c r="K4" s="445"/>
      <c r="L4" s="445"/>
      <c r="M4" s="445"/>
      <c r="N4" s="445"/>
      <c r="O4" s="445"/>
      <c r="P4" s="445"/>
      <c r="Q4" s="5"/>
      <c r="U4" s="445"/>
      <c r="V4" s="445"/>
      <c r="W4" s="445"/>
      <c r="X4" s="445"/>
    </row>
    <row r="5" spans="2:24" ht="12.75">
      <c r="B5" s="445" t="str">
        <f>RESUMEN!B4</f>
        <v>LICITACIÓN PÚBLICA VJ-VE-LP-001-2023</v>
      </c>
      <c r="C5" s="445"/>
      <c r="D5" s="445"/>
      <c r="E5" s="445"/>
      <c r="F5" s="445"/>
      <c r="G5" s="445"/>
      <c r="H5" s="445"/>
      <c r="I5" s="445"/>
      <c r="J5" s="445"/>
      <c r="K5" s="445"/>
      <c r="L5" s="445"/>
      <c r="M5" s="445"/>
      <c r="N5" s="445"/>
      <c r="O5" s="445"/>
      <c r="P5" s="445"/>
      <c r="Q5" s="5"/>
      <c r="U5" s="445" t="str">
        <f t="shared" si="0"/>
        <v>LICITACIÓN PÚBLICA VJ-VE-LP-001-2023</v>
      </c>
      <c r="V5" s="445"/>
      <c r="W5" s="445"/>
      <c r="X5" s="445"/>
    </row>
    <row r="6" spans="2:24" ht="16.5" customHeight="1">
      <c r="B6" s="537"/>
      <c r="C6" s="537"/>
      <c r="D6" s="537"/>
      <c r="E6" s="537"/>
      <c r="F6" s="537"/>
      <c r="G6" s="537"/>
      <c r="H6" s="537"/>
      <c r="I6" s="537"/>
      <c r="J6" s="537"/>
      <c r="K6" s="537"/>
      <c r="L6" s="537"/>
      <c r="M6" s="537"/>
      <c r="N6" s="537"/>
      <c r="O6" s="537"/>
      <c r="P6" s="537"/>
      <c r="Q6" s="5"/>
      <c r="U6" s="32"/>
      <c r="V6" s="5"/>
      <c r="W6" s="5"/>
      <c r="X6" s="5"/>
    </row>
    <row r="7" spans="2:24" ht="74.25" customHeight="1">
      <c r="B7" s="445" t="str">
        <f>RESUMEN!B6</f>
        <v>OBJETO: “EL CONTRATISTA SE OBLIGA CON LA AGENCIA NACIONAL DE INFRAESTRUCTURA A EJECUTAR LAS ACTIVIDADES DE MANTENIMIENTO, CONSERVACIÓN Y MEJORAMIENTO DE LA INFRAESTRUCTURA ENTREGADA Y QUE HACE PARTE DEL CORREDOR LA DORADA (CALDAS) - CHIRIGUANA (CESAR) Y RAMALES INCLUIDOS EN LOS ANEXOS TÉCNICOS, ASÍ COMO EL CONTROL Y MANTENIMIENTO DE MATERIAL RODANTE Y ATENCIÓN DE EMERGENCIAS QUE ALTEREN DE ALGUNA MANERA LAS OPERACIONES FERROVIARIAS EN EL CORREDOR FERROVIARIO, Y DEMÁS ACTIVIDADES CONSAGRADAS EN LOS ANEXOS"</v>
      </c>
      <c r="C7" s="445"/>
      <c r="D7" s="445"/>
      <c r="E7" s="445"/>
      <c r="F7" s="445"/>
      <c r="G7" s="445"/>
      <c r="H7" s="445"/>
      <c r="I7" s="445"/>
      <c r="J7" s="445"/>
      <c r="K7" s="445"/>
      <c r="L7" s="445"/>
      <c r="M7" s="445"/>
      <c r="N7" s="445"/>
      <c r="O7" s="445"/>
      <c r="P7" s="445"/>
      <c r="Q7" s="6"/>
      <c r="U7" s="445" t="str">
        <f t="shared" si="0"/>
        <v>OBJETO: “EL CONTRATISTA SE OBLIGA CON LA AGENCIA NACIONAL DE INFRAESTRUCTURA A EJECUTAR LAS ACTIVIDADES DE MANTENIMIENTO, CONSERVACIÓN Y MEJORAMIENTO DE LA INFRAESTRUCTURA ENTREGADA Y QUE HACE PARTE DEL CORREDOR LA DORADA (CALDAS) - CHIRIGUANA (CESAR) Y RAMALES INCLUIDOS EN LOS ANEXOS TÉCNICOS, ASÍ COMO EL CONTROL Y MANTENIMIENTO DE MATERIAL RODANTE Y ATENCIÓN DE EMERGENCIAS QUE ALTEREN DE ALGUNA MANERA LAS OPERACIONES FERROVIARIAS EN EL CORREDOR FERROVIARIO, Y DEMÁS ACTIVIDADES CONSAGRADAS EN LOS ANEXOS"</v>
      </c>
      <c r="V7" s="445"/>
      <c r="W7" s="445"/>
      <c r="X7" s="445"/>
    </row>
    <row r="8" spans="2:24" ht="12.75">
      <c r="B8" s="32" t="str">
        <f>IF(RESUMEN!B7="","",RESUMEN!B7)</f>
        <v/>
      </c>
      <c r="C8" s="32"/>
      <c r="D8" s="6"/>
      <c r="E8" s="6"/>
      <c r="F8" s="6"/>
      <c r="G8" s="6"/>
      <c r="H8" s="6"/>
      <c r="I8" s="6"/>
      <c r="J8" s="6"/>
      <c r="K8" s="6"/>
      <c r="L8" s="6"/>
      <c r="M8" s="6"/>
      <c r="N8" s="6"/>
      <c r="O8" s="313"/>
      <c r="P8" s="6"/>
      <c r="Q8" s="6"/>
      <c r="U8" s="32" t="str">
        <f t="shared" si="0"/>
        <v/>
      </c>
      <c r="V8" s="5"/>
      <c r="W8" s="5"/>
      <c r="X8" s="5"/>
    </row>
    <row r="9" spans="2:24" ht="12.75">
      <c r="B9" s="436" t="s">
        <v>32</v>
      </c>
      <c r="C9" s="436"/>
      <c r="D9" s="436"/>
      <c r="E9" s="436"/>
      <c r="F9" s="436"/>
      <c r="G9" s="436"/>
      <c r="H9" s="436"/>
      <c r="I9" s="436"/>
      <c r="J9" s="436"/>
      <c r="K9" s="436"/>
      <c r="L9" s="436"/>
      <c r="M9" s="436"/>
      <c r="N9" s="436"/>
      <c r="O9" s="436"/>
      <c r="P9" s="436"/>
      <c r="Q9" s="7"/>
      <c r="U9" s="32"/>
      <c r="V9" s="5"/>
      <c r="W9" s="5"/>
      <c r="X9" s="5"/>
    </row>
    <row r="10" spans="2:24" ht="12.75">
      <c r="B10" s="445" t="s">
        <v>34</v>
      </c>
      <c r="C10" s="445"/>
      <c r="D10" s="445"/>
      <c r="E10" s="445"/>
      <c r="F10" s="445"/>
      <c r="G10" s="445"/>
      <c r="H10" s="445"/>
      <c r="I10" s="445"/>
      <c r="J10" s="445"/>
      <c r="K10" s="445"/>
      <c r="L10" s="445"/>
      <c r="M10" s="445"/>
      <c r="N10" s="445"/>
      <c r="O10" s="445"/>
      <c r="P10" s="445"/>
      <c r="Q10" s="7"/>
      <c r="U10" s="445"/>
      <c r="V10" s="445"/>
      <c r="W10" s="445"/>
      <c r="X10" s="445"/>
    </row>
    <row r="11" spans="2:24" ht="13.5" thickBot="1">
      <c r="B11" s="7"/>
      <c r="C11" s="7"/>
      <c r="D11" s="7"/>
      <c r="E11" s="7"/>
      <c r="F11" s="7"/>
      <c r="G11" s="7"/>
      <c r="H11" s="7"/>
      <c r="I11" s="90"/>
      <c r="J11" s="7"/>
      <c r="K11" s="7"/>
      <c r="L11" s="7"/>
      <c r="M11" s="7"/>
      <c r="N11" s="7"/>
      <c r="O11" s="7"/>
      <c r="P11" s="7" t="s">
        <v>5</v>
      </c>
      <c r="Q11" s="7"/>
      <c r="T11" s="546" t="s">
        <v>11</v>
      </c>
    </row>
    <row r="12" spans="2:24" ht="24.75" customHeight="1" thickTop="1">
      <c r="B12" s="541" t="s">
        <v>39</v>
      </c>
      <c r="C12" s="538" t="s">
        <v>33</v>
      </c>
      <c r="D12" s="538" t="s">
        <v>7</v>
      </c>
      <c r="E12" s="538" t="s">
        <v>102</v>
      </c>
      <c r="F12" s="538" t="s">
        <v>101</v>
      </c>
      <c r="G12" s="555" t="s">
        <v>103</v>
      </c>
      <c r="H12" s="555" t="s">
        <v>30</v>
      </c>
      <c r="I12" s="562" t="s">
        <v>20</v>
      </c>
      <c r="J12" s="563"/>
      <c r="K12" s="563"/>
      <c r="L12" s="563"/>
      <c r="M12" s="563"/>
      <c r="N12" s="563"/>
      <c r="O12" s="564"/>
      <c r="P12" s="560" t="s">
        <v>36</v>
      </c>
      <c r="Q12" s="557" t="s">
        <v>37</v>
      </c>
      <c r="T12" s="546"/>
      <c r="U12" s="547" t="s">
        <v>38</v>
      </c>
      <c r="V12" s="548"/>
      <c r="W12" s="549"/>
      <c r="X12" s="550"/>
    </row>
    <row r="13" spans="2:24" ht="52.5" customHeight="1">
      <c r="B13" s="542"/>
      <c r="C13" s="539"/>
      <c r="D13" s="539"/>
      <c r="E13" s="539"/>
      <c r="F13" s="539"/>
      <c r="G13" s="556"/>
      <c r="H13" s="556"/>
      <c r="I13" s="361" t="s">
        <v>35</v>
      </c>
      <c r="J13" s="362" t="s">
        <v>70</v>
      </c>
      <c r="K13" s="361" t="s">
        <v>159</v>
      </c>
      <c r="L13" s="361" t="s">
        <v>107</v>
      </c>
      <c r="M13" s="362" t="s">
        <v>160</v>
      </c>
      <c r="N13" s="361" t="s">
        <v>161</v>
      </c>
      <c r="O13" s="363" t="s">
        <v>153</v>
      </c>
      <c r="P13" s="561"/>
      <c r="Q13" s="558"/>
      <c r="T13" s="546"/>
      <c r="U13" s="551">
        <f ca="1">VLOOKUP(V16,D16:F23,3,FALSE)</f>
        <v>71715321740</v>
      </c>
      <c r="V13" s="552"/>
      <c r="W13" s="553"/>
      <c r="X13" s="554"/>
    </row>
    <row r="14" spans="2:24">
      <c r="B14" s="543"/>
      <c r="C14" s="540"/>
      <c r="D14" s="540"/>
      <c r="E14" s="364" t="s">
        <v>29</v>
      </c>
      <c r="F14" s="364" t="s">
        <v>29</v>
      </c>
      <c r="G14" s="365" t="s">
        <v>16</v>
      </c>
      <c r="H14" s="365" t="s">
        <v>16</v>
      </c>
      <c r="I14" s="366">
        <v>59.5</v>
      </c>
      <c r="J14" s="366">
        <v>20</v>
      </c>
      <c r="K14" s="366">
        <v>19</v>
      </c>
      <c r="L14" s="367">
        <v>1</v>
      </c>
      <c r="M14" s="366">
        <v>0.25</v>
      </c>
      <c r="N14" s="366">
        <v>0.25</v>
      </c>
      <c r="O14" s="367" t="s">
        <v>152</v>
      </c>
      <c r="P14" s="368">
        <f>SUM(I14:O14)</f>
        <v>100</v>
      </c>
      <c r="Q14" s="559"/>
      <c r="T14" s="546"/>
      <c r="U14" s="323" t="s">
        <v>77</v>
      </c>
      <c r="V14" s="324" t="s">
        <v>7</v>
      </c>
      <c r="W14" s="325" t="s">
        <v>76</v>
      </c>
      <c r="X14" s="326" t="s">
        <v>6</v>
      </c>
    </row>
    <row r="15" spans="2:24" ht="5.25" customHeight="1">
      <c r="B15" s="96"/>
      <c r="C15" s="91"/>
      <c r="D15" s="92"/>
      <c r="E15" s="92"/>
      <c r="F15" s="93"/>
      <c r="G15" s="94"/>
      <c r="H15" s="94"/>
      <c r="I15" s="95"/>
      <c r="J15" s="95"/>
      <c r="K15" s="95"/>
      <c r="L15" s="95"/>
      <c r="M15" s="95"/>
      <c r="N15" s="95"/>
      <c r="O15" s="315"/>
      <c r="P15" s="140"/>
      <c r="Q15" s="97"/>
      <c r="U15" s="104"/>
      <c r="V15" s="103"/>
      <c r="W15" s="103"/>
      <c r="X15" s="105"/>
    </row>
    <row r="16" spans="2:24" ht="18">
      <c r="B16" s="98">
        <v>1</v>
      </c>
      <c r="C16" s="99">
        <f>RESUMEN!C15</f>
        <v>1</v>
      </c>
      <c r="D16" s="79" t="str">
        <f>VLOOKUP(C16,RESUMEN!$C$15:$D$22,2,0)</f>
        <v>CONSORCIO CORREDORES FERREOS SI</v>
      </c>
      <c r="E16" s="100">
        <f>VLOOKUP(C16,FORMULA!$C$45:$J$52,3,0)</f>
        <v>72050425401</v>
      </c>
      <c r="F16" s="100">
        <f>VLOOKUP(C16,FORMULA!$C$45:$J$52,4,0)</f>
        <v>71550545338</v>
      </c>
      <c r="G16" s="134">
        <f>VLOOKUP(C16,FORMULA!$C$45:$J$52,5,0)</f>
        <v>6.9379196613745808E-3</v>
      </c>
      <c r="H16" s="134">
        <f>VLOOKUP(C16,FORMULA!$C$45:$J$52,7,0)</f>
        <v>-5.8810056782973019E-2</v>
      </c>
      <c r="I16" s="123">
        <f>VLOOKUP(C16,FORMULA!$C$45:$J$52,8,0)</f>
        <v>59.297867235567068</v>
      </c>
      <c r="J16" s="101">
        <f>VLOOKUP($C16,RESUMEN!$C$15:$K$22,4,FALSE)</f>
        <v>20</v>
      </c>
      <c r="K16" s="101">
        <f>VLOOKUP($C16,RESUMEN!$C$15:$K$22,5,FALSE)</f>
        <v>19</v>
      </c>
      <c r="L16" s="101">
        <f>VLOOKUP($C16,RESUMEN!$C$15:$K$22,6,FALSE)</f>
        <v>1</v>
      </c>
      <c r="M16" s="101">
        <f>VLOOKUP($C16,RESUMEN!$C$15:$K$22,7,FALSE)</f>
        <v>0.25</v>
      </c>
      <c r="N16" s="101">
        <f>VLOOKUP($C16,RESUMEN!$C$15:$K$22,8,FALSE)</f>
        <v>0.25</v>
      </c>
      <c r="O16" s="316">
        <f>IF(ISNUMBER(D16),"",VLOOKUP(C16,RESUMEN!$C$15:$K$25,9,FALSE))</f>
        <v>0</v>
      </c>
      <c r="P16" s="152">
        <f>IF(F16="DESCARTADO",-Q16,SUM(I16:O16,-Q16))</f>
        <v>99.797867234567065</v>
      </c>
      <c r="Q16" s="102">
        <v>1.0000000000000001E-9</v>
      </c>
      <c r="R16" s="119">
        <f>C16</f>
        <v>1</v>
      </c>
      <c r="T16" s="51">
        <f t="shared" ref="T16:T23" si="1">RANK(P16,$P$16:$P$23,0)</f>
        <v>3</v>
      </c>
      <c r="U16" s="106">
        <v>1</v>
      </c>
      <c r="V16" s="107" t="str">
        <f t="shared" ref="V16:V23" ca="1" si="2">IF(U16="","",OFFSET($D$15,MATCH(B16,$T$16:$T$23,0),0))</f>
        <v>CONSORCIO SAN FELIPE FERREO</v>
      </c>
      <c r="W16" s="120">
        <f t="shared" ref="W16:W23" ca="1" si="3">IF(V16="","",VLOOKUP(V16,$D$16:$R$23,15,FALSE))</f>
        <v>3</v>
      </c>
      <c r="X16" s="122">
        <f t="shared" ref="X16:X23" ca="1" si="4">IF(V16="","",VLOOKUP(V16,$D$16:$P$23,13,FALSE))</f>
        <v>99.934426489970136</v>
      </c>
    </row>
    <row r="17" spans="2:24" ht="18">
      <c r="B17" s="98">
        <v>2</v>
      </c>
      <c r="C17" s="99">
        <f>RESUMEN!C16</f>
        <v>2</v>
      </c>
      <c r="D17" s="79" t="str">
        <f>VLOOKUP(C17,RESUMEN!$C$15:$D$22,2,0)</f>
        <v>CONSORCIO FERREO CHIRIGUANA</v>
      </c>
      <c r="E17" s="100">
        <f>VLOOKUP(C17,FORMULA!$C$45:$J$52,3,0)</f>
        <v>72436437440</v>
      </c>
      <c r="F17" s="100">
        <f>VLOOKUP(C17,FORMULA!$C$45:$J$52,4,0)</f>
        <v>71961637671</v>
      </c>
      <c r="G17" s="134">
        <f>VLOOKUP(C17,FORMULA!$C$45:$J$52,5,0)</f>
        <v>6.5547090080635417E-3</v>
      </c>
      <c r="H17" s="134">
        <f>VLOOKUP(C17,FORMULA!$C$45:$J$52,7,0)</f>
        <v>-5.3402467396680309E-2</v>
      </c>
      <c r="I17" s="123">
        <f>VLOOKUP(C17,FORMULA!$C$45:$J$52,8,0)</f>
        <v>59.361437966529742</v>
      </c>
      <c r="J17" s="101">
        <f>VLOOKUP($C17,RESUMEN!$C$15:$K$22,4,FALSE)</f>
        <v>20</v>
      </c>
      <c r="K17" s="101">
        <f>VLOOKUP($C17,RESUMEN!$C$15:$K$22,5,FALSE)</f>
        <v>19</v>
      </c>
      <c r="L17" s="101">
        <f>VLOOKUP($C17,RESUMEN!$C$15:$K$22,6,FALSE)</f>
        <v>1</v>
      </c>
      <c r="M17" s="101">
        <f>VLOOKUP($C17,RESUMEN!$C$15:$K$22,7,FALSE)</f>
        <v>0.25</v>
      </c>
      <c r="N17" s="101">
        <f>VLOOKUP($C17,RESUMEN!$C$15:$K$22,8,FALSE)</f>
        <v>0.25</v>
      </c>
      <c r="O17" s="316">
        <f>IF(ISNUMBER(D17),"",VLOOKUP(C17,RESUMEN!$C$15:$K$25,9,FALSE))</f>
        <v>0</v>
      </c>
      <c r="P17" s="152">
        <f t="shared" ref="P17:P23" si="5">IF(F17="DESCARTADO",-Q17,SUM(I17:O17,-Q17))</f>
        <v>99.86143796542973</v>
      </c>
      <c r="Q17" s="102">
        <v>1.0999999999999999E-9</v>
      </c>
      <c r="R17" s="119">
        <f t="shared" ref="R17:R23" si="6">C17</f>
        <v>2</v>
      </c>
      <c r="T17" s="51">
        <f t="shared" si="1"/>
        <v>2</v>
      </c>
      <c r="U17" s="106">
        <v>2</v>
      </c>
      <c r="V17" s="107" t="str">
        <f t="shared" ca="1" si="2"/>
        <v>CONSORCIO FERREO CHIRIGUANA</v>
      </c>
      <c r="W17" s="120">
        <f t="shared" ca="1" si="3"/>
        <v>2</v>
      </c>
      <c r="X17" s="122">
        <f t="shared" ca="1" si="4"/>
        <v>99.86143796542973</v>
      </c>
    </row>
    <row r="18" spans="2:24" ht="18">
      <c r="B18" s="98">
        <v>3</v>
      </c>
      <c r="C18" s="99">
        <f>RESUMEN!C17</f>
        <v>3</v>
      </c>
      <c r="D18" s="79" t="str">
        <f>VLOOKUP(C18,RESUMEN!$C$15:$D$22,2,0)</f>
        <v>CONSORCIO SAN FELIPE FERREO</v>
      </c>
      <c r="E18" s="100">
        <f>VLOOKUP(C18,FORMULA!$C$45:$J$52,3,0)</f>
        <v>72174558490</v>
      </c>
      <c r="F18" s="100">
        <f>VLOOKUP(C18,FORMULA!$C$45:$J$52,4,0)</f>
        <v>71715321740</v>
      </c>
      <c r="G18" s="134">
        <f>VLOOKUP(C18,FORMULA!$C$45:$J$52,5,0)</f>
        <v>6.3628619226486771E-3</v>
      </c>
      <c r="H18" s="134">
        <f>VLOOKUP(C18,FORMULA!$C$45:$J$52,7,0)</f>
        <v>-5.6642555589106913E-2</v>
      </c>
      <c r="I18" s="123">
        <f>VLOOKUP(C18,FORMULA!$C$45:$J$52,8,0)</f>
        <v>59.434426491170129</v>
      </c>
      <c r="J18" s="101">
        <f>VLOOKUP($C18,RESUMEN!$C$15:$K$22,4,FALSE)</f>
        <v>20</v>
      </c>
      <c r="K18" s="101">
        <f>VLOOKUP($C18,RESUMEN!$C$15:$K$22,5,FALSE)</f>
        <v>19</v>
      </c>
      <c r="L18" s="101">
        <f>VLOOKUP($C18,RESUMEN!$C$15:$K$22,6,FALSE)</f>
        <v>1</v>
      </c>
      <c r="M18" s="101">
        <f>VLOOKUP($C18,RESUMEN!$C$15:$K$22,7,FALSE)</f>
        <v>0.25</v>
      </c>
      <c r="N18" s="101">
        <f>VLOOKUP($C18,RESUMEN!$C$15:$K$22,8,FALSE)</f>
        <v>0.25</v>
      </c>
      <c r="O18" s="316">
        <f>IF(ISNUMBER(D18),"",VLOOKUP(C18,RESUMEN!$C$15:$K$25,9,FALSE))</f>
        <v>0</v>
      </c>
      <c r="P18" s="152">
        <f t="shared" si="5"/>
        <v>99.934426489970136</v>
      </c>
      <c r="Q18" s="102">
        <v>1.2E-9</v>
      </c>
      <c r="R18" s="119">
        <f t="shared" si="6"/>
        <v>3</v>
      </c>
      <c r="T18" s="51">
        <f t="shared" si="1"/>
        <v>1</v>
      </c>
      <c r="U18" s="106">
        <v>3</v>
      </c>
      <c r="V18" s="107" t="str">
        <f t="shared" ca="1" si="2"/>
        <v>CONSORCIO CORREDORES FERREOS SI</v>
      </c>
      <c r="W18" s="120">
        <f t="shared" ca="1" si="3"/>
        <v>1</v>
      </c>
      <c r="X18" s="122">
        <f t="shared" ca="1" si="4"/>
        <v>99.797867234567065</v>
      </c>
    </row>
    <row r="19" spans="2:24" ht="18">
      <c r="B19" s="98">
        <v>4</v>
      </c>
      <c r="C19" s="99">
        <f>RESUMEN!C18</f>
        <v>4</v>
      </c>
      <c r="D19" s="79" t="str">
        <f>VLOOKUP(C19,RESUMEN!$C$15:$D$22,2,0)</f>
        <v>CONSORCIO FERROVIARIO RYC</v>
      </c>
      <c r="E19" s="100">
        <f>VLOOKUP(C19,FORMULA!$C$45:$J$52,3,0)</f>
        <v>73074278453</v>
      </c>
      <c r="F19" s="100">
        <f>VLOOKUP(C19,FORMULA!$C$45:$J$52,4,0)</f>
        <v>72564015217</v>
      </c>
      <c r="G19" s="134">
        <f>VLOOKUP(C19,FORMULA!$C$45:$J$52,5,0)</f>
        <v>6.9828022500173503E-3</v>
      </c>
      <c r="H19" s="134">
        <f>VLOOKUP(C19,FORMULA!$C$45:$J$52,7,0)</f>
        <v>-4.5478674703882449E-2</v>
      </c>
      <c r="I19" s="123">
        <f>VLOOKUP(C19,FORMULA!$C$45:$J$52,8,0)</f>
        <v>58.862214605203043</v>
      </c>
      <c r="J19" s="101">
        <f>VLOOKUP($C19,RESUMEN!$C$15:$K$22,4,FALSE)</f>
        <v>20</v>
      </c>
      <c r="K19" s="101">
        <f>VLOOKUP($C19,RESUMEN!$C$15:$K$22,5,FALSE)</f>
        <v>19</v>
      </c>
      <c r="L19" s="101">
        <f>VLOOKUP($C19,RESUMEN!$C$15:$K$22,6,FALSE)</f>
        <v>1</v>
      </c>
      <c r="M19" s="101">
        <f>VLOOKUP($C19,RESUMEN!$C$15:$K$22,7,FALSE)</f>
        <v>0.25</v>
      </c>
      <c r="N19" s="101">
        <f>VLOOKUP($C19,RESUMEN!$C$15:$K$22,8,FALSE)</f>
        <v>0.25</v>
      </c>
      <c r="O19" s="316">
        <f>IF(ISNUMBER(D19),"",VLOOKUP(C19,RESUMEN!$C$15:$K$25,9,FALSE))</f>
        <v>0</v>
      </c>
      <c r="P19" s="152">
        <f t="shared" si="5"/>
        <v>99.362214603903041</v>
      </c>
      <c r="Q19" s="102">
        <v>1.3000000000000001E-9</v>
      </c>
      <c r="R19" s="119">
        <f t="shared" si="6"/>
        <v>4</v>
      </c>
      <c r="T19" s="51">
        <f t="shared" si="1"/>
        <v>5</v>
      </c>
      <c r="U19" s="106">
        <v>4</v>
      </c>
      <c r="V19" s="107" t="str">
        <f t="shared" ca="1" si="2"/>
        <v>CONSORCIO INGED</v>
      </c>
      <c r="W19" s="120">
        <f t="shared" ca="1" si="3"/>
        <v>5</v>
      </c>
      <c r="X19" s="122">
        <f t="shared" ca="1" si="4"/>
        <v>99.694579266828185</v>
      </c>
    </row>
    <row r="20" spans="2:24" ht="18">
      <c r="B20" s="98">
        <v>5</v>
      </c>
      <c r="C20" s="99">
        <f>RESUMEN!C19</f>
        <v>5</v>
      </c>
      <c r="D20" s="79" t="str">
        <f>VLOOKUP(C20,RESUMEN!$C$15:$D$22,2,0)</f>
        <v>CONSORCIO INGED</v>
      </c>
      <c r="E20" s="100">
        <f>VLOOKUP(C20,FORMULA!$C$45:$J$52,3,0)</f>
        <v>71425915048</v>
      </c>
      <c r="F20" s="100">
        <f>VLOOKUP(C20,FORMULA!$C$45:$J$52,4,0)</f>
        <v>71425915048</v>
      </c>
      <c r="G20" s="134">
        <f>VLOOKUP(C20,FORMULA!$C$45:$J$52,5,0)</f>
        <v>0</v>
      </c>
      <c r="H20" s="134">
        <f>VLOOKUP(C20,FORMULA!$C$45:$J$52,7,0)</f>
        <v>-6.044946812518015E-2</v>
      </c>
      <c r="I20" s="123">
        <f>VLOOKUP(C20,FORMULA!$C$45:$J$52,8,0)</f>
        <v>59.194579268228189</v>
      </c>
      <c r="J20" s="101">
        <f>VLOOKUP($C20,RESUMEN!$C$15:$K$22,4,FALSE)</f>
        <v>20</v>
      </c>
      <c r="K20" s="101">
        <f>VLOOKUP($C20,RESUMEN!$C$15:$K$22,5,FALSE)</f>
        <v>19</v>
      </c>
      <c r="L20" s="101">
        <f>VLOOKUP($C20,RESUMEN!$C$15:$K$22,6,FALSE)</f>
        <v>1</v>
      </c>
      <c r="M20" s="101">
        <f>VLOOKUP($C20,RESUMEN!$C$15:$K$22,7,FALSE)</f>
        <v>0.25</v>
      </c>
      <c r="N20" s="101">
        <f>VLOOKUP($C20,RESUMEN!$C$15:$K$22,8,FALSE)</f>
        <v>0.25</v>
      </c>
      <c r="O20" s="316">
        <f>IF(ISNUMBER(D20),"",VLOOKUP(C20,RESUMEN!$C$15:$K$25,9,FALSE))</f>
        <v>0</v>
      </c>
      <c r="P20" s="152">
        <f t="shared" si="5"/>
        <v>99.694579266828185</v>
      </c>
      <c r="Q20" s="102">
        <v>1.3999999999999999E-9</v>
      </c>
      <c r="R20" s="119">
        <f t="shared" si="6"/>
        <v>5</v>
      </c>
      <c r="T20" s="51">
        <f t="shared" si="1"/>
        <v>4</v>
      </c>
      <c r="U20" s="106">
        <v>5</v>
      </c>
      <c r="V20" s="107" t="str">
        <f t="shared" ca="1" si="2"/>
        <v>CONSORCIO FERROVIARIO RYC</v>
      </c>
      <c r="W20" s="120">
        <f t="shared" ca="1" si="3"/>
        <v>4</v>
      </c>
      <c r="X20" s="122">
        <f t="shared" ca="1" si="4"/>
        <v>99.362214603903041</v>
      </c>
    </row>
    <row r="21" spans="2:24" ht="21" customHeight="1">
      <c r="B21" s="98">
        <v>6</v>
      </c>
      <c r="C21" s="99">
        <f>RESUMEN!C20</f>
        <v>6</v>
      </c>
      <c r="D21" s="79" t="str">
        <f>VLOOKUP(C21,RESUMEN!$C$15:$D$22,2,0)</f>
        <v>CONSORCIO FERROVIARIO DE LOS ANDES</v>
      </c>
      <c r="E21" s="100">
        <f>VLOOKUP(C21,FORMULA!$C$45:$J$52,3,0)</f>
        <v>73109747899</v>
      </c>
      <c r="F21" s="100">
        <f>VLOOKUP(C21,FORMULA!$C$45:$J$52,4,0)</f>
        <v>72608147899</v>
      </c>
      <c r="G21" s="134">
        <f>VLOOKUP(C21,FORMULA!$C$45:$J$52,5,0)</f>
        <v>6.8609182005791025E-3</v>
      </c>
      <c r="H21" s="134">
        <f>VLOOKUP(C21,FORMULA!$C$45:$J$52,7,0)</f>
        <v>-4.4898144726516431E-2</v>
      </c>
      <c r="I21" s="123">
        <f>VLOOKUP(C21,FORMULA!$C$45:$J$52,8,0)</f>
        <v>58.825639427395195</v>
      </c>
      <c r="J21" s="101">
        <f>VLOOKUP($C21,RESUMEN!$C$15:$K$22,4,FALSE)</f>
        <v>20</v>
      </c>
      <c r="K21" s="101">
        <f>VLOOKUP($C21,RESUMEN!$C$15:$K$22,5,FALSE)</f>
        <v>19</v>
      </c>
      <c r="L21" s="101">
        <f>VLOOKUP($C21,RESUMEN!$C$15:$K$22,6,FALSE)</f>
        <v>1</v>
      </c>
      <c r="M21" s="101">
        <f>VLOOKUP($C21,RESUMEN!$C$15:$K$22,7,FALSE)</f>
        <v>0.25</v>
      </c>
      <c r="N21" s="101">
        <f>VLOOKUP($C21,RESUMEN!$C$15:$K$22,8,FALSE)</f>
        <v>0.25</v>
      </c>
      <c r="O21" s="316">
        <f>IF(ISNUMBER(D21),"",VLOOKUP(C21,RESUMEN!$C$15:$K$25,9,FALSE))</f>
        <v>0</v>
      </c>
      <c r="P21" s="152">
        <f t="shared" si="5"/>
        <v>99.325639425895204</v>
      </c>
      <c r="Q21" s="102">
        <v>1.5E-9</v>
      </c>
      <c r="R21" s="119">
        <f t="shared" si="6"/>
        <v>6</v>
      </c>
      <c r="T21" s="51">
        <f t="shared" si="1"/>
        <v>6</v>
      </c>
      <c r="U21" s="106">
        <v>6</v>
      </c>
      <c r="V21" s="107" t="str">
        <f t="shared" ca="1" si="2"/>
        <v>CONSORCIO FERROVIARIO DE LOS ANDES</v>
      </c>
      <c r="W21" s="120">
        <f t="shared" ca="1" si="3"/>
        <v>6</v>
      </c>
      <c r="X21" s="122">
        <f t="shared" ca="1" si="4"/>
        <v>99.325639425895204</v>
      </c>
    </row>
    <row r="22" spans="2:24" ht="21" customHeight="1">
      <c r="B22" s="98">
        <v>7</v>
      </c>
      <c r="C22" s="99">
        <f>RESUMEN!C21</f>
        <v>7</v>
      </c>
      <c r="D22" s="79" t="str">
        <f>VLOOKUP(C22,RESUMEN!$C$15:$D$22,2,0)</f>
        <v>CONSORCIO INFRAESTRUCTURA LA DORADA</v>
      </c>
      <c r="E22" s="100">
        <f>VLOOKUP(C22,FORMULA!$C$45:$J$52,3,0)</f>
        <v>72659553152</v>
      </c>
      <c r="F22" s="100">
        <f>VLOOKUP(C22,FORMULA!$C$45:$J$52,4,0)</f>
        <v>72659553154</v>
      </c>
      <c r="G22" s="134">
        <f>VLOOKUP(C22,FORMULA!$C$45:$J$52,5,0)</f>
        <v>2.7525537404926581E-11</v>
      </c>
      <c r="H22" s="134">
        <f>VLOOKUP(C22,FORMULA!$C$45:$J$52,7,0)</f>
        <v>-4.4221949893815227E-2</v>
      </c>
      <c r="I22" s="123">
        <f>VLOOKUP(C22,FORMULA!$C$45:$J$52,8,0)</f>
        <v>58.783037068855492</v>
      </c>
      <c r="J22" s="101">
        <f>VLOOKUP($C22,RESUMEN!$C$15:$K$22,4,FALSE)</f>
        <v>20</v>
      </c>
      <c r="K22" s="101">
        <f>VLOOKUP($C22,RESUMEN!$C$15:$K$22,5,FALSE)</f>
        <v>19</v>
      </c>
      <c r="L22" s="101">
        <f>VLOOKUP($C22,RESUMEN!$C$15:$K$22,6,FALSE)</f>
        <v>1</v>
      </c>
      <c r="M22" s="101">
        <f>VLOOKUP($C22,RESUMEN!$C$15:$K$22,7,FALSE)</f>
        <v>0.25</v>
      </c>
      <c r="N22" s="101">
        <f>VLOOKUP($C22,RESUMEN!$C$15:$K$22,8,FALSE)</f>
        <v>0.25</v>
      </c>
      <c r="O22" s="316">
        <f>IF(ISNUMBER(D22),"",VLOOKUP(C22,RESUMEN!$C$15:$K$25,9,FALSE))</f>
        <v>0</v>
      </c>
      <c r="P22" s="152">
        <f t="shared" si="5"/>
        <v>99.283037067255492</v>
      </c>
      <c r="Q22" s="102">
        <v>1.6000000000000001E-9</v>
      </c>
      <c r="R22" s="119">
        <f t="shared" si="6"/>
        <v>7</v>
      </c>
      <c r="T22" s="51">
        <f t="shared" si="1"/>
        <v>7</v>
      </c>
      <c r="U22" s="106">
        <v>7</v>
      </c>
      <c r="V22" s="107" t="str">
        <f t="shared" ca="1" si="2"/>
        <v>CONSORCIO INFRAESTRUCTURA LA DORADA</v>
      </c>
      <c r="W22" s="120">
        <f t="shared" ca="1" si="3"/>
        <v>7</v>
      </c>
      <c r="X22" s="122">
        <f t="shared" ca="1" si="4"/>
        <v>99.283037067255492</v>
      </c>
    </row>
    <row r="23" spans="2:24" ht="18">
      <c r="B23" s="98">
        <v>8</v>
      </c>
      <c r="C23" s="99">
        <f>RESUMEN!C22</f>
        <v>8</v>
      </c>
      <c r="D23" s="79" t="str">
        <f>VLOOKUP(C23,RESUMEN!$C$15:$D$22,2,0)</f>
        <v>CONSORCIO FERREO CONYRAHS</v>
      </c>
      <c r="E23" s="100">
        <f>VLOOKUP(C23,FORMULA!$C$45:$J$52,3,0)</f>
        <v>73337598514</v>
      </c>
      <c r="F23" s="100">
        <f>VLOOKUP(C23,FORMULA!$C$45:$J$52,4,0)</f>
        <v>72818658085</v>
      </c>
      <c r="G23" s="134">
        <f>VLOOKUP(C23,FORMULA!$C$45:$J$52,5,0)</f>
        <v>7.0760488414538525E-3</v>
      </c>
      <c r="H23" s="134">
        <f>VLOOKUP(C23,FORMULA!$C$45:$J$52,7,0)</f>
        <v>-4.2129052344732409E-2</v>
      </c>
      <c r="I23" s="123">
        <f>VLOOKUP(C23,FORMULA!$C$45:$J$52,8,0)</f>
        <v>58.651178072807404</v>
      </c>
      <c r="J23" s="101">
        <f>VLOOKUP($C23,RESUMEN!$C$15:$K$22,4,FALSE)</f>
        <v>20</v>
      </c>
      <c r="K23" s="101">
        <f>VLOOKUP($C23,RESUMEN!$C$15:$K$22,5,FALSE)</f>
        <v>19</v>
      </c>
      <c r="L23" s="101">
        <f>VLOOKUP($C23,RESUMEN!$C$15:$K$22,6,FALSE)</f>
        <v>1</v>
      </c>
      <c r="M23" s="101">
        <f>VLOOKUP($C23,RESUMEN!$C$15:$K$22,7,FALSE)</f>
        <v>0.25</v>
      </c>
      <c r="N23" s="101">
        <f>VLOOKUP($C23,RESUMEN!$C$15:$K$22,8,FALSE)</f>
        <v>0.25</v>
      </c>
      <c r="O23" s="316">
        <f>IF(ISNUMBER(D23),"",VLOOKUP(C23,RESUMEN!$C$15:$K$25,9,FALSE))</f>
        <v>0</v>
      </c>
      <c r="P23" s="152">
        <f t="shared" si="5"/>
        <v>99.151178071107395</v>
      </c>
      <c r="Q23" s="102">
        <v>1.6999999999999999E-9</v>
      </c>
      <c r="R23" s="119">
        <f t="shared" si="6"/>
        <v>8</v>
      </c>
      <c r="T23" s="51">
        <f t="shared" si="1"/>
        <v>8</v>
      </c>
      <c r="U23" s="106">
        <v>8</v>
      </c>
      <c r="V23" s="107" t="str">
        <f t="shared" ca="1" si="2"/>
        <v>CONSORCIO FERREO CONYRAHS</v>
      </c>
      <c r="W23" s="120">
        <f t="shared" ca="1" si="3"/>
        <v>8</v>
      </c>
      <c r="X23" s="122">
        <f t="shared" ca="1" si="4"/>
        <v>99.151178071107395</v>
      </c>
    </row>
    <row r="24" spans="2:24" ht="3.95" customHeight="1">
      <c r="B24" s="176" t="s">
        <v>117</v>
      </c>
      <c r="Q24" s="544"/>
      <c r="R24" s="544"/>
      <c r="U24" s="545"/>
      <c r="V24" s="545"/>
      <c r="W24" s="545"/>
      <c r="X24" s="545"/>
    </row>
    <row r="25" spans="2:24"/>
    <row r="26" spans="2:24"/>
    <row r="27" spans="2:24"/>
    <row r="28" spans="2:24"/>
    <row r="29" spans="2:24"/>
    <row r="30" spans="2:24"/>
    <row r="31" spans="2:24"/>
    <row r="32" spans="2:24"/>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sheetData>
  <sheetProtection selectLockedCells="1"/>
  <mergeCells count="31">
    <mergeCell ref="B7:P7"/>
    <mergeCell ref="B9:P9"/>
    <mergeCell ref="B10:P10"/>
    <mergeCell ref="U1:X1"/>
    <mergeCell ref="U2:X2"/>
    <mergeCell ref="U3:X3"/>
    <mergeCell ref="U4:X4"/>
    <mergeCell ref="U5:X5"/>
    <mergeCell ref="U7:X7"/>
    <mergeCell ref="U10:X10"/>
    <mergeCell ref="B1:P1"/>
    <mergeCell ref="B2:P2"/>
    <mergeCell ref="B3:P3"/>
    <mergeCell ref="B4:P4"/>
    <mergeCell ref="B5:P5"/>
    <mergeCell ref="B6:P6"/>
    <mergeCell ref="U24:X24"/>
    <mergeCell ref="T11:T14"/>
    <mergeCell ref="U12:X12"/>
    <mergeCell ref="U13:X13"/>
    <mergeCell ref="F12:F13"/>
    <mergeCell ref="H12:H13"/>
    <mergeCell ref="Q12:Q14"/>
    <mergeCell ref="P12:P13"/>
    <mergeCell ref="G12:G13"/>
    <mergeCell ref="I12:O12"/>
    <mergeCell ref="D12:D14"/>
    <mergeCell ref="C12:C14"/>
    <mergeCell ref="B12:B14"/>
    <mergeCell ref="Q24:R24"/>
    <mergeCell ref="E12:E13"/>
  </mergeCells>
  <phoneticPr fontId="4" type="noConversion"/>
  <conditionalFormatting sqref="U16:X23 B16:L23 P16:P23">
    <cfRule type="expression" dxfId="19" priority="44" stopIfTrue="1">
      <formula>MOD(ROW(),2)</formula>
    </cfRule>
  </conditionalFormatting>
  <conditionalFormatting sqref="E16:I23">
    <cfRule type="cellIs" dxfId="18" priority="35" stopIfTrue="1" operator="equal">
      <formula>"DESCARTADO"</formula>
    </cfRule>
  </conditionalFormatting>
  <conditionalFormatting sqref="I16:L23 P16:P23">
    <cfRule type="cellIs" dxfId="17" priority="36" stopIfTrue="1" operator="greaterThan">
      <formula>0</formula>
    </cfRule>
    <cfRule type="cellIs" dxfId="16" priority="37" stopIfTrue="1" operator="equal">
      <formula>0</formula>
    </cfRule>
  </conditionalFormatting>
  <conditionalFormatting sqref="O16:O23">
    <cfRule type="cellIs" dxfId="15" priority="4" stopIfTrue="1" operator="equal">
      <formula>"RECHAZO"</formula>
    </cfRule>
    <cfRule type="cellIs" dxfId="14" priority="5" stopIfTrue="1" operator="equal">
      <formula>"CUMPLE"</formula>
    </cfRule>
    <cfRule type="cellIs" dxfId="13" priority="6" stopIfTrue="1" operator="equal">
      <formula>"NO CUMPLE"</formula>
    </cfRule>
    <cfRule type="cellIs" dxfId="12" priority="7" stopIfTrue="1" operator="equal">
      <formula>"HÁBIL"</formula>
    </cfRule>
    <cfRule type="cellIs" dxfId="11" priority="8" stopIfTrue="1" operator="equal">
      <formula>"NO HÁBIL"</formula>
    </cfRule>
    <cfRule type="cellIs" dxfId="10" priority="9" stopIfTrue="1" operator="equal">
      <formula>"NO APLICA"</formula>
    </cfRule>
  </conditionalFormatting>
  <conditionalFormatting sqref="M16:N23">
    <cfRule type="expression" dxfId="9" priority="3" stopIfTrue="1">
      <formula>MOD(ROW(),2)</formula>
    </cfRule>
  </conditionalFormatting>
  <conditionalFormatting sqref="M16:N23">
    <cfRule type="cellIs" dxfId="8" priority="1" stopIfTrue="1" operator="greaterThan">
      <formula>0</formula>
    </cfRule>
    <cfRule type="cellIs" dxfId="7" priority="2" stopIfTrue="1" operator="equal">
      <formula>0</formula>
    </cfRule>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&amp;N&amp;R&amp;9INSTITUTO NACIONAL DE VIAS
&amp;D</oddFooter>
  </headerFooter>
  <colBreaks count="1" manualBreakCount="1">
    <brk id="18" max="1048575" man="1"/>
  </col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9D7E6-CCBB-409B-B4FA-DEB822B2681E}">
  <dimension ref="A2:E33"/>
  <sheetViews>
    <sheetView workbookViewId="0">
      <selection activeCell="E5" sqref="E5:E7"/>
    </sheetView>
  </sheetViews>
  <sheetFormatPr baseColWidth="10" defaultRowHeight="12.75"/>
  <cols>
    <col min="1" max="1" width="13.5703125" bestFit="1" customWidth="1"/>
    <col min="2" max="2" width="22.28515625" bestFit="1" customWidth="1"/>
    <col min="3" max="3" width="26.5703125" bestFit="1" customWidth="1"/>
    <col min="4" max="4" width="15.42578125" bestFit="1" customWidth="1"/>
    <col min="5" max="5" width="20.140625" bestFit="1" customWidth="1"/>
    <col min="6" max="6" width="31" bestFit="1" customWidth="1"/>
  </cols>
  <sheetData>
    <row r="2" spans="2:5">
      <c r="B2" s="409" t="s">
        <v>284</v>
      </c>
      <c r="C2" s="407">
        <v>76021366201</v>
      </c>
    </row>
    <row r="4" spans="2:5">
      <c r="C4" t="s">
        <v>281</v>
      </c>
      <c r="E4" t="s">
        <v>289</v>
      </c>
    </row>
    <row r="5" spans="2:5">
      <c r="B5" t="s">
        <v>277</v>
      </c>
      <c r="C5" s="410">
        <v>71425915048</v>
      </c>
      <c r="D5" t="str">
        <f t="shared" ref="D5:D12" si="0">IF(C5&lt;C$18,"Baja","NO")</f>
        <v>Baja</v>
      </c>
      <c r="E5" s="411">
        <f>C$18-C5</f>
        <v>313129480.31210327</v>
      </c>
    </row>
    <row r="6" spans="2:5">
      <c r="B6" t="s">
        <v>273</v>
      </c>
      <c r="C6" s="410">
        <v>71550545338</v>
      </c>
      <c r="D6" t="str">
        <f t="shared" si="0"/>
        <v>Baja</v>
      </c>
      <c r="E6" s="411">
        <f>C$18-C6</f>
        <v>188499190.31210327</v>
      </c>
    </row>
    <row r="7" spans="2:5">
      <c r="B7" t="s">
        <v>275</v>
      </c>
      <c r="C7" s="410">
        <v>71715321740</v>
      </c>
      <c r="D7" t="str">
        <f t="shared" si="0"/>
        <v>Baja</v>
      </c>
      <c r="E7" s="411">
        <f>C$18-C7</f>
        <v>23722788.312103271</v>
      </c>
    </row>
    <row r="8" spans="2:5">
      <c r="B8" t="s">
        <v>274</v>
      </c>
      <c r="C8" s="410">
        <v>71961637671</v>
      </c>
      <c r="D8" t="str">
        <f t="shared" si="0"/>
        <v>NO</v>
      </c>
      <c r="E8" s="408"/>
    </row>
    <row r="9" spans="2:5">
      <c r="B9" t="s">
        <v>276</v>
      </c>
      <c r="C9" s="410">
        <v>72564015217</v>
      </c>
      <c r="D9" t="str">
        <f t="shared" si="0"/>
        <v>NO</v>
      </c>
      <c r="E9" s="408"/>
    </row>
    <row r="10" spans="2:5">
      <c r="B10" t="s">
        <v>278</v>
      </c>
      <c r="C10" s="410">
        <v>72608147899</v>
      </c>
      <c r="D10" t="str">
        <f t="shared" si="0"/>
        <v>NO</v>
      </c>
    </row>
    <row r="11" spans="2:5">
      <c r="B11" t="s">
        <v>279</v>
      </c>
      <c r="C11" s="410">
        <v>72659553154</v>
      </c>
      <c r="D11" t="str">
        <f t="shared" si="0"/>
        <v>NO</v>
      </c>
    </row>
    <row r="12" spans="2:5">
      <c r="B12" t="s">
        <v>280</v>
      </c>
      <c r="C12" s="410">
        <v>72818658085</v>
      </c>
      <c r="D12" t="str">
        <f t="shared" si="0"/>
        <v>NO</v>
      </c>
    </row>
    <row r="13" spans="2:5">
      <c r="C13" s="410"/>
    </row>
    <row r="14" spans="2:5">
      <c r="C14" s="410"/>
    </row>
    <row r="15" spans="2:5">
      <c r="B15" s="409" t="s">
        <v>290</v>
      </c>
      <c r="C15" s="410">
        <f>AVERAGE(C5:C12)</f>
        <v>72162974269</v>
      </c>
    </row>
    <row r="16" spans="2:5">
      <c r="B16" s="409" t="s">
        <v>282</v>
      </c>
      <c r="C16" s="410">
        <f>MEDIAN(C5:C12)</f>
        <v>72262826444</v>
      </c>
    </row>
    <row r="17" spans="1:5">
      <c r="B17" s="409" t="s">
        <v>283</v>
      </c>
      <c r="C17" s="410">
        <f>_xlfn.STDEV.P(C5:C12)</f>
        <v>523781915.6879034</v>
      </c>
      <c r="D17" s="408"/>
    </row>
    <row r="18" spans="1:5">
      <c r="B18" s="409" t="s">
        <v>291</v>
      </c>
      <c r="C18" s="410">
        <f>C16-C17</f>
        <v>71739044528.312103</v>
      </c>
      <c r="E18" s="408"/>
    </row>
    <row r="21" spans="1:5">
      <c r="B21" t="s">
        <v>285</v>
      </c>
    </row>
    <row r="22" spans="1:5">
      <c r="C22" s="410">
        <f t="shared" ref="C22:C29" si="1">(C5-C$15)^2</f>
        <v>5.4325629526112685E+17</v>
      </c>
    </row>
    <row r="23" spans="1:5">
      <c r="C23" s="410">
        <f t="shared" si="1"/>
        <v>3.7506919552580275E+17</v>
      </c>
    </row>
    <row r="24" spans="1:5">
      <c r="C24" s="410">
        <f t="shared" si="1"/>
        <v>2.0039278672009584E+17</v>
      </c>
    </row>
    <row r="25" spans="1:5">
      <c r="C25" s="410">
        <f t="shared" si="1"/>
        <v>4.05364256942136E+16</v>
      </c>
    </row>
    <row r="26" spans="1:5">
      <c r="C26" s="410">
        <f t="shared" si="1"/>
        <v>1.6083384197273869E+17</v>
      </c>
    </row>
    <row r="27" spans="1:5">
      <c r="C27" s="410">
        <f t="shared" si="1"/>
        <v>1.981795608473769E+17</v>
      </c>
    </row>
    <row r="28" spans="1:5">
      <c r="C28" s="410">
        <f t="shared" si="1"/>
        <v>2.4659058902784323E+17</v>
      </c>
    </row>
    <row r="29" spans="1:5">
      <c r="C29" s="410">
        <f t="shared" si="1"/>
        <v>4.2992126656432186E+17</v>
      </c>
    </row>
    <row r="30" spans="1:5">
      <c r="C30" s="410"/>
    </row>
    <row r="31" spans="1:5">
      <c r="A31" t="s">
        <v>286</v>
      </c>
      <c r="C31" s="410">
        <f>SUM(C22:C29)</f>
        <v>2.1947799616135196E+18</v>
      </c>
    </row>
    <row r="32" spans="1:5">
      <c r="A32" t="s">
        <v>287</v>
      </c>
      <c r="C32" s="410">
        <f>C31/8</f>
        <v>2.7434749520168995E+17</v>
      </c>
    </row>
    <row r="33" spans="1:3">
      <c r="A33" t="s">
        <v>288</v>
      </c>
      <c r="C33" s="410">
        <f>SQRT(C32)</f>
        <v>523781915.6879034</v>
      </c>
    </row>
  </sheetData>
  <sortState xmlns:xlrd2="http://schemas.microsoft.com/office/spreadsheetml/2017/richdata2" ref="B5:D12">
    <sortCondition ref="C5:C12"/>
  </sortState>
  <phoneticPr fontId="88" type="noConversion"/>
  <conditionalFormatting sqref="D5:D12">
    <cfRule type="colorScale" priority="3">
      <colorScale>
        <cfvo type="min"/>
        <cfvo type="percentile" val="50"/>
        <cfvo type="max"/>
        <color rgb="FFF8696B"/>
        <color rgb="FFFFEB84"/>
        <color rgb="FF63BE7B"/>
      </colorScale>
    </cfRule>
    <cfRule type="cellIs" dxfId="6" priority="2" operator="lessThan">
      <formula>$C$18</formula>
    </cfRule>
  </conditionalFormatting>
  <conditionalFormatting sqref="C5:C12">
    <cfRule type="cellIs" dxfId="5" priority="1" operator="lessThan">
      <formula>$C$18</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
    <tabColor theme="8" tint="-0.499984740745262"/>
    <pageSetUpPr fitToPage="1"/>
  </sheetPr>
  <dimension ref="A1:AB38"/>
  <sheetViews>
    <sheetView showGridLines="0" zoomScale="90" zoomScaleNormal="90" workbookViewId="0">
      <selection activeCell="D5" sqref="D5"/>
    </sheetView>
  </sheetViews>
  <sheetFormatPr baseColWidth="10" defaultColWidth="0" defaultRowHeight="0" customHeight="1" zeroHeight="1"/>
  <cols>
    <col min="1" max="1" width="2.7109375" style="27" customWidth="1"/>
    <col min="2" max="2" width="8.28515625" style="27" customWidth="1"/>
    <col min="3" max="3" width="44.28515625" style="27" customWidth="1"/>
    <col min="4" max="4" width="21.5703125" style="27" customWidth="1"/>
    <col min="5" max="5" width="1.7109375" style="27" customWidth="1"/>
    <col min="6" max="6" width="20.7109375" style="27" customWidth="1"/>
    <col min="7" max="8" width="24.7109375" style="27" customWidth="1"/>
    <col min="9" max="9" width="47.28515625" style="27" customWidth="1"/>
    <col min="10" max="13" width="40.7109375" style="27" customWidth="1"/>
    <col min="14" max="15" width="25.7109375" style="27" customWidth="1"/>
    <col min="16" max="16" width="13.7109375" style="27" hidden="1" customWidth="1"/>
    <col min="17" max="17" width="19.5703125" style="27" hidden="1" customWidth="1"/>
    <col min="18" max="18" width="47.7109375" style="27" hidden="1" customWidth="1"/>
    <col min="19" max="20" width="22.28515625" style="27" hidden="1" customWidth="1"/>
    <col min="21" max="21" width="23.28515625" style="27" hidden="1" customWidth="1"/>
    <col min="22" max="25" width="22.28515625" style="27" hidden="1" customWidth="1"/>
    <col min="26" max="28" width="0" style="27" hidden="1" customWidth="1"/>
    <col min="29" max="16384" width="11.42578125" style="27" hidden="1"/>
  </cols>
  <sheetData>
    <row r="1" spans="1:9" ht="35.25" customHeight="1" thickBot="1">
      <c r="B1" s="33"/>
      <c r="C1" s="28"/>
      <c r="D1" s="28"/>
      <c r="E1" s="27">
        <v>5</v>
      </c>
    </row>
    <row r="2" spans="1:9" ht="28.5" customHeight="1">
      <c r="B2" s="570" t="s">
        <v>13</v>
      </c>
      <c r="C2" s="573" t="s">
        <v>7</v>
      </c>
      <c r="D2" s="576" t="s">
        <v>102</v>
      </c>
      <c r="F2" s="578" t="s">
        <v>126</v>
      </c>
      <c r="G2" s="578" t="s">
        <v>146</v>
      </c>
      <c r="H2" s="578" t="s">
        <v>147</v>
      </c>
      <c r="I2" s="288" t="s">
        <v>0</v>
      </c>
    </row>
    <row r="3" spans="1:9" ht="30" customHeight="1" thickBot="1">
      <c r="B3" s="571"/>
      <c r="C3" s="574"/>
      <c r="D3" s="577"/>
      <c r="F3" s="579"/>
      <c r="G3" s="579"/>
      <c r="H3" s="579"/>
      <c r="I3" s="289">
        <f>D5</f>
        <v>76021366201</v>
      </c>
    </row>
    <row r="4" spans="1:9" ht="20.100000000000001" customHeight="1" thickBot="1">
      <c r="B4" s="572"/>
      <c r="C4" s="575"/>
      <c r="D4" s="327" t="s">
        <v>29</v>
      </c>
      <c r="F4" s="328"/>
      <c r="G4" s="329" t="s">
        <v>148</v>
      </c>
      <c r="H4" s="329" t="s">
        <v>149</v>
      </c>
      <c r="I4" s="290">
        <f>I3*20%</f>
        <v>15204273240.200001</v>
      </c>
    </row>
    <row r="5" spans="1:9" ht="6.75" customHeight="1" thickBot="1">
      <c r="B5" s="291"/>
      <c r="C5" s="292"/>
      <c r="D5" s="293">
        <f>'VR-PROP'!H108</f>
        <v>76021366201</v>
      </c>
      <c r="F5" s="294"/>
      <c r="G5" s="295"/>
      <c r="H5" s="295"/>
    </row>
    <row r="6" spans="1:9" ht="24.95" customHeight="1">
      <c r="B6" s="296">
        <v>1</v>
      </c>
      <c r="C6" s="297" t="str">
        <f>VLOOKUP(B6,RESUMEN!$C$15:$D$22,2,0)</f>
        <v>CONSORCIO CORREDORES FERREOS SI</v>
      </c>
      <c r="D6" s="298">
        <f>IF(AND(ISTEXT('VR-PROP'!$J$108),'VR-PROP'!$J$107=""),"DESCARTADO",'VR-PROP'!$J$107)</f>
        <v>72050425401</v>
      </c>
      <c r="F6" s="299" t="str">
        <f>IF(OR(D6="",D6="DESCARTADO"),"",IF(($I$3-D6)/$I$3&gt;20%,"PROPUESTA BAJA","PROPUESTA VALIDA"))</f>
        <v>PROPUESTA VALIDA</v>
      </c>
      <c r="G6" s="300">
        <f>IFERROR(($I$3-D6)/$I$3,"")</f>
        <v>5.2234536136865239E-2</v>
      </c>
      <c r="H6" s="301">
        <f>IFERROR(($I$3-D6),"")</f>
        <v>3970940800</v>
      </c>
      <c r="I6" s="302"/>
    </row>
    <row r="7" spans="1:9" ht="24.95" customHeight="1" thickBot="1">
      <c r="B7" s="303">
        <v>2</v>
      </c>
      <c r="C7" s="304" t="str">
        <f>VLOOKUP(B7,RESUMEN!$C$15:$D$22,2,0)</f>
        <v>CONSORCIO FERREO CHIRIGUANA</v>
      </c>
      <c r="D7" s="305" t="e">
        <f>IF(AND(ISTEXT('VR-PROP'!#REF!),'VR-PROP'!#REF!=""),"DESCARTADO",'VR-PROP'!#REF!)</f>
        <v>#REF!</v>
      </c>
      <c r="F7" s="306" t="e">
        <f>IF(OR(D7="",D7="DESCARTADO"),"",IF(($I$3-D7)/$I$3&gt;20%,"PROPUESTA BAJA","PROPUESTA VALIDA"))</f>
        <v>#REF!</v>
      </c>
      <c r="G7" s="307" t="str">
        <f>IFERROR(($I$3-D7)/$I$3,"")</f>
        <v/>
      </c>
      <c r="H7" s="308" t="str">
        <f>IFERROR(($I$3-D7),"")</f>
        <v/>
      </c>
      <c r="I7" s="302"/>
    </row>
    <row r="8" spans="1:9" ht="12.75" customHeight="1" thickBot="1"/>
    <row r="9" spans="1:9" s="310" customFormat="1" ht="60" customHeight="1" thickBot="1">
      <c r="A9" s="309">
        <v>2</v>
      </c>
      <c r="B9" s="565" t="str">
        <f>IF(A9="","",IF(A9=1,B12,B13))</f>
        <v>NINGUN PROPONENTE ALLEGO UNA OFERTA CON UN VALOR MENOR AL 80% DEL PRESUPUESTO OFICIAL,  O LO QUE ES LO MISMO QUE  CON UN VALOR MAS BAJO QUE EL 20% DEL PRESUPUESTO OFICIAL, POR LO CUAL NINGUNA OFERTA SE CLASIFICA COMO ARTIFICIALMENTE BAJA Y EN CONSECUENCIA NO SE DEBE REQUERIR A NINGUN PROPONENTE PARA JUSTIFICAR TAL SITUACION.</v>
      </c>
      <c r="C9" s="566"/>
      <c r="D9" s="566"/>
      <c r="E9" s="566"/>
      <c r="F9" s="566"/>
      <c r="G9" s="566"/>
      <c r="H9" s="567"/>
    </row>
    <row r="10" spans="1:9" ht="12.75" customHeight="1"/>
    <row r="11" spans="1:9" ht="12.75" customHeight="1"/>
    <row r="12" spans="1:9" ht="20.100000000000001" hidden="1" customHeight="1">
      <c r="B12" s="568" t="s">
        <v>150</v>
      </c>
      <c r="C12" s="568"/>
      <c r="D12" s="568"/>
      <c r="E12" s="568"/>
      <c r="F12" s="568"/>
      <c r="G12" s="568"/>
      <c r="H12" s="568"/>
    </row>
    <row r="13" spans="1:9" ht="20.100000000000001" hidden="1" customHeight="1">
      <c r="B13" s="569" t="s">
        <v>151</v>
      </c>
      <c r="C13" s="569"/>
      <c r="D13" s="569"/>
      <c r="E13" s="569"/>
      <c r="F13" s="569"/>
      <c r="G13" s="569"/>
      <c r="H13" s="569"/>
    </row>
    <row r="14" spans="1:9" ht="12.75" customHeight="1"/>
    <row r="15" spans="1:9" ht="12.75" customHeight="1"/>
    <row r="16" spans="1:9"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sheetData>
  <sheetProtection selectLockedCells="1"/>
  <dataConsolidate/>
  <mergeCells count="9">
    <mergeCell ref="B9:H9"/>
    <mergeCell ref="B12:H12"/>
    <mergeCell ref="B13:H13"/>
    <mergeCell ref="B2:B4"/>
    <mergeCell ref="C2:C4"/>
    <mergeCell ref="D2:D3"/>
    <mergeCell ref="F2:F3"/>
    <mergeCell ref="G2:G3"/>
    <mergeCell ref="H2:H3"/>
  </mergeCells>
  <conditionalFormatting sqref="F6:H7 B6:D7">
    <cfRule type="expression" dxfId="4" priority="9" stopIfTrue="1">
      <formula>MOD(ROW(),2)</formula>
    </cfRule>
  </conditionalFormatting>
  <conditionalFormatting sqref="D6:D7">
    <cfRule type="cellIs" dxfId="3" priority="8" stopIfTrue="1" operator="equal">
      <formula>"NO ADMISIBLE"</formula>
    </cfRule>
  </conditionalFormatting>
  <conditionalFormatting sqref="D6:D7">
    <cfRule type="cellIs" dxfId="2" priority="7" stopIfTrue="1" operator="equal">
      <formula>"DESCARTADO"</formula>
    </cfRule>
  </conditionalFormatting>
  <conditionalFormatting sqref="F6:H7">
    <cfRule type="cellIs" dxfId="1" priority="3" operator="equal">
      <formula>"PROPUESTA BAJA"</formula>
    </cfRule>
    <cfRule type="cellIs" dxfId="0" priority="4" operator="equal">
      <formula>"PROPUESTA VALIDA"</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
  <dimension ref="A1:M230"/>
  <sheetViews>
    <sheetView workbookViewId="0">
      <selection activeCell="B23" sqref="B23"/>
    </sheetView>
  </sheetViews>
  <sheetFormatPr baseColWidth="10" defaultColWidth="11.42578125" defaultRowHeight="12.75"/>
  <cols>
    <col min="1" max="1" width="11.42578125" style="133"/>
    <col min="2" max="2" width="85.7109375" style="133" bestFit="1" customWidth="1"/>
    <col min="3" max="3" width="14.140625" style="133" bestFit="1" customWidth="1"/>
    <col min="4" max="4" width="47.42578125" style="133" bestFit="1" customWidth="1"/>
    <col min="5" max="7" width="11.42578125" style="133"/>
    <col min="8" max="8" width="11.42578125" style="212"/>
    <col min="9" max="9" width="18.28515625" style="212" customWidth="1"/>
    <col min="10" max="10" width="15.5703125" style="212" customWidth="1"/>
    <col min="11" max="16384" width="11.42578125" style="133"/>
  </cols>
  <sheetData>
    <row r="1" spans="1:13" ht="15.75" thickTop="1">
      <c r="A1" s="40" t="s">
        <v>24</v>
      </c>
      <c r="B1" s="144" t="s">
        <v>23</v>
      </c>
      <c r="C1" s="144" t="s">
        <v>31</v>
      </c>
      <c r="D1" s="144" t="s">
        <v>81</v>
      </c>
      <c r="H1" s="580" t="s">
        <v>125</v>
      </c>
      <c r="I1" s="580"/>
      <c r="J1" s="580"/>
    </row>
    <row r="2" spans="1:13">
      <c r="A2" s="41">
        <v>1</v>
      </c>
      <c r="B2" s="48" t="s">
        <v>22</v>
      </c>
      <c r="C2" s="52" t="s">
        <v>10</v>
      </c>
      <c r="D2" s="141" t="s">
        <v>109</v>
      </c>
      <c r="F2" s="153"/>
      <c r="H2" s="213">
        <v>1</v>
      </c>
      <c r="I2" s="212" t="e">
        <f>IF(ISTEXT('VR-PROP'!#REF!),"DESCARTADO",'VR-PROP'!#REF!)</f>
        <v>#REF!</v>
      </c>
      <c r="J2" s="212" t="e">
        <f>IF(ISTEXT('VR-PROP'!#REF!),"DESCARTADO",'VR-PROP'!#REF!)</f>
        <v>#REF!</v>
      </c>
      <c r="M2" s="133" t="e">
        <f>IF(AND(ISTEXT('VR-PROP'!#REF!),'VR-PROP'!#REF!=""),"DESCARTADO",'VR-PROP'!#REF!)</f>
        <v>#REF!</v>
      </c>
    </row>
    <row r="3" spans="1:13">
      <c r="A3" s="42">
        <v>2</v>
      </c>
      <c r="B3" s="43" t="s">
        <v>84</v>
      </c>
      <c r="C3" s="53" t="s">
        <v>9</v>
      </c>
      <c r="D3" s="142" t="s">
        <v>145</v>
      </c>
      <c r="H3" s="213">
        <v>2</v>
      </c>
      <c r="I3" s="212" t="e">
        <f>IF(ISTEXT('VR-PROP'!#REF!),"DESCARTADO",'VR-PROP'!#REF!)</f>
        <v>#REF!</v>
      </c>
      <c r="J3" s="212" t="e">
        <f>IF(ISTEXT('VR-PROP'!#REF!),"DESCARTADO",'VR-PROP'!#REF!)</f>
        <v>#REF!</v>
      </c>
      <c r="M3" s="133" t="e">
        <f>IF(AND(ISTEXT('VR-PROP'!#REF!),'VR-PROP'!#REF!=""),"DESCARTADO",'VR-PROP'!#REF!)</f>
        <v>#REF!</v>
      </c>
    </row>
    <row r="4" spans="1:13" ht="13.5" thickBot="1">
      <c r="A4" s="41">
        <v>3</v>
      </c>
      <c r="B4" s="43" t="s">
        <v>85</v>
      </c>
      <c r="C4" s="54" t="s">
        <v>14</v>
      </c>
      <c r="D4" s="142" t="s">
        <v>110</v>
      </c>
      <c r="H4" s="213">
        <v>3</v>
      </c>
      <c r="I4" s="212" t="e">
        <f>IF(ISTEXT('VR-PROP'!#REF!),"DESCARTADO",'VR-PROP'!#REF!)</f>
        <v>#REF!</v>
      </c>
      <c r="J4" s="212" t="e">
        <f>IF(ISTEXT('VR-PROP'!#REF!),"DESCARTADO",'VR-PROP'!#REF!)</f>
        <v>#REF!</v>
      </c>
      <c r="M4" s="133" t="e">
        <f>IF(AND(ISTEXT('VR-PROP'!#REF!),'VR-PROP'!#REF!=""),"DESCARTADO",'VR-PROP'!#REF!)</f>
        <v>#REF!</v>
      </c>
    </row>
    <row r="5" spans="1:13" ht="13.5" thickTop="1">
      <c r="A5" s="42">
        <v>4</v>
      </c>
      <c r="B5" s="43" t="s">
        <v>86</v>
      </c>
      <c r="D5" s="142" t="s">
        <v>82</v>
      </c>
      <c r="F5" s="153"/>
      <c r="H5" s="213">
        <v>4</v>
      </c>
      <c r="I5" s="212" t="e">
        <f>IF(ISTEXT('VR-PROP'!#REF!),"DESCARTADO",'VR-PROP'!#REF!)</f>
        <v>#REF!</v>
      </c>
      <c r="J5" s="212" t="e">
        <f>IF(ISTEXT('VR-PROP'!#REF!),"DESCARTADO",'VR-PROP'!#REF!)</f>
        <v>#REF!</v>
      </c>
      <c r="M5" s="133" t="e">
        <f>IF(AND(ISTEXT('VR-PROP'!#REF!),'VR-PROP'!#REF!=""),"DESCARTADO",'VR-PROP'!#REF!)</f>
        <v>#REF!</v>
      </c>
    </row>
    <row r="6" spans="1:13">
      <c r="A6" s="41">
        <v>5</v>
      </c>
      <c r="B6" s="43" t="s">
        <v>87</v>
      </c>
      <c r="D6" s="284"/>
      <c r="H6" s="213">
        <v>5</v>
      </c>
      <c r="I6" s="212" t="e">
        <f>IF(ISTEXT('VR-PROP'!#REF!),"DESCARTADO",'VR-PROP'!#REF!)</f>
        <v>#REF!</v>
      </c>
      <c r="J6" s="212" t="e">
        <f>IF(ISTEXT('VR-PROP'!#REF!),"DESCARTADO",'VR-PROP'!#REF!)</f>
        <v>#REF!</v>
      </c>
      <c r="M6" s="133" t="e">
        <f>IF(AND(ISTEXT('VR-PROP'!#REF!),'VR-PROP'!#REF!=""),"DESCARTADO",'VR-PROP'!#REF!)</f>
        <v>#REF!</v>
      </c>
    </row>
    <row r="7" spans="1:13" ht="13.5" thickBot="1">
      <c r="A7" s="42">
        <v>6</v>
      </c>
      <c r="B7" s="43" t="s">
        <v>88</v>
      </c>
      <c r="D7" s="143" t="s">
        <v>97</v>
      </c>
      <c r="H7" s="213">
        <v>6</v>
      </c>
      <c r="I7" s="212" t="e">
        <f>IF(ISTEXT('VR-PROP'!#REF!),"DESCARTADO",'VR-PROP'!#REF!)</f>
        <v>#REF!</v>
      </c>
      <c r="J7" s="212" t="e">
        <f>IF(ISTEXT('VR-PROP'!#REF!),"DESCARTADO",'VR-PROP'!#REF!)</f>
        <v>#REF!</v>
      </c>
      <c r="M7" s="133" t="e">
        <f>IF(AND(ISTEXT('VR-PROP'!#REF!),'VR-PROP'!#REF!=""),"DESCARTADO",'VR-PROP'!#REF!)</f>
        <v>#REF!</v>
      </c>
    </row>
    <row r="8" spans="1:13" ht="13.5" thickTop="1">
      <c r="A8" s="41">
        <v>7</v>
      </c>
      <c r="B8" s="43" t="s">
        <v>89</v>
      </c>
      <c r="H8" s="213">
        <v>7</v>
      </c>
      <c r="I8" s="212" t="e">
        <f>IF(ISTEXT('VR-PROP'!#REF!),"DESCARTADO",'VR-PROP'!#REF!)</f>
        <v>#REF!</v>
      </c>
      <c r="J8" s="212" t="e">
        <f>IF(ISTEXT('VR-PROP'!#REF!),"DESCARTADO",'VR-PROP'!#REF!)</f>
        <v>#REF!</v>
      </c>
      <c r="M8" s="133" t="e">
        <f>IF(AND(ISTEXT('VR-PROP'!#REF!),'VR-PROP'!#REF!=""),"DESCARTADO",'VR-PROP'!#REF!)</f>
        <v>#REF!</v>
      </c>
    </row>
    <row r="9" spans="1:13">
      <c r="A9" s="42">
        <v>8</v>
      </c>
      <c r="B9" s="43" t="s">
        <v>90</v>
      </c>
      <c r="H9" s="213">
        <v>8</v>
      </c>
      <c r="I9" s="212" t="e">
        <f>IF(ISTEXT('VR-PROP'!#REF!),"DESCARTADO",'VR-PROP'!#REF!)</f>
        <v>#REF!</v>
      </c>
      <c r="J9" s="212" t="e">
        <f>IF(ISTEXT('VR-PROP'!#REF!),"DESCARTADO",'VR-PROP'!#REF!)</f>
        <v>#REF!</v>
      </c>
      <c r="M9" s="133" t="e">
        <f>IF(AND(ISTEXT('VR-PROP'!#REF!),'VR-PROP'!#REF!=""),"DESCARTADO",'VR-PROP'!#REF!)</f>
        <v>#REF!</v>
      </c>
    </row>
    <row r="10" spans="1:13">
      <c r="A10" s="46">
        <v>9</v>
      </c>
      <c r="B10" s="47" t="s">
        <v>91</v>
      </c>
      <c r="H10" s="213">
        <v>9</v>
      </c>
      <c r="I10" s="212" t="e">
        <f>IF(ISTEXT('VR-PROP'!#REF!),"DESCARTADO",'VR-PROP'!#REF!)</f>
        <v>#REF!</v>
      </c>
      <c r="J10" s="212" t="e">
        <f>IF(ISTEXT('VR-PROP'!#REF!),"DESCARTADO",'VR-PROP'!#REF!)</f>
        <v>#REF!</v>
      </c>
      <c r="M10" s="133" t="e">
        <f>IF(AND(ISTEXT('VR-PROP'!#REF!),'VR-PROP'!#REF!=""),"DESCARTADO",'VR-PROP'!#REF!)</f>
        <v>#REF!</v>
      </c>
    </row>
    <row r="11" spans="1:13">
      <c r="A11" s="46">
        <v>10</v>
      </c>
      <c r="B11" s="47" t="s">
        <v>92</v>
      </c>
      <c r="H11" s="213">
        <v>10</v>
      </c>
      <c r="I11" s="212" t="e">
        <f>IF(ISTEXT('VR-PROP'!#REF!),"DESCARTADO",'VR-PROP'!#REF!)</f>
        <v>#REF!</v>
      </c>
      <c r="J11" s="212" t="e">
        <f>IF(ISTEXT('VR-PROP'!#REF!),"DESCARTADO",'VR-PROP'!#REF!)</f>
        <v>#REF!</v>
      </c>
      <c r="M11" s="133" t="e">
        <f>IF(AND(ISTEXT('VR-PROP'!#REF!),'VR-PROP'!#REF!=""),"DESCARTADO",'VR-PROP'!#REF!)</f>
        <v>#REF!</v>
      </c>
    </row>
    <row r="12" spans="1:13">
      <c r="A12" s="46">
        <v>11</v>
      </c>
      <c r="B12" s="47" t="s">
        <v>93</v>
      </c>
      <c r="H12" s="213">
        <v>11</v>
      </c>
      <c r="I12" s="212" t="e">
        <f>IF(ISTEXT('VR-PROP'!#REF!),"DESCARTADO",'VR-PROP'!#REF!)</f>
        <v>#REF!</v>
      </c>
      <c r="J12" s="212" t="e">
        <f>IF(ISTEXT('VR-PROP'!#REF!),"DESCARTADO",'VR-PROP'!#REF!)</f>
        <v>#REF!</v>
      </c>
      <c r="M12" s="133" t="e">
        <f>IF(AND(ISTEXT('VR-PROP'!#REF!),'VR-PROP'!#REF!=""),"DESCARTADO",'VR-PROP'!#REF!)</f>
        <v>#REF!</v>
      </c>
    </row>
    <row r="13" spans="1:13">
      <c r="A13" s="46">
        <v>12</v>
      </c>
      <c r="B13" s="47" t="s">
        <v>94</v>
      </c>
      <c r="H13" s="213">
        <v>12</v>
      </c>
      <c r="I13" s="212" t="e">
        <f>IF(ISTEXT('VR-PROP'!#REF!),"DESCARTADO",'VR-PROP'!#REF!)</f>
        <v>#REF!</v>
      </c>
      <c r="J13" s="212" t="e">
        <f>IF(ISTEXT('VR-PROP'!#REF!),"DESCARTADO",'VR-PROP'!#REF!)</f>
        <v>#REF!</v>
      </c>
      <c r="M13" s="133" t="e">
        <f>IF(AND(ISTEXT('VR-PROP'!#REF!),'VR-PROP'!#REF!=""),"DESCARTADO",'VR-PROP'!#REF!)</f>
        <v>#REF!</v>
      </c>
    </row>
    <row r="14" spans="1:13">
      <c r="A14" s="46">
        <v>13</v>
      </c>
      <c r="B14" s="47" t="s">
        <v>95</v>
      </c>
      <c r="H14" s="213">
        <v>13</v>
      </c>
      <c r="I14" s="212" t="e">
        <f>IF(ISTEXT('VR-PROP'!#REF!),"DESCARTADO",'VR-PROP'!#REF!)</f>
        <v>#REF!</v>
      </c>
      <c r="J14" s="212" t="e">
        <f>IF(ISTEXT('VR-PROP'!#REF!),"DESCARTADO",'VR-PROP'!#REF!)</f>
        <v>#REF!</v>
      </c>
      <c r="M14" s="133" t="e">
        <f>IF(AND(ISTEXT('VR-PROP'!#REF!),'VR-PROP'!#REF!=""),"DESCARTADO",'VR-PROP'!#REF!)</f>
        <v>#REF!</v>
      </c>
    </row>
    <row r="15" spans="1:13">
      <c r="A15" s="46">
        <v>14</v>
      </c>
      <c r="B15" s="47" t="s">
        <v>96</v>
      </c>
      <c r="H15" s="213">
        <v>14</v>
      </c>
      <c r="I15" s="212" t="e">
        <f>IF(ISTEXT('VR-PROP'!#REF!),"DESCARTADO",'VR-PROP'!#REF!)</f>
        <v>#REF!</v>
      </c>
      <c r="J15" s="212" t="e">
        <f>IF(ISTEXT('VR-PROP'!#REF!),"DESCARTADO",'VR-PROP'!#REF!)</f>
        <v>#REF!</v>
      </c>
      <c r="M15" s="133" t="e">
        <f>IF(AND(ISTEXT('VR-PROP'!#REF!),'VR-PROP'!#REF!=""),"DESCARTADO",'VR-PROP'!#REF!)</f>
        <v>#REF!</v>
      </c>
    </row>
    <row r="16" spans="1:13" ht="13.5" thickBot="1">
      <c r="A16" s="44">
        <v>15</v>
      </c>
      <c r="B16" s="45" t="s">
        <v>99</v>
      </c>
      <c r="H16" s="213">
        <v>15</v>
      </c>
      <c r="I16" s="212" t="e">
        <f>IF(ISTEXT('VR-PROP'!#REF!),"DESCARTADO",'VR-PROP'!#REF!)</f>
        <v>#REF!</v>
      </c>
      <c r="J16" s="212" t="e">
        <f>IF(ISTEXT('VR-PROP'!#REF!),"DESCARTADO",'VR-PROP'!#REF!)</f>
        <v>#REF!</v>
      </c>
      <c r="M16" s="133" t="e">
        <f>IF(AND(ISTEXT('VR-PROP'!#REF!),'VR-PROP'!#REF!=""),"DESCARTADO",'VR-PROP'!#REF!)</f>
        <v>#REF!</v>
      </c>
    </row>
    <row r="17" spans="1:13" ht="14.25" thickTop="1" thickBot="1">
      <c r="A17" s="46">
        <v>16</v>
      </c>
      <c r="B17" s="45" t="s">
        <v>154</v>
      </c>
      <c r="H17" s="213">
        <v>15</v>
      </c>
      <c r="I17" s="212" t="e">
        <f>IF(ISTEXT('VR-PROP'!#REF!),"DESCARTADO",'VR-PROP'!#REF!)</f>
        <v>#REF!</v>
      </c>
      <c r="J17" s="212" t="e">
        <f>IF(ISTEXT('VR-PROP'!#REF!),"DESCARTADO",'VR-PROP'!#REF!)</f>
        <v>#REF!</v>
      </c>
      <c r="M17" s="133" t="e">
        <f>IF(AND(ISTEXT('VR-PROP'!#REF!),'VR-PROP'!#REF!=""),"DESCARTADO",'VR-PROP'!#REF!)</f>
        <v>#REF!</v>
      </c>
    </row>
    <row r="18" spans="1:13" ht="13.5" thickTop="1">
      <c r="H18" s="213">
        <v>16</v>
      </c>
      <c r="I18" s="212" t="e">
        <f>IF(ISTEXT('VR-PROP'!#REF!),"DESCARTADO",'VR-PROP'!#REF!)</f>
        <v>#REF!</v>
      </c>
      <c r="J18" s="212" t="e">
        <f>IF(ISTEXT('VR-PROP'!#REF!),"DESCARTADO",'VR-PROP'!#REF!)</f>
        <v>#REF!</v>
      </c>
      <c r="M18" s="133" t="e">
        <f>IF(AND(ISTEXT('VR-PROP'!#REF!),'VR-PROP'!#REF!=""),"DESCARTADO",'VR-PROP'!#REF!)</f>
        <v>#REF!</v>
      </c>
    </row>
    <row r="19" spans="1:13">
      <c r="H19" s="213">
        <v>17</v>
      </c>
      <c r="I19" s="212" t="e">
        <f>IF(ISTEXT('VR-PROP'!#REF!),"DESCARTADO",'VR-PROP'!#REF!)</f>
        <v>#REF!</v>
      </c>
      <c r="J19" s="212" t="e">
        <f>IF(ISTEXT('VR-PROP'!#REF!),"DESCARTADO",'VR-PROP'!#REF!)</f>
        <v>#REF!</v>
      </c>
      <c r="M19" s="133" t="e">
        <f>IF(AND(ISTEXT('VR-PROP'!#REF!),'VR-PROP'!#REF!=""),"DESCARTADO",'VR-PROP'!#REF!)</f>
        <v>#REF!</v>
      </c>
    </row>
    <row r="20" spans="1:13">
      <c r="H20" s="213">
        <v>18</v>
      </c>
      <c r="I20" s="212" t="e">
        <f>IF(ISTEXT('VR-PROP'!#REF!),"DESCARTADO",'VR-PROP'!#REF!)</f>
        <v>#REF!</v>
      </c>
      <c r="J20" s="212" t="e">
        <f>IF(ISTEXT('VR-PROP'!#REF!),"DESCARTADO",'VR-PROP'!#REF!)</f>
        <v>#REF!</v>
      </c>
      <c r="M20" s="133" t="e">
        <f>IF(AND(ISTEXT('VR-PROP'!#REF!),'VR-PROP'!#REF!=""),"DESCARTADO",'VR-PROP'!#REF!)</f>
        <v>#REF!</v>
      </c>
    </row>
    <row r="21" spans="1:13">
      <c r="H21" s="213">
        <v>19</v>
      </c>
      <c r="I21" s="212" t="e">
        <f>IF(ISTEXT('VR-PROP'!#REF!),"DESCARTADO",'VR-PROP'!#REF!)</f>
        <v>#REF!</v>
      </c>
      <c r="J21" s="212" t="e">
        <f>IF(ISTEXT('VR-PROP'!#REF!),"DESCARTADO",'VR-PROP'!#REF!)</f>
        <v>#REF!</v>
      </c>
      <c r="M21" s="133" t="e">
        <f>IF(AND(ISTEXT('VR-PROP'!#REF!),'VR-PROP'!#REF!=""),"DESCARTADO",'VR-PROP'!#REF!)</f>
        <v>#REF!</v>
      </c>
    </row>
    <row r="22" spans="1:13">
      <c r="H22" s="213">
        <v>20</v>
      </c>
      <c r="I22" s="212" t="e">
        <f>IF(ISTEXT('VR-PROP'!#REF!),"DESCARTADO",'VR-PROP'!#REF!)</f>
        <v>#REF!</v>
      </c>
      <c r="J22" s="212" t="e">
        <f>IF(ISTEXT('VR-PROP'!#REF!),"DESCARTADO",'VR-PROP'!#REF!)</f>
        <v>#REF!</v>
      </c>
      <c r="M22" s="133" t="e">
        <f>IF(AND(ISTEXT('VR-PROP'!#REF!),'VR-PROP'!#REF!=""),"DESCARTADO",'VR-PROP'!#REF!)</f>
        <v>#REF!</v>
      </c>
    </row>
    <row r="23" spans="1:13">
      <c r="H23" s="213">
        <v>21</v>
      </c>
      <c r="I23" s="212" t="e">
        <f>IF(ISTEXT('VR-PROP'!#REF!),"DESCARTADO",'VR-PROP'!#REF!)</f>
        <v>#REF!</v>
      </c>
      <c r="J23" s="212" t="e">
        <f>IF(ISTEXT('VR-PROP'!#REF!),"DESCARTADO",'VR-PROP'!#REF!)</f>
        <v>#REF!</v>
      </c>
      <c r="M23" s="133" t="e">
        <f>IF(AND(ISTEXT('VR-PROP'!#REF!),'VR-PROP'!#REF!=""),"DESCARTADO",'VR-PROP'!#REF!)</f>
        <v>#REF!</v>
      </c>
    </row>
    <row r="24" spans="1:13">
      <c r="H24" s="213">
        <v>22</v>
      </c>
      <c r="I24" s="212" t="e">
        <f>IF(ISTEXT('VR-PROP'!#REF!),"DESCARTADO",'VR-PROP'!#REF!)</f>
        <v>#REF!</v>
      </c>
      <c r="J24" s="212" t="e">
        <f>IF(ISTEXT('VR-PROP'!#REF!),"DESCARTADO",'VR-PROP'!#REF!)</f>
        <v>#REF!</v>
      </c>
      <c r="M24" s="133" t="e">
        <f>IF(AND(ISTEXT('VR-PROP'!#REF!),'VR-PROP'!#REF!=""),"DESCARTADO",'VR-PROP'!#REF!)</f>
        <v>#REF!</v>
      </c>
    </row>
    <row r="25" spans="1:13">
      <c r="H25" s="213">
        <v>23</v>
      </c>
      <c r="I25" s="212" t="e">
        <f>IF(ISTEXT('VR-PROP'!#REF!),"DESCARTADO",'VR-PROP'!#REF!)</f>
        <v>#REF!</v>
      </c>
      <c r="J25" s="212" t="e">
        <f>IF(ISTEXT('VR-PROP'!#REF!),"DESCARTADO",'VR-PROP'!#REF!)</f>
        <v>#REF!</v>
      </c>
      <c r="M25" s="133" t="e">
        <f>IF(AND(ISTEXT('VR-PROP'!#REF!),'VR-PROP'!#REF!=""),"DESCARTADO",'VR-PROP'!#REF!)</f>
        <v>#REF!</v>
      </c>
    </row>
    <row r="26" spans="1:13">
      <c r="H26" s="213">
        <v>24</v>
      </c>
      <c r="I26" s="212" t="e">
        <f>IF(ISTEXT('VR-PROP'!#REF!),"DESCARTADO",'VR-PROP'!#REF!)</f>
        <v>#REF!</v>
      </c>
      <c r="J26" s="212" t="e">
        <f>IF(ISTEXT('VR-PROP'!#REF!),"DESCARTADO",'VR-PROP'!#REF!)</f>
        <v>#REF!</v>
      </c>
      <c r="M26" s="133" t="e">
        <f>IF(AND(ISTEXT('VR-PROP'!#REF!),'VR-PROP'!#REF!=""),"DESCARTADO",'VR-PROP'!#REF!)</f>
        <v>#REF!</v>
      </c>
    </row>
    <row r="27" spans="1:13">
      <c r="H27" s="213">
        <v>25</v>
      </c>
      <c r="I27" s="212" t="e">
        <f>IF(ISTEXT('VR-PROP'!#REF!),"DESCARTADO",'VR-PROP'!#REF!)</f>
        <v>#REF!</v>
      </c>
      <c r="J27" s="212" t="e">
        <f>IF(ISTEXT('VR-PROP'!#REF!),"DESCARTADO",'VR-PROP'!#REF!)</f>
        <v>#REF!</v>
      </c>
      <c r="M27" s="133" t="e">
        <f>IF(AND(ISTEXT('VR-PROP'!#REF!),'VR-PROP'!#REF!=""),"DESCARTADO",'VR-PROP'!#REF!)</f>
        <v>#REF!</v>
      </c>
    </row>
    <row r="28" spans="1:13">
      <c r="H28" s="213">
        <v>26</v>
      </c>
      <c r="I28" s="212" t="e">
        <f>IF(ISTEXT('VR-PROP'!#REF!),"DESCARTADO",'VR-PROP'!#REF!)</f>
        <v>#REF!</v>
      </c>
      <c r="J28" s="212" t="e">
        <f>IF(ISTEXT('VR-PROP'!#REF!),"DESCARTADO",'VR-PROP'!#REF!)</f>
        <v>#REF!</v>
      </c>
      <c r="M28" s="133" t="e">
        <f>IF(AND(ISTEXT('VR-PROP'!#REF!),'VR-PROP'!#REF!=""),"DESCARTADO",'VR-PROP'!#REF!)</f>
        <v>#REF!</v>
      </c>
    </row>
    <row r="29" spans="1:13">
      <c r="H29" s="213">
        <v>27</v>
      </c>
      <c r="I29" s="212" t="e">
        <f>IF(ISTEXT('VR-PROP'!#REF!),"DESCARTADO",'VR-PROP'!#REF!)</f>
        <v>#REF!</v>
      </c>
      <c r="J29" s="212" t="e">
        <f>IF(ISTEXT('VR-PROP'!#REF!),"DESCARTADO",'VR-PROP'!#REF!)</f>
        <v>#REF!</v>
      </c>
      <c r="M29" s="133" t="e">
        <f>IF(AND(ISTEXT('VR-PROP'!#REF!),'VR-PROP'!#REF!=""),"DESCARTADO",'VR-PROP'!#REF!)</f>
        <v>#REF!</v>
      </c>
    </row>
    <row r="30" spans="1:13">
      <c r="H30" s="213">
        <v>28</v>
      </c>
      <c r="I30" s="212" t="e">
        <f>IF(ISTEXT('VR-PROP'!#REF!),"DESCARTADO",'VR-PROP'!#REF!)</f>
        <v>#REF!</v>
      </c>
      <c r="J30" s="212" t="e">
        <f>IF(ISTEXT('VR-PROP'!#REF!),"DESCARTADO",'VR-PROP'!#REF!)</f>
        <v>#REF!</v>
      </c>
      <c r="M30" s="133" t="e">
        <f>IF(AND(ISTEXT('VR-PROP'!#REF!),'VR-PROP'!#REF!=""),"DESCARTADO",'VR-PROP'!#REF!)</f>
        <v>#REF!</v>
      </c>
    </row>
    <row r="31" spans="1:13">
      <c r="H31" s="213">
        <v>29</v>
      </c>
      <c r="I31" s="212" t="e">
        <f>IF(ISTEXT('VR-PROP'!#REF!),"DESCARTADO",'VR-PROP'!#REF!)</f>
        <v>#REF!</v>
      </c>
      <c r="J31" s="212" t="e">
        <f>IF(ISTEXT('VR-PROP'!#REF!),"DESCARTADO",'VR-PROP'!#REF!)</f>
        <v>#REF!</v>
      </c>
      <c r="M31" s="133" t="e">
        <f>IF(AND(ISTEXT('VR-PROP'!#REF!),'VR-PROP'!#REF!=""),"DESCARTADO",'VR-PROP'!#REF!)</f>
        <v>#REF!</v>
      </c>
    </row>
    <row r="32" spans="1:13">
      <c r="H32" s="213">
        <v>30</v>
      </c>
      <c r="I32" s="212" t="e">
        <f>IF(ISTEXT('VR-PROP'!#REF!),"DESCARTADO",'VR-PROP'!#REF!)</f>
        <v>#REF!</v>
      </c>
      <c r="J32" s="212" t="e">
        <f>IF(ISTEXT('VR-PROP'!#REF!),"DESCARTADO",'VR-PROP'!#REF!)</f>
        <v>#REF!</v>
      </c>
      <c r="M32" s="133" t="e">
        <f>IF(AND(ISTEXT('VR-PROP'!#REF!),'VR-PROP'!#REF!=""),"DESCARTADO",'VR-PROP'!#REF!)</f>
        <v>#REF!</v>
      </c>
    </row>
    <row r="33" spans="8:13">
      <c r="H33" s="213">
        <v>31</v>
      </c>
      <c r="I33" s="212" t="e">
        <f>IF(ISTEXT('VR-PROP'!#REF!),"DESCARTADO",'VR-PROP'!#REF!)</f>
        <v>#REF!</v>
      </c>
      <c r="J33" s="212" t="e">
        <f>IF(ISTEXT('VR-PROP'!#REF!),"DESCARTADO",'VR-PROP'!#REF!)</f>
        <v>#REF!</v>
      </c>
      <c r="M33" s="133" t="e">
        <f>IF(AND(ISTEXT('VR-PROP'!#REF!),'VR-PROP'!#REF!=""),"DESCARTADO",'VR-PROP'!#REF!)</f>
        <v>#REF!</v>
      </c>
    </row>
    <row r="34" spans="8:13">
      <c r="H34" s="213">
        <v>32</v>
      </c>
      <c r="I34" s="212" t="e">
        <f>IF(ISTEXT('VR-PROP'!#REF!),"DESCARTADO",'VR-PROP'!#REF!)</f>
        <v>#REF!</v>
      </c>
      <c r="J34" s="212" t="e">
        <f>IF(ISTEXT('VR-PROP'!#REF!),"DESCARTADO",'VR-PROP'!#REF!)</f>
        <v>#REF!</v>
      </c>
      <c r="M34" s="133" t="e">
        <f>IF(AND(ISTEXT('VR-PROP'!#REF!),'VR-PROP'!#REF!=""),"DESCARTADO",'VR-PROP'!#REF!)</f>
        <v>#REF!</v>
      </c>
    </row>
    <row r="35" spans="8:13">
      <c r="H35" s="213">
        <v>33</v>
      </c>
      <c r="I35" s="212" t="e">
        <f>IF(ISTEXT('VR-PROP'!#REF!),"DESCARTADO",'VR-PROP'!#REF!)</f>
        <v>#REF!</v>
      </c>
      <c r="J35" s="212" t="e">
        <f>IF(ISTEXT('VR-PROP'!#REF!),"DESCARTADO",'VR-PROP'!#REF!)</f>
        <v>#REF!</v>
      </c>
      <c r="M35" s="133" t="e">
        <f>IF(AND(ISTEXT('VR-PROP'!#REF!),'VR-PROP'!#REF!=""),"DESCARTADO",'VR-PROP'!#REF!)</f>
        <v>#REF!</v>
      </c>
    </row>
    <row r="36" spans="8:13">
      <c r="H36" s="213">
        <v>34</v>
      </c>
      <c r="I36" s="212" t="e">
        <f>IF(ISTEXT('VR-PROP'!#REF!),"DESCARTADO",'VR-PROP'!#REF!)</f>
        <v>#REF!</v>
      </c>
      <c r="J36" s="212" t="e">
        <f>IF(ISTEXT('VR-PROP'!#REF!),"DESCARTADO",'VR-PROP'!#REF!)</f>
        <v>#REF!</v>
      </c>
      <c r="M36" s="133" t="e">
        <f>IF(AND(ISTEXT('VR-PROP'!#REF!),'VR-PROP'!#REF!=""),"DESCARTADO",'VR-PROP'!#REF!)</f>
        <v>#REF!</v>
      </c>
    </row>
    <row r="37" spans="8:13">
      <c r="H37" s="213">
        <v>35</v>
      </c>
      <c r="I37" s="212" t="e">
        <f>IF(ISTEXT('VR-PROP'!#REF!),"DESCARTADO",'VR-PROP'!#REF!)</f>
        <v>#REF!</v>
      </c>
      <c r="J37" s="212" t="e">
        <f>IF(ISTEXT('VR-PROP'!#REF!),"DESCARTADO",'VR-PROP'!#REF!)</f>
        <v>#REF!</v>
      </c>
      <c r="M37" s="133" t="e">
        <f>IF(AND(ISTEXT('VR-PROP'!#REF!),'VR-PROP'!#REF!=""),"DESCARTADO",'VR-PROP'!#REF!)</f>
        <v>#REF!</v>
      </c>
    </row>
    <row r="38" spans="8:13">
      <c r="H38" s="213">
        <v>36</v>
      </c>
      <c r="I38" s="212" t="e">
        <f>IF(ISTEXT('VR-PROP'!#REF!),"DESCARTADO",'VR-PROP'!#REF!)</f>
        <v>#REF!</v>
      </c>
      <c r="J38" s="212" t="e">
        <f>IF(ISTEXT('VR-PROP'!#REF!),"DESCARTADO",'VR-PROP'!#REF!)</f>
        <v>#REF!</v>
      </c>
      <c r="M38" s="133" t="e">
        <f>IF(AND(ISTEXT('VR-PROP'!#REF!),'VR-PROP'!#REF!=""),"DESCARTADO",'VR-PROP'!#REF!)</f>
        <v>#REF!</v>
      </c>
    </row>
    <row r="39" spans="8:13">
      <c r="H39" s="213">
        <v>37</v>
      </c>
      <c r="I39" s="212" t="e">
        <f>IF(ISTEXT('VR-PROP'!#REF!),"DESCARTADO",'VR-PROP'!#REF!)</f>
        <v>#REF!</v>
      </c>
      <c r="J39" s="212" t="e">
        <f>IF(ISTEXT('VR-PROP'!#REF!),"DESCARTADO",'VR-PROP'!#REF!)</f>
        <v>#REF!</v>
      </c>
      <c r="M39" s="133" t="e">
        <f>IF(AND(ISTEXT('VR-PROP'!#REF!),'VR-PROP'!#REF!=""),"DESCARTADO",'VR-PROP'!#REF!)</f>
        <v>#REF!</v>
      </c>
    </row>
    <row r="40" spans="8:13">
      <c r="H40" s="213">
        <v>38</v>
      </c>
      <c r="I40" s="212" t="e">
        <f>IF(ISTEXT('VR-PROP'!#REF!),"DESCARTADO",'VR-PROP'!#REF!)</f>
        <v>#REF!</v>
      </c>
      <c r="J40" s="212" t="e">
        <f>IF(ISTEXT('VR-PROP'!#REF!),"DESCARTADO",'VR-PROP'!#REF!)</f>
        <v>#REF!</v>
      </c>
      <c r="M40" s="133" t="e">
        <f>IF(AND(ISTEXT('VR-PROP'!#REF!),'VR-PROP'!#REF!=""),"DESCARTADO",'VR-PROP'!#REF!)</f>
        <v>#REF!</v>
      </c>
    </row>
    <row r="41" spans="8:13">
      <c r="H41" s="213">
        <v>39</v>
      </c>
      <c r="I41" s="212" t="e">
        <f>IF(ISTEXT('VR-PROP'!#REF!),"DESCARTADO",'VR-PROP'!#REF!)</f>
        <v>#REF!</v>
      </c>
      <c r="J41" s="212" t="e">
        <f>IF(ISTEXT('VR-PROP'!#REF!),"DESCARTADO",'VR-PROP'!#REF!)</f>
        <v>#REF!</v>
      </c>
      <c r="M41" s="133" t="e">
        <f>IF(AND(ISTEXT('VR-PROP'!#REF!),'VR-PROP'!#REF!=""),"DESCARTADO",'VR-PROP'!#REF!)</f>
        <v>#REF!</v>
      </c>
    </row>
    <row r="42" spans="8:13">
      <c r="H42" s="213">
        <v>40</v>
      </c>
      <c r="I42" s="212" t="e">
        <f>IF(ISTEXT('VR-PROP'!#REF!),"DESCARTADO",'VR-PROP'!#REF!)</f>
        <v>#REF!</v>
      </c>
      <c r="J42" s="212" t="e">
        <f>IF(ISTEXT('VR-PROP'!#REF!),"DESCARTADO",'VR-PROP'!#REF!)</f>
        <v>#REF!</v>
      </c>
      <c r="M42" s="133" t="e">
        <f>IF(AND(ISTEXT('VR-PROP'!#REF!),'VR-PROP'!#REF!=""),"DESCARTADO",'VR-PROP'!#REF!)</f>
        <v>#REF!</v>
      </c>
    </row>
    <row r="43" spans="8:13">
      <c r="H43" s="213">
        <v>41</v>
      </c>
      <c r="I43" s="212" t="e">
        <f>IF(ISTEXT('VR-PROP'!#REF!),"DESCARTADO",'VR-PROP'!#REF!)</f>
        <v>#REF!</v>
      </c>
      <c r="J43" s="212" t="e">
        <f>IF(ISTEXT('VR-PROP'!#REF!),"DESCARTADO",'VR-PROP'!#REF!)</f>
        <v>#REF!</v>
      </c>
      <c r="M43" s="133" t="e">
        <f>IF(AND(ISTEXT('VR-PROP'!#REF!),'VR-PROP'!#REF!=""),"DESCARTADO",'VR-PROP'!#REF!)</f>
        <v>#REF!</v>
      </c>
    </row>
    <row r="44" spans="8:13">
      <c r="H44" s="213">
        <v>42</v>
      </c>
      <c r="I44" s="212" t="e">
        <f>IF(ISTEXT('VR-PROP'!#REF!),"DESCARTADO",'VR-PROP'!#REF!)</f>
        <v>#REF!</v>
      </c>
      <c r="J44" s="212" t="e">
        <f>IF(ISTEXT('VR-PROP'!#REF!),"DESCARTADO",'VR-PROP'!#REF!)</f>
        <v>#REF!</v>
      </c>
      <c r="M44" s="133" t="e">
        <f>IF(AND(ISTEXT('VR-PROP'!#REF!),'VR-PROP'!#REF!=""),"DESCARTADO",'VR-PROP'!#REF!)</f>
        <v>#REF!</v>
      </c>
    </row>
    <row r="45" spans="8:13">
      <c r="H45" s="213">
        <v>43</v>
      </c>
      <c r="I45" s="212" t="e">
        <f>IF(ISTEXT('VR-PROP'!#REF!),"DESCARTADO",'VR-PROP'!#REF!)</f>
        <v>#REF!</v>
      </c>
      <c r="J45" s="212" t="e">
        <f>IF(ISTEXT('VR-PROP'!#REF!),"DESCARTADO",'VR-PROP'!#REF!)</f>
        <v>#REF!</v>
      </c>
      <c r="M45" s="133" t="e">
        <f>IF(AND(ISTEXT('VR-PROP'!#REF!),'VR-PROP'!#REF!=""),"DESCARTADO",'VR-PROP'!#REF!)</f>
        <v>#REF!</v>
      </c>
    </row>
    <row r="46" spans="8:13">
      <c r="H46" s="213">
        <v>44</v>
      </c>
      <c r="I46" s="212" t="e">
        <f>IF(ISTEXT('VR-PROP'!#REF!),"DESCARTADO",'VR-PROP'!#REF!)</f>
        <v>#REF!</v>
      </c>
      <c r="J46" s="212" t="e">
        <f>IF(ISTEXT('VR-PROP'!#REF!),"DESCARTADO",'VR-PROP'!#REF!)</f>
        <v>#REF!</v>
      </c>
      <c r="M46" s="133" t="e">
        <f>IF(AND(ISTEXT('VR-PROP'!#REF!),'VR-PROP'!#REF!=""),"DESCARTADO",'VR-PROP'!#REF!)</f>
        <v>#REF!</v>
      </c>
    </row>
    <row r="47" spans="8:13">
      <c r="H47" s="213">
        <v>45</v>
      </c>
      <c r="I47" s="212" t="e">
        <f>IF(ISTEXT('VR-PROP'!#REF!),"DESCARTADO",'VR-PROP'!#REF!)</f>
        <v>#REF!</v>
      </c>
      <c r="J47" s="212" t="e">
        <f>IF(ISTEXT('VR-PROP'!#REF!),"DESCARTADO",'VR-PROP'!#REF!)</f>
        <v>#REF!</v>
      </c>
      <c r="M47" s="133" t="e">
        <f>IF(AND(ISTEXT('VR-PROP'!#REF!),'VR-PROP'!#REF!=""),"DESCARTADO",'VR-PROP'!#REF!)</f>
        <v>#REF!</v>
      </c>
    </row>
    <row r="48" spans="8:13">
      <c r="H48" s="213">
        <v>46</v>
      </c>
      <c r="I48" s="212" t="e">
        <f>IF(ISTEXT('VR-PROP'!#REF!),"DESCARTADO",'VR-PROP'!#REF!)</f>
        <v>#REF!</v>
      </c>
      <c r="J48" s="212" t="e">
        <f>IF(ISTEXT('VR-PROP'!#REF!),"DESCARTADO",'VR-PROP'!#REF!)</f>
        <v>#REF!</v>
      </c>
      <c r="M48" s="133" t="e">
        <f>IF(AND(ISTEXT('VR-PROP'!#REF!),'VR-PROP'!#REF!=""),"DESCARTADO",'VR-PROP'!#REF!)</f>
        <v>#REF!</v>
      </c>
    </row>
    <row r="49" spans="8:13">
      <c r="H49" s="213">
        <v>47</v>
      </c>
      <c r="I49" s="212" t="e">
        <f>IF(ISTEXT('VR-PROP'!#REF!),"DESCARTADO",'VR-PROP'!#REF!)</f>
        <v>#REF!</v>
      </c>
      <c r="J49" s="212" t="e">
        <f>IF(ISTEXT('VR-PROP'!#REF!),"DESCARTADO",'VR-PROP'!#REF!)</f>
        <v>#REF!</v>
      </c>
      <c r="M49" s="133" t="e">
        <f>IF(AND(ISTEXT('VR-PROP'!#REF!),'VR-PROP'!#REF!=""),"DESCARTADO",'VR-PROP'!#REF!)</f>
        <v>#REF!</v>
      </c>
    </row>
    <row r="50" spans="8:13">
      <c r="H50" s="213">
        <v>48</v>
      </c>
      <c r="I50" s="212" t="e">
        <f>IF(ISTEXT('VR-PROP'!#REF!),"DESCARTADO",'VR-PROP'!#REF!)</f>
        <v>#REF!</v>
      </c>
      <c r="J50" s="212" t="e">
        <f>IF(ISTEXT('VR-PROP'!#REF!),"DESCARTADO",'VR-PROP'!#REF!)</f>
        <v>#REF!</v>
      </c>
      <c r="M50" s="133" t="e">
        <f>IF(AND(ISTEXT('VR-PROP'!#REF!),'VR-PROP'!#REF!=""),"DESCARTADO",'VR-PROP'!#REF!)</f>
        <v>#REF!</v>
      </c>
    </row>
    <row r="51" spans="8:13">
      <c r="H51" s="213">
        <v>49</v>
      </c>
      <c r="I51" s="212" t="e">
        <f>IF(ISTEXT('VR-PROP'!#REF!),"DESCARTADO",'VR-PROP'!#REF!)</f>
        <v>#REF!</v>
      </c>
      <c r="J51" s="212" t="e">
        <f>IF(ISTEXT('VR-PROP'!#REF!),"DESCARTADO",'VR-PROP'!#REF!)</f>
        <v>#REF!</v>
      </c>
      <c r="M51" s="133" t="e">
        <f>IF(AND(ISTEXT('VR-PROP'!#REF!),'VR-PROP'!#REF!=""),"DESCARTADO",'VR-PROP'!#REF!)</f>
        <v>#REF!</v>
      </c>
    </row>
    <row r="52" spans="8:13">
      <c r="H52" s="213">
        <v>50</v>
      </c>
      <c r="I52" s="212" t="e">
        <f>IF(ISTEXT('VR-PROP'!#REF!),"DESCARTADO",'VR-PROP'!#REF!)</f>
        <v>#REF!</v>
      </c>
      <c r="J52" s="212" t="e">
        <f>IF(ISTEXT('VR-PROP'!#REF!),"DESCARTADO",'VR-PROP'!#REF!)</f>
        <v>#REF!</v>
      </c>
      <c r="M52" s="133" t="e">
        <f>IF(AND(ISTEXT('VR-PROP'!#REF!),'VR-PROP'!#REF!=""),"DESCARTADO",'VR-PROP'!#REF!)</f>
        <v>#REF!</v>
      </c>
    </row>
    <row r="53" spans="8:13">
      <c r="H53" s="213">
        <v>51</v>
      </c>
      <c r="I53" s="212" t="e">
        <f>IF(ISTEXT('VR-PROP'!#REF!),"DESCARTADO",'VR-PROP'!#REF!)</f>
        <v>#REF!</v>
      </c>
      <c r="J53" s="212" t="e">
        <f>IF(ISTEXT('VR-PROP'!#REF!),"DESCARTADO",'VR-PROP'!#REF!)</f>
        <v>#REF!</v>
      </c>
      <c r="M53" s="133" t="e">
        <f>IF(AND(ISTEXT('VR-PROP'!#REF!),'VR-PROP'!#REF!=""),"DESCARTADO",'VR-PROP'!#REF!)</f>
        <v>#REF!</v>
      </c>
    </row>
    <row r="54" spans="8:13">
      <c r="H54" s="213">
        <v>52</v>
      </c>
      <c r="I54" s="212" t="e">
        <f>IF(ISTEXT('VR-PROP'!#REF!),"DESCARTADO",'VR-PROP'!#REF!)</f>
        <v>#REF!</v>
      </c>
      <c r="J54" s="212" t="e">
        <f>IF(ISTEXT('VR-PROP'!#REF!),"DESCARTADO",'VR-PROP'!#REF!)</f>
        <v>#REF!</v>
      </c>
      <c r="M54" s="133" t="e">
        <f>IF(AND(ISTEXT('VR-PROP'!#REF!),'VR-PROP'!#REF!=""),"DESCARTADO",'VR-PROP'!#REF!)</f>
        <v>#REF!</v>
      </c>
    </row>
    <row r="55" spans="8:13">
      <c r="H55" s="213">
        <v>53</v>
      </c>
      <c r="I55" s="212" t="e">
        <f>IF(ISTEXT('VR-PROP'!#REF!),"DESCARTADO",'VR-PROP'!#REF!)</f>
        <v>#REF!</v>
      </c>
      <c r="J55" s="212" t="e">
        <f>IF(ISTEXT('VR-PROP'!#REF!),"DESCARTADO",'VR-PROP'!#REF!)</f>
        <v>#REF!</v>
      </c>
      <c r="M55" s="133" t="e">
        <f>IF(AND(ISTEXT('VR-PROP'!#REF!),'VR-PROP'!#REF!=""),"DESCARTADO",'VR-PROP'!#REF!)</f>
        <v>#REF!</v>
      </c>
    </row>
    <row r="56" spans="8:13">
      <c r="H56" s="213">
        <v>54</v>
      </c>
      <c r="I56" s="212" t="e">
        <f>IF(ISTEXT('VR-PROP'!#REF!),"DESCARTADO",'VR-PROP'!#REF!)</f>
        <v>#REF!</v>
      </c>
      <c r="J56" s="212" t="e">
        <f>IF(ISTEXT('VR-PROP'!#REF!),"DESCARTADO",'VR-PROP'!#REF!)</f>
        <v>#REF!</v>
      </c>
      <c r="M56" s="133" t="e">
        <f>IF(AND(ISTEXT('VR-PROP'!#REF!),'VR-PROP'!#REF!=""),"DESCARTADO",'VR-PROP'!#REF!)</f>
        <v>#REF!</v>
      </c>
    </row>
    <row r="57" spans="8:13">
      <c r="H57" s="213">
        <v>55</v>
      </c>
      <c r="I57" s="212" t="e">
        <f>IF(ISTEXT('VR-PROP'!#REF!),"DESCARTADO",'VR-PROP'!#REF!)</f>
        <v>#REF!</v>
      </c>
      <c r="J57" s="212" t="e">
        <f>IF(ISTEXT('VR-PROP'!#REF!),"DESCARTADO",'VR-PROP'!#REF!)</f>
        <v>#REF!</v>
      </c>
      <c r="M57" s="133" t="e">
        <f>IF(AND(ISTEXT('VR-PROP'!#REF!),'VR-PROP'!#REF!=""),"DESCARTADO",'VR-PROP'!#REF!)</f>
        <v>#REF!</v>
      </c>
    </row>
    <row r="58" spans="8:13">
      <c r="H58" s="213">
        <v>56</v>
      </c>
      <c r="I58" s="212" t="e">
        <f>IF(ISTEXT('VR-PROP'!#REF!),"DESCARTADO",'VR-PROP'!#REF!)</f>
        <v>#REF!</v>
      </c>
      <c r="J58" s="212" t="e">
        <f>IF(ISTEXT('VR-PROP'!#REF!),"DESCARTADO",'VR-PROP'!#REF!)</f>
        <v>#REF!</v>
      </c>
      <c r="M58" s="133" t="e">
        <f>IF(AND(ISTEXT('VR-PROP'!#REF!),'VR-PROP'!#REF!=""),"DESCARTADO",'VR-PROP'!#REF!)</f>
        <v>#REF!</v>
      </c>
    </row>
    <row r="59" spans="8:13">
      <c r="H59" s="213">
        <v>57</v>
      </c>
      <c r="I59" s="212" t="e">
        <f>IF(ISTEXT('VR-PROP'!#REF!),"DESCARTADO",'VR-PROP'!#REF!)</f>
        <v>#REF!</v>
      </c>
      <c r="J59" s="212" t="e">
        <f>IF(ISTEXT('VR-PROP'!#REF!),"DESCARTADO",'VR-PROP'!#REF!)</f>
        <v>#REF!</v>
      </c>
      <c r="M59" s="133" t="e">
        <f>IF(AND(ISTEXT('VR-PROP'!#REF!),'VR-PROP'!#REF!=""),"DESCARTADO",'VR-PROP'!#REF!)</f>
        <v>#REF!</v>
      </c>
    </row>
    <row r="60" spans="8:13">
      <c r="H60" s="213">
        <v>58</v>
      </c>
      <c r="I60" s="212" t="e">
        <f>IF(ISTEXT('VR-PROP'!#REF!),"DESCARTADO",'VR-PROP'!#REF!)</f>
        <v>#REF!</v>
      </c>
      <c r="J60" s="212" t="e">
        <f>IF(ISTEXT('VR-PROP'!#REF!),"DESCARTADO",'VR-PROP'!#REF!)</f>
        <v>#REF!</v>
      </c>
      <c r="M60" s="133" t="e">
        <f>IF(AND(ISTEXT('VR-PROP'!#REF!),'VR-PROP'!#REF!=""),"DESCARTADO",'VR-PROP'!#REF!)</f>
        <v>#REF!</v>
      </c>
    </row>
    <row r="61" spans="8:13">
      <c r="H61" s="213">
        <v>59</v>
      </c>
      <c r="I61" s="212" t="e">
        <f>IF(ISTEXT('VR-PROP'!#REF!),"DESCARTADO",'VR-PROP'!#REF!)</f>
        <v>#REF!</v>
      </c>
      <c r="J61" s="212" t="e">
        <f>IF(ISTEXT('VR-PROP'!#REF!),"DESCARTADO",'VR-PROP'!#REF!)</f>
        <v>#REF!</v>
      </c>
      <c r="M61" s="133" t="e">
        <f>IF(AND(ISTEXT('VR-PROP'!#REF!),'VR-PROP'!#REF!=""),"DESCARTADO",'VR-PROP'!#REF!)</f>
        <v>#REF!</v>
      </c>
    </row>
    <row r="62" spans="8:13">
      <c r="H62" s="213">
        <v>60</v>
      </c>
      <c r="I62" s="212" t="e">
        <f>IF(ISTEXT('VR-PROP'!#REF!),"DESCARTADO",'VR-PROP'!#REF!)</f>
        <v>#REF!</v>
      </c>
      <c r="J62" s="212" t="e">
        <f>IF(ISTEXT('VR-PROP'!#REF!),"DESCARTADO",'VR-PROP'!#REF!)</f>
        <v>#REF!</v>
      </c>
      <c r="M62" s="133" t="e">
        <f>IF(AND(ISTEXT('VR-PROP'!#REF!),'VR-PROP'!#REF!=""),"DESCARTADO",'VR-PROP'!#REF!)</f>
        <v>#REF!</v>
      </c>
    </row>
    <row r="63" spans="8:13">
      <c r="H63" s="213">
        <v>61</v>
      </c>
      <c r="I63" s="212" t="e">
        <f>IF(ISTEXT('VR-PROP'!#REF!),"DESCARTADO",'VR-PROP'!#REF!)</f>
        <v>#REF!</v>
      </c>
      <c r="J63" s="212" t="e">
        <f>IF(ISTEXT('VR-PROP'!#REF!),"DESCARTADO",'VR-PROP'!#REF!)</f>
        <v>#REF!</v>
      </c>
      <c r="M63" s="133" t="e">
        <f>IF(AND(ISTEXT('VR-PROP'!#REF!),'VR-PROP'!#REF!=""),"DESCARTADO",'VR-PROP'!#REF!)</f>
        <v>#REF!</v>
      </c>
    </row>
    <row r="64" spans="8:13">
      <c r="H64" s="213">
        <v>62</v>
      </c>
      <c r="I64" s="212" t="e">
        <f>IF(ISTEXT('VR-PROP'!#REF!),"DESCARTADO",'VR-PROP'!#REF!)</f>
        <v>#REF!</v>
      </c>
      <c r="J64" s="212" t="e">
        <f>IF(ISTEXT('VR-PROP'!#REF!),"DESCARTADO",'VR-PROP'!#REF!)</f>
        <v>#REF!</v>
      </c>
      <c r="M64" s="133" t="e">
        <f>IF(AND(ISTEXT('VR-PROP'!#REF!),'VR-PROP'!#REF!=""),"DESCARTADO",'VR-PROP'!#REF!)</f>
        <v>#REF!</v>
      </c>
    </row>
    <row r="65" spans="8:13">
      <c r="H65" s="213">
        <v>63</v>
      </c>
      <c r="I65" s="212" t="e">
        <f>IF(ISTEXT('VR-PROP'!#REF!),"DESCARTADO",'VR-PROP'!#REF!)</f>
        <v>#REF!</v>
      </c>
      <c r="J65" s="212" t="e">
        <f>IF(ISTEXT('VR-PROP'!#REF!),"DESCARTADO",'VR-PROP'!#REF!)</f>
        <v>#REF!</v>
      </c>
      <c r="M65" s="133" t="e">
        <f>IF(AND(ISTEXT('VR-PROP'!#REF!),'VR-PROP'!#REF!=""),"DESCARTADO",'VR-PROP'!#REF!)</f>
        <v>#REF!</v>
      </c>
    </row>
    <row r="66" spans="8:13">
      <c r="H66" s="213">
        <v>64</v>
      </c>
      <c r="I66" s="212" t="e">
        <f>IF(ISTEXT('VR-PROP'!#REF!),"DESCARTADO",'VR-PROP'!#REF!)</f>
        <v>#REF!</v>
      </c>
      <c r="J66" s="212" t="e">
        <f>IF(ISTEXT('VR-PROP'!#REF!),"DESCARTADO",'VR-PROP'!#REF!)</f>
        <v>#REF!</v>
      </c>
      <c r="M66" s="133" t="e">
        <f>IF(AND(ISTEXT('VR-PROP'!#REF!),'VR-PROP'!#REF!=""),"DESCARTADO",'VR-PROP'!#REF!)</f>
        <v>#REF!</v>
      </c>
    </row>
    <row r="67" spans="8:13">
      <c r="H67" s="213">
        <v>65</v>
      </c>
      <c r="I67" s="212" t="e">
        <f>IF(ISTEXT('VR-PROP'!#REF!),"DESCARTADO",'VR-PROP'!#REF!)</f>
        <v>#REF!</v>
      </c>
      <c r="J67" s="212" t="e">
        <f>IF(ISTEXT('VR-PROP'!#REF!),"DESCARTADO",'VR-PROP'!#REF!)</f>
        <v>#REF!</v>
      </c>
      <c r="M67" s="133" t="e">
        <f>IF(AND(ISTEXT('VR-PROP'!#REF!),'VR-PROP'!#REF!=""),"DESCARTADO",'VR-PROP'!#REF!)</f>
        <v>#REF!</v>
      </c>
    </row>
    <row r="68" spans="8:13">
      <c r="H68" s="213">
        <v>66</v>
      </c>
      <c r="I68" s="212" t="e">
        <f>IF(ISTEXT('VR-PROP'!#REF!),"DESCARTADO",'VR-PROP'!#REF!)</f>
        <v>#REF!</v>
      </c>
      <c r="J68" s="212" t="e">
        <f>IF(ISTEXT('VR-PROP'!#REF!),"DESCARTADO",'VR-PROP'!#REF!)</f>
        <v>#REF!</v>
      </c>
      <c r="M68" s="133" t="e">
        <f>IF(AND(ISTEXT('VR-PROP'!#REF!),'VR-PROP'!#REF!=""),"DESCARTADO",'VR-PROP'!#REF!)</f>
        <v>#REF!</v>
      </c>
    </row>
    <row r="69" spans="8:13">
      <c r="H69" s="213">
        <v>67</v>
      </c>
      <c r="I69" s="212" t="e">
        <f>IF(ISTEXT('VR-PROP'!#REF!),"DESCARTADO",'VR-PROP'!#REF!)</f>
        <v>#REF!</v>
      </c>
      <c r="J69" s="212" t="e">
        <f>IF(ISTEXT('VR-PROP'!#REF!),"DESCARTADO",'VR-PROP'!#REF!)</f>
        <v>#REF!</v>
      </c>
      <c r="M69" s="133" t="e">
        <f>IF(AND(ISTEXT('VR-PROP'!#REF!),'VR-PROP'!#REF!=""),"DESCARTADO",'VR-PROP'!#REF!)</f>
        <v>#REF!</v>
      </c>
    </row>
    <row r="70" spans="8:13">
      <c r="H70" s="213">
        <v>68</v>
      </c>
      <c r="I70" s="212" t="e">
        <f>IF(ISTEXT('VR-PROP'!#REF!),"DESCARTADO",'VR-PROP'!#REF!)</f>
        <v>#REF!</v>
      </c>
      <c r="J70" s="212" t="e">
        <f>IF(ISTEXT('VR-PROP'!#REF!),"DESCARTADO",'VR-PROP'!#REF!)</f>
        <v>#REF!</v>
      </c>
      <c r="M70" s="133" t="e">
        <f>IF(AND(ISTEXT('VR-PROP'!#REF!),'VR-PROP'!#REF!=""),"DESCARTADO",'VR-PROP'!#REF!)</f>
        <v>#REF!</v>
      </c>
    </row>
    <row r="71" spans="8:13">
      <c r="H71" s="213">
        <v>69</v>
      </c>
      <c r="I71" s="212" t="e">
        <f>IF(ISTEXT('VR-PROP'!#REF!),"DESCARTADO",'VR-PROP'!#REF!)</f>
        <v>#REF!</v>
      </c>
      <c r="J71" s="212" t="e">
        <f>IF(ISTEXT('VR-PROP'!#REF!),"DESCARTADO",'VR-PROP'!#REF!)</f>
        <v>#REF!</v>
      </c>
      <c r="M71" s="133" t="e">
        <f>IF(AND(ISTEXT('VR-PROP'!#REF!),'VR-PROP'!#REF!=""),"DESCARTADO",'VR-PROP'!#REF!)</f>
        <v>#REF!</v>
      </c>
    </row>
    <row r="72" spans="8:13">
      <c r="H72" s="213">
        <v>70</v>
      </c>
      <c r="I72" s="212" t="e">
        <f>IF(ISTEXT('VR-PROP'!#REF!),"DESCARTADO",'VR-PROP'!#REF!)</f>
        <v>#REF!</v>
      </c>
      <c r="J72" s="212" t="e">
        <f>IF(ISTEXT('VR-PROP'!#REF!),"DESCARTADO",'VR-PROP'!#REF!)</f>
        <v>#REF!</v>
      </c>
      <c r="M72" s="133" t="e">
        <f>IF(AND(ISTEXT('VR-PROP'!#REF!),'VR-PROP'!#REF!=""),"DESCARTADO",'VR-PROP'!#REF!)</f>
        <v>#REF!</v>
      </c>
    </row>
    <row r="73" spans="8:13">
      <c r="H73" s="213">
        <v>71</v>
      </c>
      <c r="I73" s="212" t="e">
        <f>IF(ISTEXT('VR-PROP'!#REF!),"DESCARTADO",'VR-PROP'!#REF!)</f>
        <v>#REF!</v>
      </c>
      <c r="J73" s="212" t="e">
        <f>IF(ISTEXT('VR-PROP'!#REF!),"DESCARTADO",'VR-PROP'!#REF!)</f>
        <v>#REF!</v>
      </c>
      <c r="M73" s="133" t="e">
        <f>IF(AND(ISTEXT('VR-PROP'!#REF!),'VR-PROP'!#REF!=""),"DESCARTADO",'VR-PROP'!#REF!)</f>
        <v>#REF!</v>
      </c>
    </row>
    <row r="74" spans="8:13">
      <c r="H74" s="213">
        <v>72</v>
      </c>
      <c r="I74" s="212" t="e">
        <f>IF(ISTEXT('VR-PROP'!#REF!),"DESCARTADO",'VR-PROP'!#REF!)</f>
        <v>#REF!</v>
      </c>
      <c r="J74" s="212" t="e">
        <f>IF(ISTEXT('VR-PROP'!#REF!),"DESCARTADO",'VR-PROP'!#REF!)</f>
        <v>#REF!</v>
      </c>
      <c r="M74" s="133" t="e">
        <f>IF(AND(ISTEXT('VR-PROP'!#REF!),'VR-PROP'!#REF!=""),"DESCARTADO",'VR-PROP'!#REF!)</f>
        <v>#REF!</v>
      </c>
    </row>
    <row r="75" spans="8:13">
      <c r="H75" s="213">
        <v>73</v>
      </c>
      <c r="I75" s="212" t="e">
        <f>IF(ISTEXT('VR-PROP'!#REF!),"DESCARTADO",'VR-PROP'!#REF!)</f>
        <v>#REF!</v>
      </c>
      <c r="J75" s="212" t="e">
        <f>IF(ISTEXT('VR-PROP'!#REF!),"DESCARTADO",'VR-PROP'!#REF!)</f>
        <v>#REF!</v>
      </c>
      <c r="M75" s="133" t="e">
        <f>IF(AND(ISTEXT('VR-PROP'!#REF!),'VR-PROP'!#REF!=""),"DESCARTADO",'VR-PROP'!#REF!)</f>
        <v>#REF!</v>
      </c>
    </row>
    <row r="76" spans="8:13">
      <c r="H76" s="213">
        <v>74</v>
      </c>
      <c r="I76" s="212" t="e">
        <f>IF(ISTEXT('VR-PROP'!#REF!),"DESCARTADO",'VR-PROP'!#REF!)</f>
        <v>#REF!</v>
      </c>
      <c r="J76" s="212" t="e">
        <f>IF(ISTEXT('VR-PROP'!#REF!),"DESCARTADO",'VR-PROP'!#REF!)</f>
        <v>#REF!</v>
      </c>
      <c r="M76" s="133" t="e">
        <f>IF(AND(ISTEXT('VR-PROP'!#REF!),'VR-PROP'!#REF!=""),"DESCARTADO",'VR-PROP'!#REF!)</f>
        <v>#REF!</v>
      </c>
    </row>
    <row r="77" spans="8:13">
      <c r="H77" s="213">
        <v>75</v>
      </c>
      <c r="I77" s="212" t="e">
        <f>IF(ISTEXT('VR-PROP'!#REF!),"DESCARTADO",'VR-PROP'!#REF!)</f>
        <v>#REF!</v>
      </c>
      <c r="J77" s="212" t="e">
        <f>IF(ISTEXT('VR-PROP'!#REF!),"DESCARTADO",'VR-PROP'!#REF!)</f>
        <v>#REF!</v>
      </c>
      <c r="M77" s="133" t="e">
        <f>IF(AND(ISTEXT('VR-PROP'!#REF!),'VR-PROP'!#REF!=""),"DESCARTADO",'VR-PROP'!#REF!)</f>
        <v>#REF!</v>
      </c>
    </row>
    <row r="78" spans="8:13">
      <c r="H78" s="213">
        <v>76</v>
      </c>
      <c r="I78" s="212" t="e">
        <f>IF(ISTEXT('VR-PROP'!#REF!),"DESCARTADO",'VR-PROP'!#REF!)</f>
        <v>#REF!</v>
      </c>
      <c r="J78" s="212" t="e">
        <f>IF(ISTEXT('VR-PROP'!#REF!),"DESCARTADO",'VR-PROP'!#REF!)</f>
        <v>#REF!</v>
      </c>
      <c r="M78" s="133" t="e">
        <f>IF(AND(ISTEXT('VR-PROP'!#REF!),'VR-PROP'!#REF!=""),"DESCARTADO",'VR-PROP'!#REF!)</f>
        <v>#REF!</v>
      </c>
    </row>
    <row r="79" spans="8:13">
      <c r="H79" s="213">
        <v>77</v>
      </c>
      <c r="I79" s="212" t="e">
        <f>IF(ISTEXT('VR-PROP'!#REF!),"DESCARTADO",'VR-PROP'!#REF!)</f>
        <v>#REF!</v>
      </c>
      <c r="J79" s="212" t="e">
        <f>IF(ISTEXT('VR-PROP'!#REF!),"DESCARTADO",'VR-PROP'!#REF!)</f>
        <v>#REF!</v>
      </c>
      <c r="M79" s="133" t="e">
        <f>IF(AND(ISTEXT('VR-PROP'!#REF!),'VR-PROP'!#REF!=""),"DESCARTADO",'VR-PROP'!#REF!)</f>
        <v>#REF!</v>
      </c>
    </row>
    <row r="80" spans="8:13">
      <c r="H80" s="213">
        <v>78</v>
      </c>
      <c r="I80" s="212" t="e">
        <f>IF(ISTEXT('VR-PROP'!#REF!),"DESCARTADO",'VR-PROP'!#REF!)</f>
        <v>#REF!</v>
      </c>
      <c r="J80" s="212" t="e">
        <f>IF(ISTEXT('VR-PROP'!#REF!),"DESCARTADO",'VR-PROP'!#REF!)</f>
        <v>#REF!</v>
      </c>
      <c r="M80" s="133" t="e">
        <f>IF(AND(ISTEXT('VR-PROP'!#REF!),'VR-PROP'!#REF!=""),"DESCARTADO",'VR-PROP'!#REF!)</f>
        <v>#REF!</v>
      </c>
    </row>
    <row r="81" spans="8:13">
      <c r="H81" s="213">
        <v>79</v>
      </c>
      <c r="I81" s="212" t="e">
        <f>IF(ISTEXT('VR-PROP'!#REF!),"DESCARTADO",'VR-PROP'!#REF!)</f>
        <v>#REF!</v>
      </c>
      <c r="J81" s="212" t="e">
        <f>IF(ISTEXT('VR-PROP'!#REF!),"DESCARTADO",'VR-PROP'!#REF!)</f>
        <v>#REF!</v>
      </c>
      <c r="M81" s="133" t="e">
        <f>IF(AND(ISTEXT('VR-PROP'!#REF!),'VR-PROP'!#REF!=""),"DESCARTADO",'VR-PROP'!#REF!)</f>
        <v>#REF!</v>
      </c>
    </row>
    <row r="82" spans="8:13">
      <c r="H82" s="213">
        <v>80</v>
      </c>
      <c r="I82" s="212" t="e">
        <f>IF(ISTEXT('VR-PROP'!#REF!),"DESCARTADO",'VR-PROP'!#REF!)</f>
        <v>#REF!</v>
      </c>
      <c r="J82" s="212" t="e">
        <f>IF(ISTEXT('VR-PROP'!#REF!),"DESCARTADO",'VR-PROP'!#REF!)</f>
        <v>#REF!</v>
      </c>
      <c r="M82" s="133" t="e">
        <f>IF(AND(ISTEXT('VR-PROP'!#REF!),'VR-PROP'!#REF!=""),"DESCARTADO",'VR-PROP'!#REF!)</f>
        <v>#REF!</v>
      </c>
    </row>
    <row r="83" spans="8:13">
      <c r="H83" s="213">
        <v>81</v>
      </c>
      <c r="I83" s="212" t="e">
        <f>IF(ISTEXT('VR-PROP'!#REF!),"DESCARTADO",'VR-PROP'!#REF!)</f>
        <v>#REF!</v>
      </c>
      <c r="J83" s="212" t="e">
        <f>IF(ISTEXT('VR-PROP'!#REF!),"DESCARTADO",'VR-PROP'!#REF!)</f>
        <v>#REF!</v>
      </c>
      <c r="M83" s="133" t="e">
        <f>IF(AND(ISTEXT('VR-PROP'!#REF!),'VR-PROP'!#REF!=""),"DESCARTADO",'VR-PROP'!#REF!)</f>
        <v>#REF!</v>
      </c>
    </row>
    <row r="84" spans="8:13">
      <c r="H84" s="213">
        <v>82</v>
      </c>
      <c r="I84" s="212" t="e">
        <f>IF(ISTEXT('VR-PROP'!#REF!),"DESCARTADO",'VR-PROP'!#REF!)</f>
        <v>#REF!</v>
      </c>
      <c r="J84" s="212" t="e">
        <f>IF(ISTEXT('VR-PROP'!#REF!),"DESCARTADO",'VR-PROP'!#REF!)</f>
        <v>#REF!</v>
      </c>
      <c r="M84" s="133" t="e">
        <f>IF(AND(ISTEXT('VR-PROP'!#REF!),'VR-PROP'!#REF!=""),"DESCARTADO",'VR-PROP'!#REF!)</f>
        <v>#REF!</v>
      </c>
    </row>
    <row r="85" spans="8:13">
      <c r="H85" s="213">
        <v>83</v>
      </c>
      <c r="I85" s="212" t="e">
        <f>IF(ISTEXT('VR-PROP'!#REF!),"DESCARTADO",'VR-PROP'!#REF!)</f>
        <v>#REF!</v>
      </c>
      <c r="J85" s="212" t="e">
        <f>IF(ISTEXT('VR-PROP'!#REF!),"DESCARTADO",'VR-PROP'!#REF!)</f>
        <v>#REF!</v>
      </c>
      <c r="M85" s="133" t="e">
        <f>IF(AND(ISTEXT('VR-PROP'!#REF!),'VR-PROP'!#REF!=""),"DESCARTADO",'VR-PROP'!#REF!)</f>
        <v>#REF!</v>
      </c>
    </row>
    <row r="86" spans="8:13">
      <c r="H86" s="213">
        <v>84</v>
      </c>
      <c r="I86" s="212" t="e">
        <f>IF(ISTEXT('VR-PROP'!#REF!),"DESCARTADO",'VR-PROP'!#REF!)</f>
        <v>#REF!</v>
      </c>
      <c r="J86" s="212" t="e">
        <f>IF(ISTEXT('VR-PROP'!#REF!),"DESCARTADO",'VR-PROP'!#REF!)</f>
        <v>#REF!</v>
      </c>
      <c r="M86" s="133" t="e">
        <f>IF(AND(ISTEXT('VR-PROP'!#REF!),'VR-PROP'!#REF!=""),"DESCARTADO",'VR-PROP'!#REF!)</f>
        <v>#REF!</v>
      </c>
    </row>
    <row r="87" spans="8:13">
      <c r="H87" s="213">
        <v>85</v>
      </c>
      <c r="I87" s="212" t="e">
        <f>IF(ISTEXT('VR-PROP'!#REF!),"DESCARTADO",'VR-PROP'!#REF!)</f>
        <v>#REF!</v>
      </c>
      <c r="J87" s="212" t="e">
        <f>IF(ISTEXT('VR-PROP'!#REF!),"DESCARTADO",'VR-PROP'!#REF!)</f>
        <v>#REF!</v>
      </c>
      <c r="M87" s="133" t="e">
        <f>IF(AND(ISTEXT('VR-PROP'!#REF!),'VR-PROP'!#REF!=""),"DESCARTADO",'VR-PROP'!#REF!)</f>
        <v>#REF!</v>
      </c>
    </row>
    <row r="88" spans="8:13">
      <c r="H88" s="213">
        <v>86</v>
      </c>
      <c r="I88" s="212" t="e">
        <f>IF(ISTEXT('VR-PROP'!#REF!),"DESCARTADO",'VR-PROP'!#REF!)</f>
        <v>#REF!</v>
      </c>
      <c r="J88" s="212" t="e">
        <f>IF(ISTEXT('VR-PROP'!#REF!),"DESCARTADO",'VR-PROP'!#REF!)</f>
        <v>#REF!</v>
      </c>
      <c r="M88" s="133" t="e">
        <f>IF(AND(ISTEXT('VR-PROP'!#REF!),'VR-PROP'!#REF!=""),"DESCARTADO",'VR-PROP'!#REF!)</f>
        <v>#REF!</v>
      </c>
    </row>
    <row r="89" spans="8:13">
      <c r="H89" s="213">
        <v>87</v>
      </c>
      <c r="I89" s="212" t="e">
        <f>IF(ISTEXT('VR-PROP'!#REF!),"DESCARTADO",'VR-PROP'!#REF!)</f>
        <v>#REF!</v>
      </c>
      <c r="J89" s="212" t="e">
        <f>IF(ISTEXT('VR-PROP'!#REF!),"DESCARTADO",'VR-PROP'!#REF!)</f>
        <v>#REF!</v>
      </c>
      <c r="M89" s="133" t="e">
        <f>IF(AND(ISTEXT('VR-PROP'!#REF!),'VR-PROP'!#REF!=""),"DESCARTADO",'VR-PROP'!#REF!)</f>
        <v>#REF!</v>
      </c>
    </row>
    <row r="90" spans="8:13">
      <c r="H90" s="213">
        <v>88</v>
      </c>
      <c r="I90" s="212" t="e">
        <f>IF(ISTEXT('VR-PROP'!#REF!),"DESCARTADO",'VR-PROP'!#REF!)</f>
        <v>#REF!</v>
      </c>
      <c r="J90" s="212" t="e">
        <f>IF(ISTEXT('VR-PROP'!#REF!),"DESCARTADO",'VR-PROP'!#REF!)</f>
        <v>#REF!</v>
      </c>
      <c r="M90" s="133" t="e">
        <f>IF(AND(ISTEXT('VR-PROP'!#REF!),'VR-PROP'!#REF!=""),"DESCARTADO",'VR-PROP'!#REF!)</f>
        <v>#REF!</v>
      </c>
    </row>
    <row r="91" spans="8:13">
      <c r="H91" s="213">
        <v>89</v>
      </c>
      <c r="I91" s="212" t="e">
        <f>IF(ISTEXT('VR-PROP'!#REF!),"DESCARTADO",'VR-PROP'!#REF!)</f>
        <v>#REF!</v>
      </c>
      <c r="J91" s="212" t="e">
        <f>IF(ISTEXT('VR-PROP'!#REF!),"DESCARTADO",'VR-PROP'!#REF!)</f>
        <v>#REF!</v>
      </c>
      <c r="M91" s="133" t="e">
        <f>IF(AND(ISTEXT('VR-PROP'!#REF!),'VR-PROP'!#REF!=""),"DESCARTADO",'VR-PROP'!#REF!)</f>
        <v>#REF!</v>
      </c>
    </row>
    <row r="92" spans="8:13">
      <c r="H92" s="213">
        <v>90</v>
      </c>
      <c r="I92" s="212" t="e">
        <f>IF(ISTEXT('VR-PROP'!#REF!),"DESCARTADO",'VR-PROP'!#REF!)</f>
        <v>#REF!</v>
      </c>
      <c r="J92" s="212" t="e">
        <f>IF(ISTEXT('VR-PROP'!#REF!),"DESCARTADO",'VR-PROP'!#REF!)</f>
        <v>#REF!</v>
      </c>
      <c r="M92" s="133" t="e">
        <f>IF(AND(ISTEXT('VR-PROP'!#REF!),'VR-PROP'!#REF!=""),"DESCARTADO",'VR-PROP'!#REF!)</f>
        <v>#REF!</v>
      </c>
    </row>
    <row r="93" spans="8:13">
      <c r="H93" s="213">
        <v>91</v>
      </c>
      <c r="I93" s="212" t="e">
        <f>IF(ISTEXT('VR-PROP'!#REF!),"DESCARTADO",'VR-PROP'!#REF!)</f>
        <v>#REF!</v>
      </c>
      <c r="J93" s="212" t="e">
        <f>IF(ISTEXT('VR-PROP'!#REF!),"DESCARTADO",'VR-PROP'!#REF!)</f>
        <v>#REF!</v>
      </c>
      <c r="M93" s="133" t="e">
        <f>IF(AND(ISTEXT('VR-PROP'!#REF!),'VR-PROP'!#REF!=""),"DESCARTADO",'VR-PROP'!#REF!)</f>
        <v>#REF!</v>
      </c>
    </row>
    <row r="94" spans="8:13">
      <c r="H94" s="213">
        <v>92</v>
      </c>
      <c r="I94" s="212" t="e">
        <f>IF(ISTEXT('VR-PROP'!#REF!),"DESCARTADO",'VR-PROP'!#REF!)</f>
        <v>#REF!</v>
      </c>
      <c r="J94" s="212" t="e">
        <f>IF(ISTEXT('VR-PROP'!#REF!),"DESCARTADO",'VR-PROP'!#REF!)</f>
        <v>#REF!</v>
      </c>
      <c r="M94" s="133" t="e">
        <f>IF(AND(ISTEXT('VR-PROP'!#REF!),'VR-PROP'!#REF!=""),"DESCARTADO",'VR-PROP'!#REF!)</f>
        <v>#REF!</v>
      </c>
    </row>
    <row r="95" spans="8:13">
      <c r="H95" s="213">
        <v>93</v>
      </c>
      <c r="I95" s="212" t="e">
        <f>IF(ISTEXT('VR-PROP'!#REF!),"DESCARTADO",'VR-PROP'!#REF!)</f>
        <v>#REF!</v>
      </c>
      <c r="J95" s="212" t="e">
        <f>IF(ISTEXT('VR-PROP'!#REF!),"DESCARTADO",'VR-PROP'!#REF!)</f>
        <v>#REF!</v>
      </c>
      <c r="M95" s="133" t="e">
        <f>IF(AND(ISTEXT('VR-PROP'!#REF!),'VR-PROP'!#REF!=""),"DESCARTADO",'VR-PROP'!#REF!)</f>
        <v>#REF!</v>
      </c>
    </row>
    <row r="96" spans="8:13">
      <c r="H96" s="213">
        <v>94</v>
      </c>
      <c r="I96" s="212" t="e">
        <f>IF(ISTEXT('VR-PROP'!#REF!),"DESCARTADO",'VR-PROP'!#REF!)</f>
        <v>#REF!</v>
      </c>
      <c r="J96" s="212" t="e">
        <f>IF(ISTEXT('VR-PROP'!#REF!),"DESCARTADO",'VR-PROP'!#REF!)</f>
        <v>#REF!</v>
      </c>
      <c r="M96" s="133" t="e">
        <f>IF(AND(ISTEXT('VR-PROP'!#REF!),'VR-PROP'!#REF!=""),"DESCARTADO",'VR-PROP'!#REF!)</f>
        <v>#REF!</v>
      </c>
    </row>
    <row r="97" spans="8:13">
      <c r="H97" s="213">
        <v>95</v>
      </c>
      <c r="I97" s="212" t="e">
        <f>IF(ISTEXT('VR-PROP'!#REF!),"DESCARTADO",'VR-PROP'!#REF!)</f>
        <v>#REF!</v>
      </c>
      <c r="J97" s="212" t="e">
        <f>IF(ISTEXT('VR-PROP'!#REF!),"DESCARTADO",'VR-PROP'!#REF!)</f>
        <v>#REF!</v>
      </c>
      <c r="M97" s="133" t="e">
        <f>IF(AND(ISTEXT('VR-PROP'!#REF!),'VR-PROP'!#REF!=""),"DESCARTADO",'VR-PROP'!#REF!)</f>
        <v>#REF!</v>
      </c>
    </row>
    <row r="98" spans="8:13">
      <c r="H98" s="213">
        <v>96</v>
      </c>
      <c r="I98" s="212" t="e">
        <f>IF(ISTEXT('VR-PROP'!#REF!),"DESCARTADO",'VR-PROP'!#REF!)</f>
        <v>#REF!</v>
      </c>
      <c r="J98" s="212" t="e">
        <f>IF(ISTEXT('VR-PROP'!#REF!),"DESCARTADO",'VR-PROP'!#REF!)</f>
        <v>#REF!</v>
      </c>
      <c r="M98" s="133" t="e">
        <f>IF(AND(ISTEXT('VR-PROP'!#REF!),'VR-PROP'!#REF!=""),"DESCARTADO",'VR-PROP'!#REF!)</f>
        <v>#REF!</v>
      </c>
    </row>
    <row r="99" spans="8:13">
      <c r="H99" s="213">
        <v>97</v>
      </c>
      <c r="I99" s="212" t="e">
        <f>IF(ISTEXT('VR-PROP'!#REF!),"DESCARTADO",'VR-PROP'!#REF!)</f>
        <v>#REF!</v>
      </c>
      <c r="J99" s="212" t="e">
        <f>IF(ISTEXT('VR-PROP'!#REF!),"DESCARTADO",'VR-PROP'!#REF!)</f>
        <v>#REF!</v>
      </c>
      <c r="M99" s="133" t="e">
        <f>IF(AND(ISTEXT('VR-PROP'!#REF!),'VR-PROP'!#REF!=""),"DESCARTADO",'VR-PROP'!#REF!)</f>
        <v>#REF!</v>
      </c>
    </row>
    <row r="100" spans="8:13">
      <c r="H100" s="213">
        <v>98</v>
      </c>
      <c r="I100" s="212" t="e">
        <f>IF(ISTEXT('VR-PROP'!#REF!),"DESCARTADO",'VR-PROP'!#REF!)</f>
        <v>#REF!</v>
      </c>
      <c r="J100" s="212" t="e">
        <f>IF(ISTEXT('VR-PROP'!#REF!),"DESCARTADO",'VR-PROP'!#REF!)</f>
        <v>#REF!</v>
      </c>
      <c r="M100" s="133" t="e">
        <f>IF(AND(ISTEXT('VR-PROP'!#REF!),'VR-PROP'!#REF!=""),"DESCARTADO",'VR-PROP'!#REF!)</f>
        <v>#REF!</v>
      </c>
    </row>
    <row r="101" spans="8:13">
      <c r="H101" s="213">
        <v>99</v>
      </c>
      <c r="I101" s="212" t="e">
        <f>IF(ISTEXT('VR-PROP'!#REF!),"DESCARTADO",'VR-PROP'!#REF!)</f>
        <v>#REF!</v>
      </c>
      <c r="J101" s="212" t="e">
        <f>IF(ISTEXT('VR-PROP'!#REF!),"DESCARTADO",'VR-PROP'!#REF!)</f>
        <v>#REF!</v>
      </c>
      <c r="M101" s="133" t="e">
        <f>IF(AND(ISTEXT('VR-PROP'!#REF!),'VR-PROP'!#REF!=""),"DESCARTADO",'VR-PROP'!#REF!)</f>
        <v>#REF!</v>
      </c>
    </row>
    <row r="102" spans="8:13">
      <c r="H102" s="213">
        <v>100</v>
      </c>
      <c r="I102" s="212" t="e">
        <f>IF(ISTEXT('VR-PROP'!#REF!),"DESCARTADO",'VR-PROP'!#REF!)</f>
        <v>#REF!</v>
      </c>
      <c r="J102" s="212" t="e">
        <f>IF(ISTEXT('VR-PROP'!#REF!),"DESCARTADO",'VR-PROP'!#REF!)</f>
        <v>#REF!</v>
      </c>
      <c r="M102" s="133" t="e">
        <f>IF(AND(ISTEXT('VR-PROP'!#REF!),'VR-PROP'!#REF!=""),"DESCARTADO",'VR-PROP'!#REF!)</f>
        <v>#REF!</v>
      </c>
    </row>
    <row r="103" spans="8:13">
      <c r="H103" s="213">
        <v>101</v>
      </c>
      <c r="I103" s="212" t="e">
        <f>IF(ISTEXT('VR-PROP'!#REF!),"DESCARTADO",'VR-PROP'!#REF!)</f>
        <v>#REF!</v>
      </c>
      <c r="J103" s="212" t="e">
        <f>IF(ISTEXT('VR-PROP'!#REF!),"DESCARTADO",'VR-PROP'!#REF!)</f>
        <v>#REF!</v>
      </c>
      <c r="M103" s="133" t="e">
        <f>IF(AND(ISTEXT('VR-PROP'!#REF!),'VR-PROP'!#REF!=""),"DESCARTADO",'VR-PROP'!#REF!)</f>
        <v>#REF!</v>
      </c>
    </row>
    <row r="104" spans="8:13">
      <c r="H104" s="213">
        <v>102</v>
      </c>
      <c r="I104" s="212" t="e">
        <f>IF(ISTEXT('VR-PROP'!#REF!),"DESCARTADO",'VR-PROP'!#REF!)</f>
        <v>#REF!</v>
      </c>
      <c r="J104" s="212" t="e">
        <f>IF(ISTEXT('VR-PROP'!#REF!),"DESCARTADO",'VR-PROP'!#REF!)</f>
        <v>#REF!</v>
      </c>
      <c r="M104" s="133" t="e">
        <f>IF(AND(ISTEXT('VR-PROP'!#REF!),'VR-PROP'!#REF!=""),"DESCARTADO",'VR-PROP'!#REF!)</f>
        <v>#REF!</v>
      </c>
    </row>
    <row r="105" spans="8:13">
      <c r="H105" s="213">
        <v>103</v>
      </c>
      <c r="I105" s="212" t="e">
        <f>IF(ISTEXT('VR-PROP'!#REF!),"DESCARTADO",'VR-PROP'!#REF!)</f>
        <v>#REF!</v>
      </c>
      <c r="J105" s="212" t="e">
        <f>IF(ISTEXT('VR-PROP'!#REF!),"DESCARTADO",'VR-PROP'!#REF!)</f>
        <v>#REF!</v>
      </c>
      <c r="M105" s="133" t="e">
        <f>IF(AND(ISTEXT('VR-PROP'!#REF!),'VR-PROP'!#REF!=""),"DESCARTADO",'VR-PROP'!#REF!)</f>
        <v>#REF!</v>
      </c>
    </row>
    <row r="106" spans="8:13">
      <c r="H106" s="213">
        <v>104</v>
      </c>
      <c r="I106" s="212" t="e">
        <f>IF(ISTEXT('VR-PROP'!#REF!),"DESCARTADO",'VR-PROP'!#REF!)</f>
        <v>#REF!</v>
      </c>
      <c r="J106" s="212" t="e">
        <f>IF(ISTEXT('VR-PROP'!#REF!),"DESCARTADO",'VR-PROP'!#REF!)</f>
        <v>#REF!</v>
      </c>
      <c r="M106" s="133" t="e">
        <f>IF(AND(ISTEXT('VR-PROP'!#REF!),'VR-PROP'!#REF!=""),"DESCARTADO",'VR-PROP'!#REF!)</f>
        <v>#REF!</v>
      </c>
    </row>
    <row r="107" spans="8:13">
      <c r="H107" s="213">
        <v>105</v>
      </c>
      <c r="I107" s="212" t="e">
        <f>IF(ISTEXT('VR-PROP'!#REF!),"DESCARTADO",'VR-PROP'!#REF!)</f>
        <v>#REF!</v>
      </c>
      <c r="J107" s="212" t="e">
        <f>IF(ISTEXT('VR-PROP'!#REF!),"DESCARTADO",'VR-PROP'!#REF!)</f>
        <v>#REF!</v>
      </c>
      <c r="M107" s="133" t="e">
        <f>IF(AND(ISTEXT('VR-PROP'!#REF!),'VR-PROP'!#REF!=""),"DESCARTADO",'VR-PROP'!#REF!)</f>
        <v>#REF!</v>
      </c>
    </row>
    <row r="108" spans="8:13">
      <c r="H108" s="213">
        <v>106</v>
      </c>
      <c r="I108" s="212" t="e">
        <f>IF(ISTEXT('VR-PROP'!#REF!),"DESCARTADO",'VR-PROP'!#REF!)</f>
        <v>#REF!</v>
      </c>
      <c r="J108" s="212" t="e">
        <f>IF(ISTEXT('VR-PROP'!#REF!),"DESCARTADO",'VR-PROP'!#REF!)</f>
        <v>#REF!</v>
      </c>
      <c r="M108" s="133" t="e">
        <f>IF(AND(ISTEXT('VR-PROP'!#REF!),'VR-PROP'!#REF!=""),"DESCARTADO",'VR-PROP'!#REF!)</f>
        <v>#REF!</v>
      </c>
    </row>
    <row r="109" spans="8:13">
      <c r="H109" s="213">
        <v>107</v>
      </c>
      <c r="I109" s="212" t="e">
        <f>IF(ISTEXT('VR-PROP'!#REF!),"DESCARTADO",'VR-PROP'!#REF!)</f>
        <v>#REF!</v>
      </c>
      <c r="J109" s="212" t="e">
        <f>IF(ISTEXT('VR-PROP'!#REF!),"DESCARTADO",'VR-PROP'!#REF!)</f>
        <v>#REF!</v>
      </c>
      <c r="M109" s="133" t="e">
        <f>IF(AND(ISTEXT('VR-PROP'!#REF!),'VR-PROP'!#REF!=""),"DESCARTADO",'VR-PROP'!#REF!)</f>
        <v>#REF!</v>
      </c>
    </row>
    <row r="110" spans="8:13">
      <c r="H110" s="213">
        <v>108</v>
      </c>
      <c r="I110" s="212" t="e">
        <f>IF(ISTEXT('VR-PROP'!#REF!),"DESCARTADO",'VR-PROP'!#REF!)</f>
        <v>#REF!</v>
      </c>
      <c r="J110" s="212" t="e">
        <f>IF(ISTEXT('VR-PROP'!#REF!),"DESCARTADO",'VR-PROP'!#REF!)</f>
        <v>#REF!</v>
      </c>
      <c r="M110" s="133" t="e">
        <f>IF(AND(ISTEXT('VR-PROP'!#REF!),'VR-PROP'!#REF!=""),"DESCARTADO",'VR-PROP'!#REF!)</f>
        <v>#REF!</v>
      </c>
    </row>
    <row r="111" spans="8:13">
      <c r="H111" s="213">
        <v>109</v>
      </c>
      <c r="I111" s="212" t="e">
        <f>IF(ISTEXT('VR-PROP'!#REF!),"DESCARTADO",'VR-PROP'!#REF!)</f>
        <v>#REF!</v>
      </c>
      <c r="J111" s="212" t="e">
        <f>IF(ISTEXT('VR-PROP'!#REF!),"DESCARTADO",'VR-PROP'!#REF!)</f>
        <v>#REF!</v>
      </c>
      <c r="M111" s="133" t="e">
        <f>IF(AND(ISTEXT('VR-PROP'!#REF!),'VR-PROP'!#REF!=""),"DESCARTADO",'VR-PROP'!#REF!)</f>
        <v>#REF!</v>
      </c>
    </row>
    <row r="112" spans="8:13">
      <c r="H112" s="213">
        <v>110</v>
      </c>
      <c r="I112" s="212" t="e">
        <f>IF(ISTEXT('VR-PROP'!#REF!),"DESCARTADO",'VR-PROP'!#REF!)</f>
        <v>#REF!</v>
      </c>
      <c r="J112" s="212" t="e">
        <f>IF(ISTEXT('VR-PROP'!#REF!),"DESCARTADO",'VR-PROP'!#REF!)</f>
        <v>#REF!</v>
      </c>
      <c r="M112" s="133" t="e">
        <f>IF(AND(ISTEXT('VR-PROP'!#REF!),'VR-PROP'!#REF!=""),"DESCARTADO",'VR-PROP'!#REF!)</f>
        <v>#REF!</v>
      </c>
    </row>
    <row r="113" spans="8:13">
      <c r="H113" s="213">
        <v>111</v>
      </c>
      <c r="I113" s="212" t="e">
        <f>IF(ISTEXT('VR-PROP'!#REF!),"DESCARTADO",'VR-PROP'!#REF!)</f>
        <v>#REF!</v>
      </c>
      <c r="J113" s="212" t="e">
        <f>IF(ISTEXT('VR-PROP'!#REF!),"DESCARTADO",'VR-PROP'!#REF!)</f>
        <v>#REF!</v>
      </c>
      <c r="M113" s="133" t="e">
        <f>IF(AND(ISTEXT('VR-PROP'!#REF!),'VR-PROP'!#REF!=""),"DESCARTADO",'VR-PROP'!#REF!)</f>
        <v>#REF!</v>
      </c>
    </row>
    <row r="114" spans="8:13">
      <c r="H114" s="213">
        <v>112</v>
      </c>
      <c r="I114" s="212" t="e">
        <f>IF(ISTEXT('VR-PROP'!#REF!),"DESCARTADO",'VR-PROP'!#REF!)</f>
        <v>#REF!</v>
      </c>
      <c r="J114" s="212" t="e">
        <f>IF(ISTEXT('VR-PROP'!#REF!),"DESCARTADO",'VR-PROP'!#REF!)</f>
        <v>#REF!</v>
      </c>
      <c r="M114" s="133" t="e">
        <f>IF(AND(ISTEXT('VR-PROP'!#REF!),'VR-PROP'!#REF!=""),"DESCARTADO",'VR-PROP'!#REF!)</f>
        <v>#REF!</v>
      </c>
    </row>
    <row r="115" spans="8:13">
      <c r="H115" s="213">
        <v>113</v>
      </c>
      <c r="I115" s="212" t="e">
        <f>IF(ISTEXT('VR-PROP'!#REF!),"DESCARTADO",'VR-PROP'!#REF!)</f>
        <v>#REF!</v>
      </c>
      <c r="J115" s="212" t="e">
        <f>IF(ISTEXT('VR-PROP'!#REF!),"DESCARTADO",'VR-PROP'!#REF!)</f>
        <v>#REF!</v>
      </c>
      <c r="M115" s="133" t="e">
        <f>IF(AND(ISTEXT('VR-PROP'!#REF!),'VR-PROP'!#REF!=""),"DESCARTADO",'VR-PROP'!#REF!)</f>
        <v>#REF!</v>
      </c>
    </row>
    <row r="116" spans="8:13">
      <c r="H116" s="213">
        <v>114</v>
      </c>
      <c r="I116" s="212" t="e">
        <f>IF(ISTEXT('VR-PROP'!#REF!),"DESCARTADO",'VR-PROP'!#REF!)</f>
        <v>#REF!</v>
      </c>
      <c r="J116" s="212" t="e">
        <f>IF(ISTEXT('VR-PROP'!#REF!),"DESCARTADO",'VR-PROP'!#REF!)</f>
        <v>#REF!</v>
      </c>
      <c r="M116" s="133" t="e">
        <f>IF(AND(ISTEXT('VR-PROP'!#REF!),'VR-PROP'!#REF!=""),"DESCARTADO",'VR-PROP'!#REF!)</f>
        <v>#REF!</v>
      </c>
    </row>
    <row r="117" spans="8:13">
      <c r="H117" s="213">
        <v>115</v>
      </c>
      <c r="I117" s="212" t="e">
        <f>IF(ISTEXT('VR-PROP'!#REF!),"DESCARTADO",'VR-PROP'!#REF!)</f>
        <v>#REF!</v>
      </c>
      <c r="J117" s="212" t="e">
        <f>IF(ISTEXT('VR-PROP'!#REF!),"DESCARTADO",'VR-PROP'!#REF!)</f>
        <v>#REF!</v>
      </c>
      <c r="M117" s="133" t="e">
        <f>IF(AND(ISTEXT('VR-PROP'!#REF!),'VR-PROP'!#REF!=""),"DESCARTADO",'VR-PROP'!#REF!)</f>
        <v>#REF!</v>
      </c>
    </row>
    <row r="118" spans="8:13">
      <c r="H118" s="213">
        <v>116</v>
      </c>
      <c r="I118" s="212" t="e">
        <f>IF(ISTEXT('VR-PROP'!#REF!),"DESCARTADO",'VR-PROP'!#REF!)</f>
        <v>#REF!</v>
      </c>
      <c r="J118" s="212" t="e">
        <f>IF(ISTEXT('VR-PROP'!#REF!),"DESCARTADO",'VR-PROP'!#REF!)</f>
        <v>#REF!</v>
      </c>
      <c r="M118" s="133" t="e">
        <f>IF(AND(ISTEXT('VR-PROP'!#REF!),'VR-PROP'!#REF!=""),"DESCARTADO",'VR-PROP'!#REF!)</f>
        <v>#REF!</v>
      </c>
    </row>
    <row r="119" spans="8:13">
      <c r="H119" s="213">
        <v>117</v>
      </c>
      <c r="I119" s="212" t="e">
        <f>IF(ISTEXT('VR-PROP'!#REF!),"DESCARTADO",'VR-PROP'!#REF!)</f>
        <v>#REF!</v>
      </c>
      <c r="J119" s="212" t="e">
        <f>IF(ISTEXT('VR-PROP'!#REF!),"DESCARTADO",'VR-PROP'!#REF!)</f>
        <v>#REF!</v>
      </c>
      <c r="M119" s="133" t="e">
        <f>IF(AND(ISTEXT('VR-PROP'!#REF!),'VR-PROP'!#REF!=""),"DESCARTADO",'VR-PROP'!#REF!)</f>
        <v>#REF!</v>
      </c>
    </row>
    <row r="120" spans="8:13">
      <c r="H120" s="213">
        <v>118</v>
      </c>
      <c r="I120" s="212" t="e">
        <f>IF(ISTEXT('VR-PROP'!#REF!),"DESCARTADO",'VR-PROP'!#REF!)</f>
        <v>#REF!</v>
      </c>
      <c r="J120" s="212" t="e">
        <f>IF(ISTEXT('VR-PROP'!#REF!),"DESCARTADO",'VR-PROP'!#REF!)</f>
        <v>#REF!</v>
      </c>
      <c r="M120" s="133" t="e">
        <f>IF(AND(ISTEXT('VR-PROP'!#REF!),'VR-PROP'!#REF!=""),"DESCARTADO",'VR-PROP'!#REF!)</f>
        <v>#REF!</v>
      </c>
    </row>
    <row r="121" spans="8:13">
      <c r="H121" s="213">
        <v>119</v>
      </c>
      <c r="I121" s="212" t="e">
        <f>IF(ISTEXT('VR-PROP'!#REF!),"DESCARTADO",'VR-PROP'!#REF!)</f>
        <v>#REF!</v>
      </c>
      <c r="J121" s="212" t="e">
        <f>IF(ISTEXT('VR-PROP'!#REF!),"DESCARTADO",'VR-PROP'!#REF!)</f>
        <v>#REF!</v>
      </c>
      <c r="M121" s="133" t="e">
        <f>IF(AND(ISTEXT('VR-PROP'!#REF!),'VR-PROP'!#REF!=""),"DESCARTADO",'VR-PROP'!#REF!)</f>
        <v>#REF!</v>
      </c>
    </row>
    <row r="122" spans="8:13">
      <c r="H122" s="213">
        <v>120</v>
      </c>
      <c r="I122" s="212" t="e">
        <f>IF(ISTEXT('VR-PROP'!#REF!),"DESCARTADO",'VR-PROP'!#REF!)</f>
        <v>#REF!</v>
      </c>
      <c r="J122" s="212" t="e">
        <f>IF(ISTEXT('VR-PROP'!#REF!),"DESCARTADO",'VR-PROP'!#REF!)</f>
        <v>#REF!</v>
      </c>
      <c r="M122" s="133" t="e">
        <f>IF(AND(ISTEXT('VR-PROP'!#REF!),'VR-PROP'!#REF!=""),"DESCARTADO",'VR-PROP'!#REF!)</f>
        <v>#REF!</v>
      </c>
    </row>
    <row r="123" spans="8:13">
      <c r="H123" s="213">
        <v>121</v>
      </c>
      <c r="I123" s="212" t="e">
        <f>IF(ISTEXT('VR-PROP'!#REF!),"DESCARTADO",'VR-PROP'!#REF!)</f>
        <v>#REF!</v>
      </c>
      <c r="J123" s="212" t="e">
        <f>IF(ISTEXT('VR-PROP'!#REF!),"DESCARTADO",'VR-PROP'!#REF!)</f>
        <v>#REF!</v>
      </c>
      <c r="M123" s="133" t="e">
        <f>IF(AND(ISTEXT('VR-PROP'!#REF!),'VR-PROP'!#REF!=""),"DESCARTADO",'VR-PROP'!#REF!)</f>
        <v>#REF!</v>
      </c>
    </row>
    <row r="124" spans="8:13">
      <c r="H124" s="213">
        <v>122</v>
      </c>
      <c r="I124" s="212" t="e">
        <f>IF(ISTEXT('VR-PROP'!#REF!),"DESCARTADO",'VR-PROP'!#REF!)</f>
        <v>#REF!</v>
      </c>
      <c r="J124" s="212" t="e">
        <f>IF(ISTEXT('VR-PROP'!#REF!),"DESCARTADO",'VR-PROP'!#REF!)</f>
        <v>#REF!</v>
      </c>
      <c r="M124" s="133" t="e">
        <f>IF(AND(ISTEXT('VR-PROP'!#REF!),'VR-PROP'!#REF!=""),"DESCARTADO",'VR-PROP'!#REF!)</f>
        <v>#REF!</v>
      </c>
    </row>
    <row r="125" spans="8:13">
      <c r="H125" s="213">
        <v>123</v>
      </c>
      <c r="I125" s="212" t="e">
        <f>IF(ISTEXT('VR-PROP'!#REF!),"DESCARTADO",'VR-PROP'!#REF!)</f>
        <v>#REF!</v>
      </c>
      <c r="J125" s="212" t="e">
        <f>IF(ISTEXT('VR-PROP'!#REF!),"DESCARTADO",'VR-PROP'!#REF!)</f>
        <v>#REF!</v>
      </c>
      <c r="M125" s="133" t="e">
        <f>IF(AND(ISTEXT('VR-PROP'!#REF!),'VR-PROP'!#REF!=""),"DESCARTADO",'VR-PROP'!#REF!)</f>
        <v>#REF!</v>
      </c>
    </row>
    <row r="126" spans="8:13">
      <c r="H126" s="213">
        <v>124</v>
      </c>
      <c r="I126" s="212" t="e">
        <f>IF(ISTEXT('VR-PROP'!#REF!),"DESCARTADO",'VR-PROP'!#REF!)</f>
        <v>#REF!</v>
      </c>
      <c r="J126" s="212" t="e">
        <f>IF(ISTEXT('VR-PROP'!#REF!),"DESCARTADO",'VR-PROP'!#REF!)</f>
        <v>#REF!</v>
      </c>
      <c r="M126" s="133" t="e">
        <f>IF(AND(ISTEXT('VR-PROP'!#REF!),'VR-PROP'!#REF!=""),"DESCARTADO",'VR-PROP'!#REF!)</f>
        <v>#REF!</v>
      </c>
    </row>
    <row r="127" spans="8:13">
      <c r="H127" s="213">
        <v>125</v>
      </c>
      <c r="I127" s="212" t="e">
        <f>IF(ISTEXT('VR-PROP'!#REF!),"DESCARTADO",'VR-PROP'!#REF!)</f>
        <v>#REF!</v>
      </c>
      <c r="J127" s="212" t="e">
        <f>IF(ISTEXT('VR-PROP'!#REF!),"DESCARTADO",'VR-PROP'!#REF!)</f>
        <v>#REF!</v>
      </c>
      <c r="M127" s="133" t="e">
        <f>IF(AND(ISTEXT('VR-PROP'!#REF!),'VR-PROP'!#REF!=""),"DESCARTADO",'VR-PROP'!#REF!)</f>
        <v>#REF!</v>
      </c>
    </row>
    <row r="128" spans="8:13">
      <c r="H128" s="213">
        <v>126</v>
      </c>
      <c r="I128" s="212" t="e">
        <f>IF(ISTEXT('VR-PROP'!#REF!),"DESCARTADO",'VR-PROP'!#REF!)</f>
        <v>#REF!</v>
      </c>
      <c r="J128" s="212" t="e">
        <f>IF(ISTEXT('VR-PROP'!#REF!),"DESCARTADO",'VR-PROP'!#REF!)</f>
        <v>#REF!</v>
      </c>
      <c r="M128" s="133" t="e">
        <f>IF(AND(ISTEXT('VR-PROP'!#REF!),'VR-PROP'!#REF!=""),"DESCARTADO",'VR-PROP'!#REF!)</f>
        <v>#REF!</v>
      </c>
    </row>
    <row r="129" spans="8:13">
      <c r="H129" s="213">
        <v>127</v>
      </c>
      <c r="I129" s="212" t="e">
        <f>IF(ISTEXT('VR-PROP'!#REF!),"DESCARTADO",'VR-PROP'!#REF!)</f>
        <v>#REF!</v>
      </c>
      <c r="J129" s="212" t="e">
        <f>IF(ISTEXT('VR-PROP'!#REF!),"DESCARTADO",'VR-PROP'!#REF!)</f>
        <v>#REF!</v>
      </c>
      <c r="M129" s="133" t="e">
        <f>IF(AND(ISTEXT('VR-PROP'!#REF!),'VR-PROP'!#REF!=""),"DESCARTADO",'VR-PROP'!#REF!)</f>
        <v>#REF!</v>
      </c>
    </row>
    <row r="130" spans="8:13">
      <c r="H130" s="213">
        <v>128</v>
      </c>
      <c r="I130" s="212" t="e">
        <f>IF(ISTEXT('VR-PROP'!#REF!),"DESCARTADO",'VR-PROP'!#REF!)</f>
        <v>#REF!</v>
      </c>
      <c r="J130" s="212" t="e">
        <f>IF(ISTEXT('VR-PROP'!#REF!),"DESCARTADO",'VR-PROP'!#REF!)</f>
        <v>#REF!</v>
      </c>
      <c r="M130" s="133" t="e">
        <f>IF(AND(ISTEXT('VR-PROP'!#REF!),'VR-PROP'!#REF!=""),"DESCARTADO",'VR-PROP'!#REF!)</f>
        <v>#REF!</v>
      </c>
    </row>
    <row r="131" spans="8:13">
      <c r="H131" s="213">
        <v>129</v>
      </c>
      <c r="I131" s="212" t="e">
        <f>IF(ISTEXT('VR-PROP'!#REF!),"DESCARTADO",'VR-PROP'!#REF!)</f>
        <v>#REF!</v>
      </c>
      <c r="J131" s="212" t="e">
        <f>IF(ISTEXT('VR-PROP'!#REF!),"DESCARTADO",'VR-PROP'!#REF!)</f>
        <v>#REF!</v>
      </c>
      <c r="M131" s="133" t="e">
        <f>IF(AND(ISTEXT('VR-PROP'!#REF!),'VR-PROP'!#REF!=""),"DESCARTADO",'VR-PROP'!#REF!)</f>
        <v>#REF!</v>
      </c>
    </row>
    <row r="132" spans="8:13">
      <c r="H132" s="213">
        <v>130</v>
      </c>
      <c r="I132" s="212" t="e">
        <f>IF(ISTEXT('VR-PROP'!#REF!),"DESCARTADO",'VR-PROP'!#REF!)</f>
        <v>#REF!</v>
      </c>
      <c r="J132" s="212" t="e">
        <f>IF(ISTEXT('VR-PROP'!#REF!),"DESCARTADO",'VR-PROP'!#REF!)</f>
        <v>#REF!</v>
      </c>
      <c r="M132" s="133" t="e">
        <f>IF(AND(ISTEXT('VR-PROP'!#REF!),'VR-PROP'!#REF!=""),"DESCARTADO",'VR-PROP'!#REF!)</f>
        <v>#REF!</v>
      </c>
    </row>
    <row r="133" spans="8:13">
      <c r="H133" s="213">
        <v>131</v>
      </c>
      <c r="I133" s="212" t="e">
        <f>IF(ISTEXT('VR-PROP'!#REF!),"DESCARTADO",'VR-PROP'!#REF!)</f>
        <v>#REF!</v>
      </c>
      <c r="J133" s="212" t="e">
        <f>IF(ISTEXT('VR-PROP'!#REF!),"DESCARTADO",'VR-PROP'!#REF!)</f>
        <v>#REF!</v>
      </c>
      <c r="M133" s="133" t="e">
        <f>IF(AND(ISTEXT('VR-PROP'!#REF!),'VR-PROP'!#REF!=""),"DESCARTADO",'VR-PROP'!#REF!)</f>
        <v>#REF!</v>
      </c>
    </row>
    <row r="134" spans="8:13">
      <c r="H134" s="213">
        <v>132</v>
      </c>
      <c r="I134" s="212" t="e">
        <f>IF(ISTEXT('VR-PROP'!#REF!),"DESCARTADO",'VR-PROP'!#REF!)</f>
        <v>#REF!</v>
      </c>
      <c r="J134" s="212" t="e">
        <f>IF(ISTEXT('VR-PROP'!#REF!),"DESCARTADO",'VR-PROP'!#REF!)</f>
        <v>#REF!</v>
      </c>
      <c r="M134" s="133" t="e">
        <f>IF(AND(ISTEXT('VR-PROP'!#REF!),'VR-PROP'!#REF!=""),"DESCARTADO",'VR-PROP'!#REF!)</f>
        <v>#REF!</v>
      </c>
    </row>
    <row r="135" spans="8:13">
      <c r="H135" s="213">
        <v>133</v>
      </c>
      <c r="I135" s="212" t="e">
        <f>IF(ISTEXT('VR-PROP'!#REF!),"DESCARTADO",'VR-PROP'!#REF!)</f>
        <v>#REF!</v>
      </c>
      <c r="J135" s="212" t="e">
        <f>IF(ISTEXT('VR-PROP'!#REF!),"DESCARTADO",'VR-PROP'!#REF!)</f>
        <v>#REF!</v>
      </c>
      <c r="M135" s="133" t="e">
        <f>IF(AND(ISTEXT('VR-PROP'!#REF!),'VR-PROP'!#REF!=""),"DESCARTADO",'VR-PROP'!#REF!)</f>
        <v>#REF!</v>
      </c>
    </row>
    <row r="136" spans="8:13">
      <c r="H136" s="213">
        <v>134</v>
      </c>
      <c r="I136" s="212" t="e">
        <f>IF(ISTEXT('VR-PROP'!#REF!),"DESCARTADO",'VR-PROP'!#REF!)</f>
        <v>#REF!</v>
      </c>
      <c r="J136" s="212" t="e">
        <f>IF(ISTEXT('VR-PROP'!#REF!),"DESCARTADO",'VR-PROP'!#REF!)</f>
        <v>#REF!</v>
      </c>
      <c r="M136" s="133" t="e">
        <f>IF(AND(ISTEXT('VR-PROP'!#REF!),'VR-PROP'!#REF!=""),"DESCARTADO",'VR-PROP'!#REF!)</f>
        <v>#REF!</v>
      </c>
    </row>
    <row r="137" spans="8:13">
      <c r="H137" s="213">
        <v>135</v>
      </c>
      <c r="I137" s="212" t="e">
        <f>IF(ISTEXT('VR-PROP'!#REF!),"DESCARTADO",'VR-PROP'!#REF!)</f>
        <v>#REF!</v>
      </c>
      <c r="J137" s="212" t="e">
        <f>IF(ISTEXT('VR-PROP'!#REF!),"DESCARTADO",'VR-PROP'!#REF!)</f>
        <v>#REF!</v>
      </c>
      <c r="M137" s="133" t="e">
        <f>IF(AND(ISTEXT('VR-PROP'!#REF!),'VR-PROP'!#REF!=""),"DESCARTADO",'VR-PROP'!#REF!)</f>
        <v>#REF!</v>
      </c>
    </row>
    <row r="138" spans="8:13">
      <c r="H138" s="213">
        <v>136</v>
      </c>
      <c r="I138" s="212" t="e">
        <f>IF(ISTEXT('VR-PROP'!#REF!),"DESCARTADO",'VR-PROP'!#REF!)</f>
        <v>#REF!</v>
      </c>
      <c r="J138" s="212" t="e">
        <f>IF(ISTEXT('VR-PROP'!#REF!),"DESCARTADO",'VR-PROP'!#REF!)</f>
        <v>#REF!</v>
      </c>
      <c r="M138" s="133" t="e">
        <f>IF(AND(ISTEXT('VR-PROP'!#REF!),'VR-PROP'!#REF!=""),"DESCARTADO",'VR-PROP'!#REF!)</f>
        <v>#REF!</v>
      </c>
    </row>
    <row r="139" spans="8:13">
      <c r="H139" s="213">
        <v>137</v>
      </c>
      <c r="I139" s="212" t="e">
        <f>IF(ISTEXT('VR-PROP'!#REF!),"DESCARTADO",'VR-PROP'!#REF!)</f>
        <v>#REF!</v>
      </c>
      <c r="J139" s="212" t="e">
        <f>IF(ISTEXT('VR-PROP'!#REF!),"DESCARTADO",'VR-PROP'!#REF!)</f>
        <v>#REF!</v>
      </c>
      <c r="M139" s="133" t="e">
        <f>IF(AND(ISTEXT('VR-PROP'!#REF!),'VR-PROP'!#REF!=""),"DESCARTADO",'VR-PROP'!#REF!)</f>
        <v>#REF!</v>
      </c>
    </row>
    <row r="140" spans="8:13">
      <c r="H140" s="213">
        <v>138</v>
      </c>
      <c r="I140" s="212" t="e">
        <f>IF(ISTEXT('VR-PROP'!#REF!),"DESCARTADO",'VR-PROP'!#REF!)</f>
        <v>#REF!</v>
      </c>
      <c r="J140" s="212" t="e">
        <f>IF(ISTEXT('VR-PROP'!#REF!),"DESCARTADO",'VR-PROP'!#REF!)</f>
        <v>#REF!</v>
      </c>
      <c r="M140" s="133" t="e">
        <f>IF(AND(ISTEXT('VR-PROP'!#REF!),'VR-PROP'!#REF!=""),"DESCARTADO",'VR-PROP'!#REF!)</f>
        <v>#REF!</v>
      </c>
    </row>
    <row r="141" spans="8:13">
      <c r="H141" s="213">
        <v>139</v>
      </c>
      <c r="I141" s="212" t="e">
        <f>IF(ISTEXT('VR-PROP'!#REF!),"DESCARTADO",'VR-PROP'!#REF!)</f>
        <v>#REF!</v>
      </c>
      <c r="J141" s="212" t="e">
        <f>IF(ISTEXT('VR-PROP'!#REF!),"DESCARTADO",'VR-PROP'!#REF!)</f>
        <v>#REF!</v>
      </c>
      <c r="M141" s="133" t="e">
        <f>IF(AND(ISTEXT('VR-PROP'!#REF!),'VR-PROP'!#REF!=""),"DESCARTADO",'VR-PROP'!#REF!)</f>
        <v>#REF!</v>
      </c>
    </row>
    <row r="142" spans="8:13">
      <c r="H142" s="213">
        <v>140</v>
      </c>
      <c r="I142" s="212" t="e">
        <f>IF(ISTEXT('VR-PROP'!#REF!),"DESCARTADO",'VR-PROP'!#REF!)</f>
        <v>#REF!</v>
      </c>
      <c r="J142" s="212" t="e">
        <f>IF(ISTEXT('VR-PROP'!#REF!),"DESCARTADO",'VR-PROP'!#REF!)</f>
        <v>#REF!</v>
      </c>
      <c r="M142" s="133" t="e">
        <f>IF(AND(ISTEXT('VR-PROP'!#REF!),'VR-PROP'!#REF!=""),"DESCARTADO",'VR-PROP'!#REF!)</f>
        <v>#REF!</v>
      </c>
    </row>
    <row r="143" spans="8:13">
      <c r="H143" s="213">
        <v>141</v>
      </c>
      <c r="I143" s="212" t="e">
        <f>IF(ISTEXT('VR-PROP'!#REF!),"DESCARTADO",'VR-PROP'!#REF!)</f>
        <v>#REF!</v>
      </c>
      <c r="J143" s="212" t="e">
        <f>IF(ISTEXT('VR-PROP'!#REF!),"DESCARTADO",'VR-PROP'!#REF!)</f>
        <v>#REF!</v>
      </c>
      <c r="M143" s="133" t="e">
        <f>IF(AND(ISTEXT('VR-PROP'!#REF!),'VR-PROP'!#REF!=""),"DESCARTADO",'VR-PROP'!#REF!)</f>
        <v>#REF!</v>
      </c>
    </row>
    <row r="144" spans="8:13">
      <c r="H144" s="213">
        <v>142</v>
      </c>
      <c r="I144" s="212" t="e">
        <f>IF(ISTEXT('VR-PROP'!#REF!),"DESCARTADO",'VR-PROP'!#REF!)</f>
        <v>#REF!</v>
      </c>
      <c r="J144" s="212" t="e">
        <f>IF(ISTEXT('VR-PROP'!#REF!),"DESCARTADO",'VR-PROP'!#REF!)</f>
        <v>#REF!</v>
      </c>
      <c r="M144" s="133" t="e">
        <f>IF(AND(ISTEXT('VR-PROP'!#REF!),'VR-PROP'!#REF!=""),"DESCARTADO",'VR-PROP'!#REF!)</f>
        <v>#REF!</v>
      </c>
    </row>
    <row r="145" spans="8:13">
      <c r="H145" s="213">
        <v>143</v>
      </c>
      <c r="I145" s="212" t="e">
        <f>IF(ISTEXT('VR-PROP'!#REF!),"DESCARTADO",'VR-PROP'!#REF!)</f>
        <v>#REF!</v>
      </c>
      <c r="J145" s="212" t="e">
        <f>IF(ISTEXT('VR-PROP'!#REF!),"DESCARTADO",'VR-PROP'!#REF!)</f>
        <v>#REF!</v>
      </c>
      <c r="M145" s="133" t="e">
        <f>IF(AND(ISTEXT('VR-PROP'!#REF!),'VR-PROP'!#REF!=""),"DESCARTADO",'VR-PROP'!#REF!)</f>
        <v>#REF!</v>
      </c>
    </row>
    <row r="146" spans="8:13">
      <c r="H146" s="213">
        <v>144</v>
      </c>
      <c r="I146" s="212" t="e">
        <f>IF(ISTEXT('VR-PROP'!#REF!),"DESCARTADO",'VR-PROP'!#REF!)</f>
        <v>#REF!</v>
      </c>
      <c r="J146" s="212" t="e">
        <f>IF(ISTEXT('VR-PROP'!#REF!),"DESCARTADO",'VR-PROP'!#REF!)</f>
        <v>#REF!</v>
      </c>
      <c r="M146" s="133" t="e">
        <f>IF(AND(ISTEXT('VR-PROP'!#REF!),'VR-PROP'!#REF!=""),"DESCARTADO",'VR-PROP'!#REF!)</f>
        <v>#REF!</v>
      </c>
    </row>
    <row r="147" spans="8:13">
      <c r="H147" s="213">
        <v>145</v>
      </c>
      <c r="I147" s="212" t="e">
        <f>IF(ISTEXT('VR-PROP'!#REF!),"DESCARTADO",'VR-PROP'!#REF!)</f>
        <v>#REF!</v>
      </c>
      <c r="J147" s="212" t="e">
        <f>IF(ISTEXT('VR-PROP'!#REF!),"DESCARTADO",'VR-PROP'!#REF!)</f>
        <v>#REF!</v>
      </c>
      <c r="M147" s="133" t="e">
        <f>IF(AND(ISTEXT('VR-PROP'!#REF!),'VR-PROP'!#REF!=""),"DESCARTADO",'VR-PROP'!#REF!)</f>
        <v>#REF!</v>
      </c>
    </row>
    <row r="148" spans="8:13">
      <c r="H148" s="213">
        <v>146</v>
      </c>
      <c r="I148" s="212" t="e">
        <f>IF(ISTEXT('VR-PROP'!#REF!),"DESCARTADO",'VR-PROP'!#REF!)</f>
        <v>#REF!</v>
      </c>
      <c r="J148" s="212" t="e">
        <f>IF(ISTEXT('VR-PROP'!#REF!),"DESCARTADO",'VR-PROP'!#REF!)</f>
        <v>#REF!</v>
      </c>
      <c r="M148" s="133" t="e">
        <f>IF(AND(ISTEXT('VR-PROP'!#REF!),'VR-PROP'!#REF!=""),"DESCARTADO",'VR-PROP'!#REF!)</f>
        <v>#REF!</v>
      </c>
    </row>
    <row r="149" spans="8:13">
      <c r="H149" s="213">
        <v>147</v>
      </c>
      <c r="I149" s="212" t="e">
        <f>IF(ISTEXT('VR-PROP'!#REF!),"DESCARTADO",'VR-PROP'!#REF!)</f>
        <v>#REF!</v>
      </c>
      <c r="J149" s="212" t="e">
        <f>IF(ISTEXT('VR-PROP'!#REF!),"DESCARTADO",'VR-PROP'!#REF!)</f>
        <v>#REF!</v>
      </c>
      <c r="M149" s="133" t="e">
        <f>IF(AND(ISTEXT('VR-PROP'!#REF!),'VR-PROP'!#REF!=""),"DESCARTADO",'VR-PROP'!#REF!)</f>
        <v>#REF!</v>
      </c>
    </row>
    <row r="150" spans="8:13">
      <c r="H150" s="213">
        <v>148</v>
      </c>
      <c r="I150" s="212" t="e">
        <f>IF(ISTEXT('VR-PROP'!#REF!),"DESCARTADO",'VR-PROP'!#REF!)</f>
        <v>#REF!</v>
      </c>
      <c r="J150" s="212" t="e">
        <f>IF(ISTEXT('VR-PROP'!#REF!),"DESCARTADO",'VR-PROP'!#REF!)</f>
        <v>#REF!</v>
      </c>
      <c r="M150" s="133" t="e">
        <f>IF(AND(ISTEXT('VR-PROP'!#REF!),'VR-PROP'!#REF!=""),"DESCARTADO",'VR-PROP'!#REF!)</f>
        <v>#REF!</v>
      </c>
    </row>
    <row r="151" spans="8:13">
      <c r="H151" s="213">
        <v>149</v>
      </c>
      <c r="I151" s="212" t="e">
        <f>IF(ISTEXT('VR-PROP'!#REF!),"DESCARTADO",'VR-PROP'!#REF!)</f>
        <v>#REF!</v>
      </c>
      <c r="J151" s="212" t="e">
        <f>IF(ISTEXT('VR-PROP'!#REF!),"DESCARTADO",'VR-PROP'!#REF!)</f>
        <v>#REF!</v>
      </c>
      <c r="M151" s="133" t="e">
        <f>IF(AND(ISTEXT('VR-PROP'!#REF!),'VR-PROP'!#REF!=""),"DESCARTADO",'VR-PROP'!#REF!)</f>
        <v>#REF!</v>
      </c>
    </row>
    <row r="152" spans="8:13">
      <c r="H152" s="213">
        <v>150</v>
      </c>
      <c r="I152" s="212" t="e">
        <f>IF(ISTEXT('VR-PROP'!#REF!),"DESCARTADO",'VR-PROP'!#REF!)</f>
        <v>#REF!</v>
      </c>
      <c r="J152" s="212" t="e">
        <f>IF(ISTEXT('VR-PROP'!#REF!),"DESCARTADO",'VR-PROP'!#REF!)</f>
        <v>#REF!</v>
      </c>
      <c r="M152" s="133" t="e">
        <f>IF(AND(ISTEXT('VR-PROP'!#REF!),'VR-PROP'!#REF!=""),"DESCARTADO",'VR-PROP'!#REF!)</f>
        <v>#REF!</v>
      </c>
    </row>
    <row r="153" spans="8:13">
      <c r="H153" s="213">
        <v>151</v>
      </c>
      <c r="I153" s="212" t="e">
        <f>IF(ISTEXT('VR-PROP'!#REF!),"DESCARTADO",'VR-PROP'!#REF!)</f>
        <v>#REF!</v>
      </c>
      <c r="J153" s="212" t="e">
        <f>IF(ISTEXT('VR-PROP'!#REF!),"DESCARTADO",'VR-PROP'!#REF!)</f>
        <v>#REF!</v>
      </c>
      <c r="M153" s="133" t="e">
        <f>IF(AND(ISTEXT('VR-PROP'!#REF!),'VR-PROP'!#REF!=""),"DESCARTADO",'VR-PROP'!#REF!)</f>
        <v>#REF!</v>
      </c>
    </row>
    <row r="154" spans="8:13">
      <c r="H154" s="213">
        <v>152</v>
      </c>
      <c r="I154" s="212" t="e">
        <f>IF(ISTEXT('VR-PROP'!#REF!),"DESCARTADO",'VR-PROP'!#REF!)</f>
        <v>#REF!</v>
      </c>
      <c r="J154" s="212" t="e">
        <f>IF(ISTEXT('VR-PROP'!#REF!),"DESCARTADO",'VR-PROP'!#REF!)</f>
        <v>#REF!</v>
      </c>
      <c r="M154" s="133" t="e">
        <f>IF(AND(ISTEXT('VR-PROP'!#REF!),'VR-PROP'!#REF!=""),"DESCARTADO",'VR-PROP'!#REF!)</f>
        <v>#REF!</v>
      </c>
    </row>
    <row r="155" spans="8:13">
      <c r="H155" s="213">
        <v>153</v>
      </c>
      <c r="I155" s="212" t="e">
        <f>IF(ISTEXT('VR-PROP'!#REF!),"DESCARTADO",'VR-PROP'!#REF!)</f>
        <v>#REF!</v>
      </c>
      <c r="J155" s="212" t="e">
        <f>IF(ISTEXT('VR-PROP'!#REF!),"DESCARTADO",'VR-PROP'!#REF!)</f>
        <v>#REF!</v>
      </c>
      <c r="M155" s="133" t="e">
        <f>IF(AND(ISTEXT('VR-PROP'!#REF!),'VR-PROP'!#REF!=""),"DESCARTADO",'VR-PROP'!#REF!)</f>
        <v>#REF!</v>
      </c>
    </row>
    <row r="156" spans="8:13">
      <c r="H156" s="213">
        <v>154</v>
      </c>
      <c r="I156" s="212" t="e">
        <f>IF(ISTEXT('VR-PROP'!#REF!),"DESCARTADO",'VR-PROP'!#REF!)</f>
        <v>#REF!</v>
      </c>
      <c r="J156" s="212" t="e">
        <f>IF(ISTEXT('VR-PROP'!#REF!),"DESCARTADO",'VR-PROP'!#REF!)</f>
        <v>#REF!</v>
      </c>
      <c r="M156" s="133" t="e">
        <f>IF(AND(ISTEXT('VR-PROP'!#REF!),'VR-PROP'!#REF!=""),"DESCARTADO",'VR-PROP'!#REF!)</f>
        <v>#REF!</v>
      </c>
    </row>
    <row r="157" spans="8:13">
      <c r="H157" s="213">
        <v>155</v>
      </c>
      <c r="I157" s="212" t="e">
        <f>IF(ISTEXT('VR-PROP'!#REF!),"DESCARTADO",'VR-PROP'!#REF!)</f>
        <v>#REF!</v>
      </c>
      <c r="J157" s="212" t="e">
        <f>IF(ISTEXT('VR-PROP'!#REF!),"DESCARTADO",'VR-PROP'!#REF!)</f>
        <v>#REF!</v>
      </c>
      <c r="M157" s="133" t="e">
        <f>IF(AND(ISTEXT('VR-PROP'!#REF!),'VR-PROP'!#REF!=""),"DESCARTADO",'VR-PROP'!#REF!)</f>
        <v>#REF!</v>
      </c>
    </row>
    <row r="158" spans="8:13">
      <c r="H158" s="213">
        <v>156</v>
      </c>
      <c r="I158" s="212" t="e">
        <f>IF(ISTEXT('VR-PROP'!#REF!),"DESCARTADO",'VR-PROP'!#REF!)</f>
        <v>#REF!</v>
      </c>
      <c r="J158" s="212" t="e">
        <f>IF(ISTEXT('VR-PROP'!#REF!),"DESCARTADO",'VR-PROP'!#REF!)</f>
        <v>#REF!</v>
      </c>
      <c r="M158" s="133" t="e">
        <f>IF(AND(ISTEXT('VR-PROP'!#REF!),'VR-PROP'!#REF!=""),"DESCARTADO",'VR-PROP'!#REF!)</f>
        <v>#REF!</v>
      </c>
    </row>
    <row r="159" spans="8:13">
      <c r="H159" s="213">
        <v>157</v>
      </c>
      <c r="I159" s="212" t="e">
        <f>IF(ISTEXT('VR-PROP'!#REF!),"DESCARTADO",'VR-PROP'!#REF!)</f>
        <v>#REF!</v>
      </c>
      <c r="J159" s="212" t="e">
        <f>IF(ISTEXT('VR-PROP'!#REF!),"DESCARTADO",'VR-PROP'!#REF!)</f>
        <v>#REF!</v>
      </c>
      <c r="M159" s="133" t="e">
        <f>IF(AND(ISTEXT('VR-PROP'!#REF!),'VR-PROP'!#REF!=""),"DESCARTADO",'VR-PROP'!#REF!)</f>
        <v>#REF!</v>
      </c>
    </row>
    <row r="160" spans="8:13">
      <c r="H160" s="213">
        <v>158</v>
      </c>
      <c r="I160" s="212" t="e">
        <f>IF(ISTEXT('VR-PROP'!#REF!),"DESCARTADO",'VR-PROP'!#REF!)</f>
        <v>#REF!</v>
      </c>
      <c r="J160" s="212" t="e">
        <f>IF(ISTEXT('VR-PROP'!#REF!),"DESCARTADO",'VR-PROP'!#REF!)</f>
        <v>#REF!</v>
      </c>
      <c r="M160" s="133" t="e">
        <f>IF(AND(ISTEXT('VR-PROP'!#REF!),'VR-PROP'!#REF!=""),"DESCARTADO",'VR-PROP'!#REF!)</f>
        <v>#REF!</v>
      </c>
    </row>
    <row r="161" spans="8:13">
      <c r="H161" s="213">
        <v>159</v>
      </c>
      <c r="I161" s="212" t="e">
        <f>IF(ISTEXT('VR-PROP'!#REF!),"DESCARTADO",'VR-PROP'!#REF!)</f>
        <v>#REF!</v>
      </c>
      <c r="J161" s="212" t="e">
        <f>IF(ISTEXT('VR-PROP'!#REF!),"DESCARTADO",'VR-PROP'!#REF!)</f>
        <v>#REF!</v>
      </c>
      <c r="M161" s="133" t="e">
        <f>IF(AND(ISTEXT('VR-PROP'!#REF!),'VR-PROP'!#REF!=""),"DESCARTADO",'VR-PROP'!#REF!)</f>
        <v>#REF!</v>
      </c>
    </row>
    <row r="162" spans="8:13">
      <c r="H162" s="213">
        <v>160</v>
      </c>
      <c r="I162" s="212" t="e">
        <f>IF(ISTEXT('VR-PROP'!#REF!),"DESCARTADO",'VR-PROP'!#REF!)</f>
        <v>#REF!</v>
      </c>
      <c r="J162" s="212" t="e">
        <f>IF(ISTEXT('VR-PROP'!#REF!),"DESCARTADO",'VR-PROP'!#REF!)</f>
        <v>#REF!</v>
      </c>
      <c r="M162" s="133" t="e">
        <f>IF(AND(ISTEXT('VR-PROP'!#REF!),'VR-PROP'!#REF!=""),"DESCARTADO",'VR-PROP'!#REF!)</f>
        <v>#REF!</v>
      </c>
    </row>
    <row r="163" spans="8:13">
      <c r="H163" s="213">
        <v>161</v>
      </c>
      <c r="I163" s="212" t="e">
        <f>IF(ISTEXT('VR-PROP'!#REF!),"DESCARTADO",'VR-PROP'!#REF!)</f>
        <v>#REF!</v>
      </c>
      <c r="J163" s="212" t="e">
        <f>IF(ISTEXT('VR-PROP'!#REF!),"DESCARTADO",'VR-PROP'!#REF!)</f>
        <v>#REF!</v>
      </c>
      <c r="M163" s="133" t="e">
        <f>IF(AND(ISTEXT('VR-PROP'!#REF!),'VR-PROP'!#REF!=""),"DESCARTADO",'VR-PROP'!#REF!)</f>
        <v>#REF!</v>
      </c>
    </row>
    <row r="164" spans="8:13">
      <c r="H164" s="213">
        <v>162</v>
      </c>
      <c r="I164" s="212" t="e">
        <f>IF(ISTEXT('VR-PROP'!#REF!),"DESCARTADO",'VR-PROP'!#REF!)</f>
        <v>#REF!</v>
      </c>
      <c r="J164" s="212" t="e">
        <f>IF(ISTEXT('VR-PROP'!#REF!),"DESCARTADO",'VR-PROP'!#REF!)</f>
        <v>#REF!</v>
      </c>
      <c r="M164" s="133" t="e">
        <f>IF(AND(ISTEXT('VR-PROP'!#REF!),'VR-PROP'!#REF!=""),"DESCARTADO",'VR-PROP'!#REF!)</f>
        <v>#REF!</v>
      </c>
    </row>
    <row r="165" spans="8:13">
      <c r="H165" s="213">
        <v>163</v>
      </c>
      <c r="I165" s="212" t="e">
        <f>IF(ISTEXT('VR-PROP'!#REF!),"DESCARTADO",'VR-PROP'!#REF!)</f>
        <v>#REF!</v>
      </c>
      <c r="J165" s="212" t="e">
        <f>IF(ISTEXT('VR-PROP'!#REF!),"DESCARTADO",'VR-PROP'!#REF!)</f>
        <v>#REF!</v>
      </c>
      <c r="M165" s="133" t="e">
        <f>IF(AND(ISTEXT('VR-PROP'!#REF!),'VR-PROP'!#REF!=""),"DESCARTADO",'VR-PROP'!#REF!)</f>
        <v>#REF!</v>
      </c>
    </row>
    <row r="166" spans="8:13">
      <c r="H166" s="213">
        <v>164</v>
      </c>
      <c r="I166" s="212" t="e">
        <f>IF(ISTEXT('VR-PROP'!#REF!),"DESCARTADO",'VR-PROP'!#REF!)</f>
        <v>#REF!</v>
      </c>
      <c r="J166" s="212" t="e">
        <f>IF(ISTEXT('VR-PROP'!#REF!),"DESCARTADO",'VR-PROP'!#REF!)</f>
        <v>#REF!</v>
      </c>
      <c r="M166" s="133" t="e">
        <f>IF(AND(ISTEXT('VR-PROP'!#REF!),'VR-PROP'!#REF!=""),"DESCARTADO",'VR-PROP'!#REF!)</f>
        <v>#REF!</v>
      </c>
    </row>
    <row r="167" spans="8:13">
      <c r="H167" s="213">
        <v>165</v>
      </c>
      <c r="I167" s="212" t="e">
        <f>IF(ISTEXT('VR-PROP'!#REF!),"DESCARTADO",'VR-PROP'!#REF!)</f>
        <v>#REF!</v>
      </c>
      <c r="J167" s="212" t="e">
        <f>IF(ISTEXT('VR-PROP'!#REF!),"DESCARTADO",'VR-PROP'!#REF!)</f>
        <v>#REF!</v>
      </c>
      <c r="M167" s="133" t="e">
        <f>IF(AND(ISTEXT('VR-PROP'!#REF!),'VR-PROP'!#REF!=""),"DESCARTADO",'VR-PROP'!#REF!)</f>
        <v>#REF!</v>
      </c>
    </row>
    <row r="168" spans="8:13">
      <c r="H168" s="213">
        <v>166</v>
      </c>
      <c r="I168" s="212" t="e">
        <f>IF(ISTEXT('VR-PROP'!#REF!),"DESCARTADO",'VR-PROP'!#REF!)</f>
        <v>#REF!</v>
      </c>
      <c r="J168" s="212" t="e">
        <f>IF(ISTEXT('VR-PROP'!#REF!),"DESCARTADO",'VR-PROP'!#REF!)</f>
        <v>#REF!</v>
      </c>
      <c r="M168" s="133" t="e">
        <f>IF(AND(ISTEXT('VR-PROP'!#REF!),'VR-PROP'!#REF!=""),"DESCARTADO",'VR-PROP'!#REF!)</f>
        <v>#REF!</v>
      </c>
    </row>
    <row r="169" spans="8:13">
      <c r="H169" s="213">
        <v>167</v>
      </c>
      <c r="I169" s="212" t="e">
        <f>IF(ISTEXT('VR-PROP'!#REF!),"DESCARTADO",'VR-PROP'!#REF!)</f>
        <v>#REF!</v>
      </c>
      <c r="J169" s="212" t="e">
        <f>IF(ISTEXT('VR-PROP'!#REF!),"DESCARTADO",'VR-PROP'!#REF!)</f>
        <v>#REF!</v>
      </c>
      <c r="M169" s="133" t="e">
        <f>IF(AND(ISTEXT('VR-PROP'!#REF!),'VR-PROP'!#REF!=""),"DESCARTADO",'VR-PROP'!#REF!)</f>
        <v>#REF!</v>
      </c>
    </row>
    <row r="170" spans="8:13">
      <c r="H170" s="213">
        <v>168</v>
      </c>
      <c r="I170" s="212" t="e">
        <f>IF(ISTEXT('VR-PROP'!#REF!),"DESCARTADO",'VR-PROP'!#REF!)</f>
        <v>#REF!</v>
      </c>
      <c r="J170" s="212" t="e">
        <f>IF(ISTEXT('VR-PROP'!#REF!),"DESCARTADO",'VR-PROP'!#REF!)</f>
        <v>#REF!</v>
      </c>
      <c r="M170" s="133" t="e">
        <f>IF(AND(ISTEXT('VR-PROP'!#REF!),'VR-PROP'!#REF!=""),"DESCARTADO",'VR-PROP'!#REF!)</f>
        <v>#REF!</v>
      </c>
    </row>
    <row r="171" spans="8:13">
      <c r="H171" s="213">
        <v>169</v>
      </c>
      <c r="I171" s="212" t="e">
        <f>IF(ISTEXT('VR-PROP'!#REF!),"DESCARTADO",'VR-PROP'!#REF!)</f>
        <v>#REF!</v>
      </c>
      <c r="J171" s="212" t="e">
        <f>IF(ISTEXT('VR-PROP'!#REF!),"DESCARTADO",'VR-PROP'!#REF!)</f>
        <v>#REF!</v>
      </c>
      <c r="M171" s="133" t="e">
        <f>IF(AND(ISTEXT('VR-PROP'!#REF!),'VR-PROP'!#REF!=""),"DESCARTADO",'VR-PROP'!#REF!)</f>
        <v>#REF!</v>
      </c>
    </row>
    <row r="172" spans="8:13">
      <c r="H172" s="213">
        <v>170</v>
      </c>
      <c r="I172" s="212" t="e">
        <f>IF(ISTEXT('VR-PROP'!#REF!),"DESCARTADO",'VR-PROP'!#REF!)</f>
        <v>#REF!</v>
      </c>
      <c r="J172" s="212" t="e">
        <f>IF(ISTEXT('VR-PROP'!#REF!),"DESCARTADO",'VR-PROP'!#REF!)</f>
        <v>#REF!</v>
      </c>
      <c r="M172" s="133" t="e">
        <f>IF(AND(ISTEXT('VR-PROP'!#REF!),'VR-PROP'!#REF!=""),"DESCARTADO",'VR-PROP'!#REF!)</f>
        <v>#REF!</v>
      </c>
    </row>
    <row r="173" spans="8:13">
      <c r="H173" s="213">
        <v>171</v>
      </c>
      <c r="I173" s="212" t="e">
        <f>IF(ISTEXT('VR-PROP'!#REF!),"DESCARTADO",'VR-PROP'!#REF!)</f>
        <v>#REF!</v>
      </c>
      <c r="J173" s="212" t="e">
        <f>IF(ISTEXT('VR-PROP'!#REF!),"DESCARTADO",'VR-PROP'!#REF!)</f>
        <v>#REF!</v>
      </c>
      <c r="M173" s="133" t="e">
        <f>IF(AND(ISTEXT('VR-PROP'!#REF!),'VR-PROP'!#REF!=""),"DESCARTADO",'VR-PROP'!#REF!)</f>
        <v>#REF!</v>
      </c>
    </row>
    <row r="174" spans="8:13">
      <c r="H174" s="213">
        <v>172</v>
      </c>
      <c r="I174" s="212" t="e">
        <f>IF(ISTEXT('VR-PROP'!#REF!),"DESCARTADO",'VR-PROP'!#REF!)</f>
        <v>#REF!</v>
      </c>
      <c r="J174" s="212" t="e">
        <f>IF(ISTEXT('VR-PROP'!#REF!),"DESCARTADO",'VR-PROP'!#REF!)</f>
        <v>#REF!</v>
      </c>
      <c r="M174" s="133" t="e">
        <f>IF(AND(ISTEXT('VR-PROP'!#REF!),'VR-PROP'!#REF!=""),"DESCARTADO",'VR-PROP'!#REF!)</f>
        <v>#REF!</v>
      </c>
    </row>
    <row r="175" spans="8:13">
      <c r="H175" s="213">
        <v>173</v>
      </c>
      <c r="I175" s="212" t="e">
        <f>IF(ISTEXT('VR-PROP'!#REF!),"DESCARTADO",'VR-PROP'!#REF!)</f>
        <v>#REF!</v>
      </c>
      <c r="J175" s="212" t="e">
        <f>IF(ISTEXT('VR-PROP'!#REF!),"DESCARTADO",'VR-PROP'!#REF!)</f>
        <v>#REF!</v>
      </c>
      <c r="M175" s="133" t="e">
        <f>IF(AND(ISTEXT('VR-PROP'!#REF!),'VR-PROP'!#REF!=""),"DESCARTADO",'VR-PROP'!#REF!)</f>
        <v>#REF!</v>
      </c>
    </row>
    <row r="176" spans="8:13">
      <c r="H176" s="213">
        <v>174</v>
      </c>
      <c r="I176" s="212" t="e">
        <f>IF(ISTEXT('VR-PROP'!#REF!),"DESCARTADO",'VR-PROP'!#REF!)</f>
        <v>#REF!</v>
      </c>
      <c r="J176" s="212" t="e">
        <f>IF(ISTEXT('VR-PROP'!#REF!),"DESCARTADO",'VR-PROP'!#REF!)</f>
        <v>#REF!</v>
      </c>
      <c r="M176" s="133" t="e">
        <f>IF(AND(ISTEXT('VR-PROP'!#REF!),'VR-PROP'!#REF!=""),"DESCARTADO",'VR-PROP'!#REF!)</f>
        <v>#REF!</v>
      </c>
    </row>
    <row r="177" spans="8:13">
      <c r="H177" s="213">
        <v>175</v>
      </c>
      <c r="I177" s="212" t="e">
        <f>IF(ISTEXT('VR-PROP'!#REF!),"DESCARTADO",'VR-PROP'!#REF!)</f>
        <v>#REF!</v>
      </c>
      <c r="J177" s="212" t="e">
        <f>IF(ISTEXT('VR-PROP'!#REF!),"DESCARTADO",'VR-PROP'!#REF!)</f>
        <v>#REF!</v>
      </c>
      <c r="M177" s="133" t="e">
        <f>IF(AND(ISTEXT('VR-PROP'!#REF!),'VR-PROP'!#REF!=""),"DESCARTADO",'VR-PROP'!#REF!)</f>
        <v>#REF!</v>
      </c>
    </row>
    <row r="178" spans="8:13">
      <c r="H178" s="213">
        <v>176</v>
      </c>
      <c r="I178" s="212" t="e">
        <f>IF(ISTEXT('VR-PROP'!#REF!),"DESCARTADO",'VR-PROP'!#REF!)</f>
        <v>#REF!</v>
      </c>
      <c r="J178" s="212" t="e">
        <f>IF(ISTEXT('VR-PROP'!#REF!),"DESCARTADO",'VR-PROP'!#REF!)</f>
        <v>#REF!</v>
      </c>
      <c r="M178" s="133" t="e">
        <f>IF(AND(ISTEXT('VR-PROP'!#REF!),'VR-PROP'!#REF!=""),"DESCARTADO",'VR-PROP'!#REF!)</f>
        <v>#REF!</v>
      </c>
    </row>
    <row r="179" spans="8:13">
      <c r="H179" s="213">
        <v>177</v>
      </c>
      <c r="I179" s="212" t="e">
        <f>IF(ISTEXT('VR-PROP'!#REF!),"DESCARTADO",'VR-PROP'!#REF!)</f>
        <v>#REF!</v>
      </c>
      <c r="J179" s="212" t="e">
        <f>IF(ISTEXT('VR-PROP'!#REF!),"DESCARTADO",'VR-PROP'!#REF!)</f>
        <v>#REF!</v>
      </c>
      <c r="M179" s="133" t="e">
        <f>IF(AND(ISTEXT('VR-PROP'!#REF!),'VR-PROP'!#REF!=""),"DESCARTADO",'VR-PROP'!#REF!)</f>
        <v>#REF!</v>
      </c>
    </row>
    <row r="180" spans="8:13">
      <c r="H180" s="213">
        <v>178</v>
      </c>
      <c r="I180" s="212" t="e">
        <f>IF(ISTEXT('VR-PROP'!#REF!),"DESCARTADO",'VR-PROP'!#REF!)</f>
        <v>#REF!</v>
      </c>
      <c r="J180" s="212" t="e">
        <f>IF(ISTEXT('VR-PROP'!#REF!),"DESCARTADO",'VR-PROP'!#REF!)</f>
        <v>#REF!</v>
      </c>
      <c r="M180" s="133" t="e">
        <f>IF(AND(ISTEXT('VR-PROP'!#REF!),'VR-PROP'!#REF!=""),"DESCARTADO",'VR-PROP'!#REF!)</f>
        <v>#REF!</v>
      </c>
    </row>
    <row r="181" spans="8:13">
      <c r="H181" s="213">
        <v>179</v>
      </c>
      <c r="I181" s="212" t="e">
        <f>IF(ISTEXT('VR-PROP'!#REF!),"DESCARTADO",'VR-PROP'!#REF!)</f>
        <v>#REF!</v>
      </c>
      <c r="J181" s="212" t="e">
        <f>IF(ISTEXT('VR-PROP'!#REF!),"DESCARTADO",'VR-PROP'!#REF!)</f>
        <v>#REF!</v>
      </c>
      <c r="M181" s="133" t="e">
        <f>IF(AND(ISTEXT('VR-PROP'!#REF!),'VR-PROP'!#REF!=""),"DESCARTADO",'VR-PROP'!#REF!)</f>
        <v>#REF!</v>
      </c>
    </row>
    <row r="182" spans="8:13">
      <c r="H182" s="213">
        <v>180</v>
      </c>
      <c r="I182" s="212" t="e">
        <f>IF(ISTEXT('VR-PROP'!#REF!),"DESCARTADO",'VR-PROP'!#REF!)</f>
        <v>#REF!</v>
      </c>
      <c r="J182" s="212" t="e">
        <f>IF(ISTEXT('VR-PROP'!#REF!),"DESCARTADO",'VR-PROP'!#REF!)</f>
        <v>#REF!</v>
      </c>
      <c r="M182" s="133" t="e">
        <f>IF(AND(ISTEXT('VR-PROP'!#REF!),'VR-PROP'!#REF!=""),"DESCARTADO",'VR-PROP'!#REF!)</f>
        <v>#REF!</v>
      </c>
    </row>
    <row r="183" spans="8:13">
      <c r="H183" s="213">
        <v>181</v>
      </c>
      <c r="I183" s="212" t="e">
        <f>IF(ISTEXT('VR-PROP'!#REF!),"DESCARTADO",'VR-PROP'!#REF!)</f>
        <v>#REF!</v>
      </c>
      <c r="J183" s="212" t="e">
        <f>IF(ISTEXT('VR-PROP'!#REF!),"DESCARTADO",'VR-PROP'!#REF!)</f>
        <v>#REF!</v>
      </c>
      <c r="M183" s="133" t="e">
        <f>IF(AND(ISTEXT('VR-PROP'!#REF!),'VR-PROP'!#REF!=""),"DESCARTADO",'VR-PROP'!#REF!)</f>
        <v>#REF!</v>
      </c>
    </row>
    <row r="184" spans="8:13">
      <c r="H184" s="213">
        <v>182</v>
      </c>
      <c r="I184" s="212" t="e">
        <f>IF(ISTEXT('VR-PROP'!#REF!),"DESCARTADO",'VR-PROP'!#REF!)</f>
        <v>#REF!</v>
      </c>
      <c r="J184" s="212" t="e">
        <f>IF(ISTEXT('VR-PROP'!#REF!),"DESCARTADO",'VR-PROP'!#REF!)</f>
        <v>#REF!</v>
      </c>
      <c r="M184" s="133" t="e">
        <f>IF(AND(ISTEXT('VR-PROP'!#REF!),'VR-PROP'!#REF!=""),"DESCARTADO",'VR-PROP'!#REF!)</f>
        <v>#REF!</v>
      </c>
    </row>
    <row r="185" spans="8:13">
      <c r="H185" s="213">
        <v>183</v>
      </c>
      <c r="I185" s="212" t="e">
        <f>IF(ISTEXT('VR-PROP'!#REF!),"DESCARTADO",'VR-PROP'!#REF!)</f>
        <v>#REF!</v>
      </c>
      <c r="J185" s="212" t="e">
        <f>IF(ISTEXT('VR-PROP'!#REF!),"DESCARTADO",'VR-PROP'!#REF!)</f>
        <v>#REF!</v>
      </c>
      <c r="M185" s="133" t="e">
        <f>IF(AND(ISTEXT('VR-PROP'!#REF!),'VR-PROP'!#REF!=""),"DESCARTADO",'VR-PROP'!#REF!)</f>
        <v>#REF!</v>
      </c>
    </row>
    <row r="186" spans="8:13">
      <c r="H186" s="213">
        <v>184</v>
      </c>
      <c r="I186" s="212" t="e">
        <f>IF(ISTEXT('VR-PROP'!#REF!),"DESCARTADO",'VR-PROP'!#REF!)</f>
        <v>#REF!</v>
      </c>
      <c r="J186" s="212" t="e">
        <f>IF(ISTEXT('VR-PROP'!#REF!),"DESCARTADO",'VR-PROP'!#REF!)</f>
        <v>#REF!</v>
      </c>
      <c r="M186" s="133" t="e">
        <f>IF(AND(ISTEXT('VR-PROP'!#REF!),'VR-PROP'!#REF!=""),"DESCARTADO",'VR-PROP'!#REF!)</f>
        <v>#REF!</v>
      </c>
    </row>
    <row r="187" spans="8:13">
      <c r="H187" s="213">
        <v>185</v>
      </c>
      <c r="I187" s="212" t="e">
        <f>IF(ISTEXT('VR-PROP'!#REF!),"DESCARTADO",'VR-PROP'!#REF!)</f>
        <v>#REF!</v>
      </c>
      <c r="J187" s="212" t="e">
        <f>IF(ISTEXT('VR-PROP'!#REF!),"DESCARTADO",'VR-PROP'!#REF!)</f>
        <v>#REF!</v>
      </c>
      <c r="M187" s="133" t="e">
        <f>IF(AND(ISTEXT('VR-PROP'!#REF!),'VR-PROP'!#REF!=""),"DESCARTADO",'VR-PROP'!#REF!)</f>
        <v>#REF!</v>
      </c>
    </row>
    <row r="188" spans="8:13">
      <c r="H188" s="213">
        <v>186</v>
      </c>
      <c r="I188" s="212" t="e">
        <f>IF(ISTEXT('VR-PROP'!#REF!),"DESCARTADO",'VR-PROP'!#REF!)</f>
        <v>#REF!</v>
      </c>
      <c r="J188" s="212" t="e">
        <f>IF(ISTEXT('VR-PROP'!#REF!),"DESCARTADO",'VR-PROP'!#REF!)</f>
        <v>#REF!</v>
      </c>
      <c r="M188" s="133" t="e">
        <f>IF(AND(ISTEXT('VR-PROP'!#REF!),'VR-PROP'!#REF!=""),"DESCARTADO",'VR-PROP'!#REF!)</f>
        <v>#REF!</v>
      </c>
    </row>
    <row r="189" spans="8:13">
      <c r="H189" s="213">
        <v>187</v>
      </c>
      <c r="I189" s="212" t="e">
        <f>IF(ISTEXT('VR-PROP'!#REF!),"DESCARTADO",'VR-PROP'!#REF!)</f>
        <v>#REF!</v>
      </c>
      <c r="J189" s="212" t="e">
        <f>IF(ISTEXT('VR-PROP'!#REF!),"DESCARTADO",'VR-PROP'!#REF!)</f>
        <v>#REF!</v>
      </c>
      <c r="M189" s="133" t="e">
        <f>IF(AND(ISTEXT('VR-PROP'!#REF!),'VR-PROP'!#REF!=""),"DESCARTADO",'VR-PROP'!#REF!)</f>
        <v>#REF!</v>
      </c>
    </row>
    <row r="190" spans="8:13">
      <c r="H190" s="213">
        <v>188</v>
      </c>
      <c r="I190" s="212" t="e">
        <f>IF(ISTEXT('VR-PROP'!#REF!),"DESCARTADO",'VR-PROP'!#REF!)</f>
        <v>#REF!</v>
      </c>
      <c r="J190" s="212" t="e">
        <f>IF(ISTEXT('VR-PROP'!#REF!),"DESCARTADO",'VR-PROP'!#REF!)</f>
        <v>#REF!</v>
      </c>
      <c r="M190" s="133" t="e">
        <f>IF(AND(ISTEXT('VR-PROP'!#REF!),'VR-PROP'!#REF!=""),"DESCARTADO",'VR-PROP'!#REF!)</f>
        <v>#REF!</v>
      </c>
    </row>
    <row r="191" spans="8:13">
      <c r="H191" s="213">
        <v>189</v>
      </c>
      <c r="I191" s="212" t="e">
        <f>IF(ISTEXT('VR-PROP'!#REF!),"DESCARTADO",'VR-PROP'!#REF!)</f>
        <v>#REF!</v>
      </c>
      <c r="J191" s="212" t="e">
        <f>IF(ISTEXT('VR-PROP'!#REF!),"DESCARTADO",'VR-PROP'!#REF!)</f>
        <v>#REF!</v>
      </c>
      <c r="M191" s="133" t="e">
        <f>IF(AND(ISTEXT('VR-PROP'!#REF!),'VR-PROP'!#REF!=""),"DESCARTADO",'VR-PROP'!#REF!)</f>
        <v>#REF!</v>
      </c>
    </row>
    <row r="192" spans="8:13">
      <c r="H192" s="213">
        <v>190</v>
      </c>
      <c r="I192" s="212" t="e">
        <f>IF(ISTEXT('VR-PROP'!#REF!),"DESCARTADO",'VR-PROP'!#REF!)</f>
        <v>#REF!</v>
      </c>
      <c r="J192" s="212" t="e">
        <f>IF(ISTEXT('VR-PROP'!#REF!),"DESCARTADO",'VR-PROP'!#REF!)</f>
        <v>#REF!</v>
      </c>
      <c r="M192" s="133" t="e">
        <f>IF(AND(ISTEXT('VR-PROP'!#REF!),'VR-PROP'!#REF!=""),"DESCARTADO",'VR-PROP'!#REF!)</f>
        <v>#REF!</v>
      </c>
    </row>
    <row r="193" spans="8:13">
      <c r="H193" s="213">
        <v>191</v>
      </c>
      <c r="I193" s="212" t="e">
        <f>IF(ISTEXT('VR-PROP'!#REF!),"DESCARTADO",'VR-PROP'!#REF!)</f>
        <v>#REF!</v>
      </c>
      <c r="J193" s="212" t="e">
        <f>IF(ISTEXT('VR-PROP'!#REF!),"DESCARTADO",'VR-PROP'!#REF!)</f>
        <v>#REF!</v>
      </c>
      <c r="M193" s="133" t="e">
        <f>IF(AND(ISTEXT('VR-PROP'!#REF!),'VR-PROP'!#REF!=""),"DESCARTADO",'VR-PROP'!#REF!)</f>
        <v>#REF!</v>
      </c>
    </row>
    <row r="194" spans="8:13">
      <c r="H194" s="213">
        <v>192</v>
      </c>
      <c r="I194" s="212" t="e">
        <f>IF(ISTEXT('VR-PROP'!#REF!),"DESCARTADO",'VR-PROP'!#REF!)</f>
        <v>#REF!</v>
      </c>
      <c r="J194" s="212" t="e">
        <f>IF(ISTEXT('VR-PROP'!#REF!),"DESCARTADO",'VR-PROP'!#REF!)</f>
        <v>#REF!</v>
      </c>
      <c r="M194" s="133" t="e">
        <f>IF(AND(ISTEXT('VR-PROP'!#REF!),'VR-PROP'!#REF!=""),"DESCARTADO",'VR-PROP'!#REF!)</f>
        <v>#REF!</v>
      </c>
    </row>
    <row r="195" spans="8:13">
      <c r="H195" s="213">
        <v>193</v>
      </c>
      <c r="I195" s="212" t="e">
        <f>IF(ISTEXT('VR-PROP'!#REF!),"DESCARTADO",'VR-PROP'!#REF!)</f>
        <v>#REF!</v>
      </c>
      <c r="J195" s="212" t="e">
        <f>IF(ISTEXT('VR-PROP'!#REF!),"DESCARTADO",'VR-PROP'!#REF!)</f>
        <v>#REF!</v>
      </c>
      <c r="M195" s="133" t="e">
        <f>IF(AND(ISTEXT('VR-PROP'!#REF!),'VR-PROP'!#REF!=""),"DESCARTADO",'VR-PROP'!#REF!)</f>
        <v>#REF!</v>
      </c>
    </row>
    <row r="196" spans="8:13">
      <c r="H196" s="213">
        <v>194</v>
      </c>
      <c r="I196" s="212" t="e">
        <f>IF(ISTEXT('VR-PROP'!#REF!),"DESCARTADO",'VR-PROP'!#REF!)</f>
        <v>#REF!</v>
      </c>
      <c r="J196" s="212" t="e">
        <f>IF(ISTEXT('VR-PROP'!#REF!),"DESCARTADO",'VR-PROP'!#REF!)</f>
        <v>#REF!</v>
      </c>
      <c r="M196" s="133" t="e">
        <f>IF(AND(ISTEXT('VR-PROP'!#REF!),'VR-PROP'!#REF!=""),"DESCARTADO",'VR-PROP'!#REF!)</f>
        <v>#REF!</v>
      </c>
    </row>
    <row r="197" spans="8:13">
      <c r="H197" s="213">
        <v>195</v>
      </c>
      <c r="I197" s="212" t="e">
        <f>IF(ISTEXT('VR-PROP'!#REF!),"DESCARTADO",'VR-PROP'!#REF!)</f>
        <v>#REF!</v>
      </c>
      <c r="J197" s="212" t="e">
        <f>IF(ISTEXT('VR-PROP'!#REF!),"DESCARTADO",'VR-PROP'!#REF!)</f>
        <v>#REF!</v>
      </c>
      <c r="M197" s="133" t="e">
        <f>IF(AND(ISTEXT('VR-PROP'!#REF!),'VR-PROP'!#REF!=""),"DESCARTADO",'VR-PROP'!#REF!)</f>
        <v>#REF!</v>
      </c>
    </row>
    <row r="198" spans="8:13">
      <c r="H198" s="213">
        <v>196</v>
      </c>
      <c r="I198" s="212" t="e">
        <f>IF(ISTEXT('VR-PROP'!#REF!),"DESCARTADO",'VR-PROP'!#REF!)</f>
        <v>#REF!</v>
      </c>
      <c r="J198" s="212" t="e">
        <f>IF(ISTEXT('VR-PROP'!#REF!),"DESCARTADO",'VR-PROP'!#REF!)</f>
        <v>#REF!</v>
      </c>
      <c r="M198" s="133" t="e">
        <f>IF(AND(ISTEXT('VR-PROP'!#REF!),'VR-PROP'!#REF!=""),"DESCARTADO",'VR-PROP'!#REF!)</f>
        <v>#REF!</v>
      </c>
    </row>
    <row r="199" spans="8:13">
      <c r="H199" s="213">
        <v>197</v>
      </c>
      <c r="I199" s="212" t="e">
        <f>IF(ISTEXT('VR-PROP'!#REF!),"DESCARTADO",'VR-PROP'!#REF!)</f>
        <v>#REF!</v>
      </c>
      <c r="J199" s="212" t="e">
        <f>IF(ISTEXT('VR-PROP'!#REF!),"DESCARTADO",'VR-PROP'!#REF!)</f>
        <v>#REF!</v>
      </c>
      <c r="M199" s="133" t="e">
        <f>IF(AND(ISTEXT('VR-PROP'!#REF!),'VR-PROP'!#REF!=""),"DESCARTADO",'VR-PROP'!#REF!)</f>
        <v>#REF!</v>
      </c>
    </row>
    <row r="200" spans="8:13">
      <c r="H200" s="213">
        <v>198</v>
      </c>
      <c r="I200" s="212" t="e">
        <f>IF(ISTEXT('VR-PROP'!#REF!),"DESCARTADO",'VR-PROP'!#REF!)</f>
        <v>#REF!</v>
      </c>
      <c r="J200" s="212" t="e">
        <f>IF(ISTEXT('VR-PROP'!#REF!),"DESCARTADO",'VR-PROP'!#REF!)</f>
        <v>#REF!</v>
      </c>
      <c r="M200" s="133" t="e">
        <f>IF(AND(ISTEXT('VR-PROP'!#REF!),'VR-PROP'!#REF!=""),"DESCARTADO",'VR-PROP'!#REF!)</f>
        <v>#REF!</v>
      </c>
    </row>
    <row r="201" spans="8:13">
      <c r="H201" s="213">
        <v>199</v>
      </c>
      <c r="I201" s="212" t="e">
        <f>IF(ISTEXT('VR-PROP'!#REF!),"DESCARTADO",'VR-PROP'!#REF!)</f>
        <v>#REF!</v>
      </c>
      <c r="J201" s="212" t="e">
        <f>IF(ISTEXT('VR-PROP'!#REF!),"DESCARTADO",'VR-PROP'!#REF!)</f>
        <v>#REF!</v>
      </c>
      <c r="M201" s="133" t="e">
        <f>IF(AND(ISTEXT('VR-PROP'!#REF!),'VR-PROP'!#REF!=""),"DESCARTADO",'VR-PROP'!#REF!)</f>
        <v>#REF!</v>
      </c>
    </row>
    <row r="202" spans="8:13">
      <c r="H202" s="213">
        <v>200</v>
      </c>
      <c r="I202" s="212" t="e">
        <f>IF(ISTEXT('VR-PROP'!#REF!),"DESCARTADO",'VR-PROP'!#REF!)</f>
        <v>#REF!</v>
      </c>
      <c r="J202" s="212" t="e">
        <f>IF(ISTEXT('VR-PROP'!#REF!),"DESCARTADO",'VR-PROP'!#REF!)</f>
        <v>#REF!</v>
      </c>
      <c r="M202" s="133" t="e">
        <f>IF(AND(ISTEXT('VR-PROP'!#REF!),'VR-PROP'!#REF!=""),"DESCARTADO",'VR-PROP'!#REF!)</f>
        <v>#REF!</v>
      </c>
    </row>
    <row r="203" spans="8:13">
      <c r="H203" s="213">
        <v>201</v>
      </c>
      <c r="I203" s="212" t="e">
        <f>IF(ISTEXT('VR-PROP'!#REF!),"DESCARTADO",'VR-PROP'!#REF!)</f>
        <v>#REF!</v>
      </c>
      <c r="J203" s="212" t="e">
        <f>IF(ISTEXT('VR-PROP'!#REF!),"DESCARTADO",'VR-PROP'!#REF!)</f>
        <v>#REF!</v>
      </c>
      <c r="M203" s="133" t="e">
        <f>IF(AND(ISTEXT('VR-PROP'!#REF!),'VR-PROP'!#REF!=""),"DESCARTADO",'VR-PROP'!#REF!)</f>
        <v>#REF!</v>
      </c>
    </row>
    <row r="204" spans="8:13">
      <c r="H204" s="213">
        <v>202</v>
      </c>
      <c r="I204" s="212" t="e">
        <f>IF(ISTEXT('VR-PROP'!#REF!),"DESCARTADO",'VR-PROP'!#REF!)</f>
        <v>#REF!</v>
      </c>
      <c r="J204" s="212" t="e">
        <f>IF(ISTEXT('VR-PROP'!#REF!),"DESCARTADO",'VR-PROP'!#REF!)</f>
        <v>#REF!</v>
      </c>
      <c r="M204" s="133" t="e">
        <f>IF(AND(ISTEXT('VR-PROP'!#REF!),'VR-PROP'!#REF!=""),"DESCARTADO",'VR-PROP'!#REF!)</f>
        <v>#REF!</v>
      </c>
    </row>
    <row r="205" spans="8:13">
      <c r="H205" s="213">
        <v>203</v>
      </c>
      <c r="I205" s="212" t="e">
        <f>IF(ISTEXT('VR-PROP'!#REF!),"DESCARTADO",'VR-PROP'!#REF!)</f>
        <v>#REF!</v>
      </c>
      <c r="J205" s="212" t="e">
        <f>IF(ISTEXT('VR-PROP'!#REF!),"DESCARTADO",'VR-PROP'!#REF!)</f>
        <v>#REF!</v>
      </c>
      <c r="M205" s="133" t="e">
        <f>IF(AND(ISTEXT('VR-PROP'!#REF!),'VR-PROP'!#REF!=""),"DESCARTADO",'VR-PROP'!#REF!)</f>
        <v>#REF!</v>
      </c>
    </row>
    <row r="206" spans="8:13">
      <c r="H206" s="213">
        <v>204</v>
      </c>
      <c r="I206" s="212" t="e">
        <f>IF(ISTEXT('VR-PROP'!#REF!),"DESCARTADO",'VR-PROP'!#REF!)</f>
        <v>#REF!</v>
      </c>
      <c r="J206" s="212" t="e">
        <f>IF(ISTEXT('VR-PROP'!#REF!),"DESCARTADO",'VR-PROP'!#REF!)</f>
        <v>#REF!</v>
      </c>
      <c r="M206" s="133" t="e">
        <f>IF(AND(ISTEXT('VR-PROP'!#REF!),'VR-PROP'!#REF!=""),"DESCARTADO",'VR-PROP'!#REF!)</f>
        <v>#REF!</v>
      </c>
    </row>
    <row r="207" spans="8:13">
      <c r="H207" s="213">
        <v>205</v>
      </c>
      <c r="I207" s="212" t="e">
        <f>IF(ISTEXT('VR-PROP'!#REF!),"DESCARTADO",'VR-PROP'!#REF!)</f>
        <v>#REF!</v>
      </c>
      <c r="J207" s="212" t="e">
        <f>IF(ISTEXT('VR-PROP'!#REF!),"DESCARTADO",'VR-PROP'!#REF!)</f>
        <v>#REF!</v>
      </c>
      <c r="M207" s="133" t="e">
        <f>IF(AND(ISTEXT('VR-PROP'!#REF!),'VR-PROP'!#REF!=""),"DESCARTADO",'VR-PROP'!#REF!)</f>
        <v>#REF!</v>
      </c>
    </row>
    <row r="208" spans="8:13">
      <c r="H208" s="213">
        <v>206</v>
      </c>
      <c r="I208" s="212" t="e">
        <f>IF(ISTEXT('VR-PROP'!#REF!),"DESCARTADO",'VR-PROP'!#REF!)</f>
        <v>#REF!</v>
      </c>
      <c r="J208" s="212" t="e">
        <f>IF(ISTEXT('VR-PROP'!#REF!),"DESCARTADO",'VR-PROP'!#REF!)</f>
        <v>#REF!</v>
      </c>
      <c r="M208" s="133" t="e">
        <f>IF(AND(ISTEXT('VR-PROP'!#REF!),'VR-PROP'!#REF!=""),"DESCARTADO",'VR-PROP'!#REF!)</f>
        <v>#REF!</v>
      </c>
    </row>
    <row r="209" spans="8:13">
      <c r="H209" s="213">
        <v>207</v>
      </c>
      <c r="I209" s="212" t="e">
        <f>IF(ISTEXT('VR-PROP'!#REF!),"DESCARTADO",'VR-PROP'!#REF!)</f>
        <v>#REF!</v>
      </c>
      <c r="J209" s="212" t="e">
        <f>IF(ISTEXT('VR-PROP'!#REF!),"DESCARTADO",'VR-PROP'!#REF!)</f>
        <v>#REF!</v>
      </c>
      <c r="M209" s="133" t="e">
        <f>IF(AND(ISTEXT('VR-PROP'!#REF!),'VR-PROP'!#REF!=""),"DESCARTADO",'VR-PROP'!#REF!)</f>
        <v>#REF!</v>
      </c>
    </row>
    <row r="210" spans="8:13">
      <c r="H210" s="213">
        <v>208</v>
      </c>
      <c r="I210" s="212" t="e">
        <f>IF(ISTEXT('VR-PROP'!#REF!),"DESCARTADO",'VR-PROP'!#REF!)</f>
        <v>#REF!</v>
      </c>
      <c r="J210" s="212" t="e">
        <f>IF(ISTEXT('VR-PROP'!#REF!),"DESCARTADO",'VR-PROP'!#REF!)</f>
        <v>#REF!</v>
      </c>
      <c r="M210" s="133" t="e">
        <f>IF(AND(ISTEXT('VR-PROP'!#REF!),'VR-PROP'!#REF!=""),"DESCARTADO",'VR-PROP'!#REF!)</f>
        <v>#REF!</v>
      </c>
    </row>
    <row r="211" spans="8:13">
      <c r="H211" s="213">
        <v>209</v>
      </c>
      <c r="I211" s="212" t="e">
        <f>IF(ISTEXT('VR-PROP'!#REF!),"DESCARTADO",'VR-PROP'!#REF!)</f>
        <v>#REF!</v>
      </c>
      <c r="J211" s="212" t="e">
        <f>IF(ISTEXT('VR-PROP'!#REF!),"DESCARTADO",'VR-PROP'!#REF!)</f>
        <v>#REF!</v>
      </c>
      <c r="M211" s="133" t="e">
        <f>IF(AND(ISTEXT('VR-PROP'!#REF!),'VR-PROP'!#REF!=""),"DESCARTADO",'VR-PROP'!#REF!)</f>
        <v>#REF!</v>
      </c>
    </row>
    <row r="212" spans="8:13">
      <c r="H212" s="213">
        <v>210</v>
      </c>
      <c r="I212" s="212" t="e">
        <f>IF(ISTEXT('VR-PROP'!#REF!),"DESCARTADO",'VR-PROP'!#REF!)</f>
        <v>#REF!</v>
      </c>
      <c r="J212" s="212" t="e">
        <f>IF(ISTEXT('VR-PROP'!#REF!),"DESCARTADO",'VR-PROP'!#REF!)</f>
        <v>#REF!</v>
      </c>
      <c r="M212" s="133" t="e">
        <f>IF(AND(ISTEXT('VR-PROP'!#REF!),'VR-PROP'!#REF!=""),"DESCARTADO",'VR-PROP'!#REF!)</f>
        <v>#REF!</v>
      </c>
    </row>
    <row r="213" spans="8:13">
      <c r="H213" s="213">
        <v>211</v>
      </c>
      <c r="I213" s="212" t="e">
        <f>IF(ISTEXT('VR-PROP'!#REF!),"DESCARTADO",'VR-PROP'!#REF!)</f>
        <v>#REF!</v>
      </c>
      <c r="J213" s="212" t="e">
        <f>IF(ISTEXT('VR-PROP'!#REF!),"DESCARTADO",'VR-PROP'!#REF!)</f>
        <v>#REF!</v>
      </c>
      <c r="M213" s="133" t="e">
        <f>IF(AND(ISTEXT('VR-PROP'!#REF!),'VR-PROP'!#REF!=""),"DESCARTADO",'VR-PROP'!#REF!)</f>
        <v>#REF!</v>
      </c>
    </row>
    <row r="214" spans="8:13">
      <c r="H214" s="213">
        <v>212</v>
      </c>
      <c r="I214" s="212" t="e">
        <f>IF(ISTEXT('VR-PROP'!#REF!),"DESCARTADO",'VR-PROP'!#REF!)</f>
        <v>#REF!</v>
      </c>
      <c r="J214" s="212" t="e">
        <f>IF(ISTEXT('VR-PROP'!#REF!),"DESCARTADO",'VR-PROP'!#REF!)</f>
        <v>#REF!</v>
      </c>
      <c r="M214" s="133" t="e">
        <f>IF(AND(ISTEXT('VR-PROP'!#REF!),'VR-PROP'!#REF!=""),"DESCARTADO",'VR-PROP'!#REF!)</f>
        <v>#REF!</v>
      </c>
    </row>
    <row r="215" spans="8:13">
      <c r="H215" s="213">
        <v>213</v>
      </c>
      <c r="I215" s="212" t="e">
        <f>IF(ISTEXT('VR-PROP'!#REF!),"DESCARTADO",'VR-PROP'!#REF!)</f>
        <v>#REF!</v>
      </c>
      <c r="J215" s="212" t="e">
        <f>IF(ISTEXT('VR-PROP'!#REF!),"DESCARTADO",'VR-PROP'!#REF!)</f>
        <v>#REF!</v>
      </c>
      <c r="M215" s="133" t="e">
        <f>IF(AND(ISTEXT('VR-PROP'!#REF!),'VR-PROP'!#REF!=""),"DESCARTADO",'VR-PROP'!#REF!)</f>
        <v>#REF!</v>
      </c>
    </row>
    <row r="216" spans="8:13">
      <c r="H216" s="213">
        <v>214</v>
      </c>
      <c r="I216" s="212" t="e">
        <f>IF(ISTEXT('VR-PROP'!#REF!),"DESCARTADO",'VR-PROP'!#REF!)</f>
        <v>#REF!</v>
      </c>
      <c r="J216" s="212" t="e">
        <f>IF(ISTEXT('VR-PROP'!#REF!),"DESCARTADO",'VR-PROP'!#REF!)</f>
        <v>#REF!</v>
      </c>
      <c r="M216" s="133" t="e">
        <f>IF(AND(ISTEXT('VR-PROP'!#REF!),'VR-PROP'!#REF!=""),"DESCARTADO",'VR-PROP'!#REF!)</f>
        <v>#REF!</v>
      </c>
    </row>
    <row r="217" spans="8:13">
      <c r="H217" s="213">
        <v>215</v>
      </c>
      <c r="I217" s="212" t="e">
        <f>IF(ISTEXT('VR-PROP'!#REF!),"DESCARTADO",'VR-PROP'!#REF!)</f>
        <v>#REF!</v>
      </c>
      <c r="J217" s="212" t="e">
        <f>IF(ISTEXT('VR-PROP'!#REF!),"DESCARTADO",'VR-PROP'!#REF!)</f>
        <v>#REF!</v>
      </c>
      <c r="M217" s="133" t="e">
        <f>IF(AND(ISTEXT('VR-PROP'!#REF!),'VR-PROP'!#REF!=""),"DESCARTADO",'VR-PROP'!#REF!)</f>
        <v>#REF!</v>
      </c>
    </row>
    <row r="218" spans="8:13">
      <c r="H218" s="213">
        <v>216</v>
      </c>
      <c r="I218" s="212" t="e">
        <f>IF(ISTEXT('VR-PROP'!#REF!),"DESCARTADO",'VR-PROP'!#REF!)</f>
        <v>#REF!</v>
      </c>
      <c r="J218" s="212" t="e">
        <f>IF(ISTEXT('VR-PROP'!#REF!),"DESCARTADO",'VR-PROP'!#REF!)</f>
        <v>#REF!</v>
      </c>
      <c r="M218" s="133" t="e">
        <f>IF(AND(ISTEXT('VR-PROP'!#REF!),'VR-PROP'!#REF!=""),"DESCARTADO",'VR-PROP'!#REF!)</f>
        <v>#REF!</v>
      </c>
    </row>
    <row r="219" spans="8:13">
      <c r="H219" s="213">
        <v>217</v>
      </c>
      <c r="I219" s="212" t="e">
        <f>IF(ISTEXT('VR-PROP'!#REF!),"DESCARTADO",'VR-PROP'!#REF!)</f>
        <v>#REF!</v>
      </c>
      <c r="J219" s="212" t="e">
        <f>IF(ISTEXT('VR-PROP'!#REF!),"DESCARTADO",'VR-PROP'!#REF!)</f>
        <v>#REF!</v>
      </c>
      <c r="M219" s="133" t="e">
        <f>IF(AND(ISTEXT('VR-PROP'!#REF!),'VR-PROP'!#REF!=""),"DESCARTADO",'VR-PROP'!#REF!)</f>
        <v>#REF!</v>
      </c>
    </row>
    <row r="220" spans="8:13">
      <c r="H220" s="213">
        <v>218</v>
      </c>
      <c r="I220" s="212" t="e">
        <f>IF(ISTEXT('VR-PROP'!#REF!),"DESCARTADO",'VR-PROP'!#REF!)</f>
        <v>#REF!</v>
      </c>
      <c r="J220" s="212" t="e">
        <f>IF(ISTEXT('VR-PROP'!#REF!),"DESCARTADO",'VR-PROP'!#REF!)</f>
        <v>#REF!</v>
      </c>
      <c r="M220" s="133" t="e">
        <f>IF(AND(ISTEXT('VR-PROP'!#REF!),'VR-PROP'!#REF!=""),"DESCARTADO",'VR-PROP'!#REF!)</f>
        <v>#REF!</v>
      </c>
    </row>
    <row r="221" spans="8:13">
      <c r="H221" s="213">
        <v>219</v>
      </c>
      <c r="I221" s="212" t="e">
        <f>IF(ISTEXT('VR-PROP'!#REF!),"DESCARTADO",'VR-PROP'!#REF!)</f>
        <v>#REF!</v>
      </c>
      <c r="J221" s="212" t="e">
        <f>IF(ISTEXT('VR-PROP'!#REF!),"DESCARTADO",'VR-PROP'!#REF!)</f>
        <v>#REF!</v>
      </c>
      <c r="M221" s="133" t="e">
        <f>IF(AND(ISTEXT('VR-PROP'!#REF!),'VR-PROP'!#REF!=""),"DESCARTADO",'VR-PROP'!#REF!)</f>
        <v>#REF!</v>
      </c>
    </row>
    <row r="222" spans="8:13">
      <c r="H222" s="213">
        <v>220</v>
      </c>
      <c r="I222" s="212" t="e">
        <f>IF(ISTEXT('VR-PROP'!#REF!),"DESCARTADO",'VR-PROP'!#REF!)</f>
        <v>#REF!</v>
      </c>
      <c r="J222" s="212" t="e">
        <f>IF(ISTEXT('VR-PROP'!#REF!),"DESCARTADO",'VR-PROP'!#REF!)</f>
        <v>#REF!</v>
      </c>
      <c r="M222" s="133" t="e">
        <f>IF(AND(ISTEXT('VR-PROP'!#REF!),'VR-PROP'!#REF!=""),"DESCARTADO",'VR-PROP'!#REF!)</f>
        <v>#REF!</v>
      </c>
    </row>
    <row r="223" spans="8:13">
      <c r="H223" s="213"/>
    </row>
    <row r="224" spans="8:13">
      <c r="H224" s="213"/>
    </row>
    <row r="225" spans="8:8">
      <c r="H225" s="213"/>
    </row>
    <row r="226" spans="8:8">
      <c r="H226" s="213"/>
    </row>
    <row r="227" spans="8:8">
      <c r="H227" s="213"/>
    </row>
    <row r="228" spans="8:8">
      <c r="H228" s="213"/>
    </row>
    <row r="229" spans="8:8">
      <c r="H229" s="213"/>
    </row>
    <row r="230" spans="8:8">
      <c r="H230" s="213"/>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vt:i4>
      </vt:variant>
    </vt:vector>
  </HeadingPairs>
  <TitlesOfParts>
    <vt:vector size="16" baseType="lpstr">
      <vt:lpstr>PAB</vt:lpstr>
      <vt:lpstr>RESUMEN</vt:lpstr>
      <vt:lpstr>VR-PROP</vt:lpstr>
      <vt:lpstr>FORMULA</vt:lpstr>
      <vt:lpstr>ELEGIBILIDAD</vt:lpstr>
      <vt:lpstr>Hoja1</vt:lpstr>
      <vt:lpstr>GUIA CCE - PAB&lt;5</vt:lpstr>
      <vt:lpstr>ELEGIBILIDAD!Área_de_impresión</vt:lpstr>
      <vt:lpstr>RESUMEN!Área_de_impresión</vt:lpstr>
      <vt:lpstr>'VR-PROP'!Área_de_impresión</vt:lpstr>
      <vt:lpstr>DEPENDENCIAS</vt:lpstr>
      <vt:lpstr>METEVA</vt:lpstr>
      <vt:lpstr>RESULTADO</vt:lpstr>
      <vt:lpstr>ELEGIBILIDAD!Títulos_a_imprimir</vt:lpstr>
      <vt:lpstr>FORMULA!Títulos_a_imprimir</vt:lpstr>
      <vt:lpstr>'VR-PROP'!Títulos_a_imprimir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Brenda Viviana Jimenez Diaz</cp:lastModifiedBy>
  <dcterms:created xsi:type="dcterms:W3CDTF">2021-02-20T04:21:38Z</dcterms:created>
  <dcterms:modified xsi:type="dcterms:W3CDTF">2023-07-11T16:57:34Z</dcterms:modified>
</cp:coreProperties>
</file>