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7245" yWindow="-15" windowWidth="9630" windowHeight="12540" activeTab="2"/>
  </bookViews>
  <sheets>
    <sheet name="PUNTAJE MET EVA" sheetId="1" r:id="rId1"/>
    <sheet name="correcion Aritmetica" sheetId="4" r:id="rId2"/>
    <sheet name="ORDEN ELIGIBILIDAD" sheetId="2" r:id="rId3"/>
    <sheet name="Hoja4" sheetId="8" state="hidden" r:id="rId4"/>
    <sheet name="Hoja3" sheetId="3" state="hidden" r:id="rId5"/>
    <sheet name="Hoja2" sheetId="6" state="hidden" r:id="rId6"/>
    <sheet name="Hoja1" sheetId="7" state="hidden" r:id="rId7"/>
  </sheets>
  <definedNames>
    <definedName name="_xlnm._FilterDatabase" localSheetId="2" hidden="1">'ORDEN ELIGIBILIDAD'!$A$3:$E$22</definedName>
    <definedName name="_xlnm.Print_Area" localSheetId="0">'PUNTAJE MET EVA'!$A$1:$E$23</definedName>
    <definedName name="prueba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2" l="1"/>
  <c r="E12" i="2"/>
  <c r="E6" i="2"/>
  <c r="E14" i="2"/>
  <c r="E4" i="2"/>
  <c r="E5" i="2"/>
  <c r="E7" i="2"/>
  <c r="E18" i="2"/>
  <c r="E19" i="2"/>
  <c r="E16" i="2"/>
  <c r="E11" i="2"/>
  <c r="E20" i="2"/>
  <c r="E9" i="2"/>
  <c r="E22" i="2"/>
  <c r="E17" i="2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8" i="2" l="1"/>
  <c r="E15" i="2"/>
  <c r="E5" i="4"/>
  <c r="E6" i="4"/>
  <c r="E7" i="4"/>
  <c r="E8" i="4"/>
  <c r="E9" i="4"/>
  <c r="E13" i="2" l="1"/>
  <c r="E21" i="2" l="1"/>
  <c r="E4" i="4" l="1"/>
  <c r="C6" i="8" l="1"/>
  <c r="D6" i="8" s="1"/>
  <c r="C3" i="8"/>
  <c r="C14" i="8"/>
  <c r="C13" i="8"/>
  <c r="C12" i="8"/>
  <c r="C11" i="8"/>
  <c r="C10" i="8"/>
  <c r="D10" i="8" s="1"/>
  <c r="C9" i="8"/>
  <c r="C8" i="8"/>
  <c r="D8" i="8" s="1"/>
  <c r="C7" i="8"/>
  <c r="C5" i="8"/>
  <c r="C4" i="8"/>
  <c r="D4" i="8" s="1"/>
  <c r="C22" i="8"/>
  <c r="I5" i="8" s="1"/>
  <c r="C21" i="8"/>
  <c r="H7" i="8" s="1"/>
  <c r="C18" i="8"/>
  <c r="E9" i="8" s="1"/>
  <c r="D5" i="8"/>
  <c r="C16" i="8" l="1"/>
  <c r="F4" i="8" s="1"/>
  <c r="C20" i="8"/>
  <c r="G10" i="8" s="1"/>
  <c r="I8" i="8"/>
  <c r="I6" i="8"/>
  <c r="I7" i="8"/>
  <c r="H6" i="8"/>
  <c r="I10" i="8"/>
  <c r="H4" i="8"/>
  <c r="I9" i="8"/>
  <c r="H9" i="8"/>
  <c r="I4" i="8"/>
  <c r="H3" i="8"/>
  <c r="E7" i="8"/>
  <c r="I3" i="8"/>
  <c r="H5" i="8"/>
  <c r="G7" i="8"/>
  <c r="H10" i="8"/>
  <c r="E3" i="8"/>
  <c r="E8" i="8"/>
  <c r="D7" i="8"/>
  <c r="H8" i="8"/>
  <c r="E4" i="8"/>
  <c r="D9" i="8"/>
  <c r="D3" i="8"/>
  <c r="D15" i="8" s="1"/>
  <c r="E6" i="8"/>
  <c r="E10" i="8"/>
  <c r="E5" i="8"/>
  <c r="F11" i="8" l="1"/>
  <c r="F7" i="8"/>
  <c r="F5" i="8"/>
  <c r="F6" i="8"/>
  <c r="F14" i="8"/>
  <c r="F3" i="8"/>
  <c r="F8" i="8"/>
  <c r="F9" i="8"/>
  <c r="F13" i="8"/>
  <c r="F10" i="8"/>
  <c r="F12" i="8"/>
  <c r="G5" i="8"/>
  <c r="G4" i="8"/>
  <c r="G8" i="8"/>
  <c r="G9" i="8"/>
  <c r="G6" i="8"/>
  <c r="G3" i="8"/>
  <c r="E15" i="8"/>
  <c r="H15" i="8"/>
  <c r="I15" i="8"/>
  <c r="F15" i="8" l="1"/>
  <c r="G15" i="8"/>
  <c r="C25" i="7"/>
  <c r="I13" i="7" s="1"/>
  <c r="C24" i="7"/>
  <c r="H10" i="7" s="1"/>
  <c r="C21" i="7"/>
  <c r="E17" i="7" s="1"/>
  <c r="C19" i="7"/>
  <c r="D17" i="7"/>
  <c r="D16" i="7"/>
  <c r="D15" i="7"/>
  <c r="D14" i="7"/>
  <c r="D13" i="7"/>
  <c r="H11" i="7"/>
  <c r="D11" i="7"/>
  <c r="D10" i="7"/>
  <c r="D9" i="7"/>
  <c r="I8" i="7"/>
  <c r="D8" i="7"/>
  <c r="D7" i="7"/>
  <c r="I5" i="7"/>
  <c r="H5" i="7"/>
  <c r="D5" i="7"/>
  <c r="D18" i="7" s="1"/>
  <c r="I7" i="7" l="1"/>
  <c r="H7" i="7"/>
  <c r="H14" i="7"/>
  <c r="H16" i="7"/>
  <c r="H13" i="7"/>
  <c r="H17" i="7"/>
  <c r="H9" i="7"/>
  <c r="H15" i="7"/>
  <c r="I10" i="7"/>
  <c r="I14" i="7"/>
  <c r="I17" i="7"/>
  <c r="I11" i="7"/>
  <c r="I15" i="7"/>
  <c r="E13" i="7"/>
  <c r="F8" i="7"/>
  <c r="F3" i="7"/>
  <c r="E11" i="7"/>
  <c r="E16" i="7"/>
  <c r="I16" i="7"/>
  <c r="C23" i="7"/>
  <c r="G7" i="7" s="1"/>
  <c r="I9" i="7"/>
  <c r="E15" i="7"/>
  <c r="H8" i="7"/>
  <c r="H18" i="7" s="1"/>
  <c r="E14" i="7"/>
  <c r="F6" i="7"/>
  <c r="F4" i="7"/>
  <c r="F12" i="7"/>
  <c r="F16" i="7"/>
  <c r="F14" i="7"/>
  <c r="F15" i="7"/>
  <c r="F7" i="7"/>
  <c r="F11" i="7"/>
  <c r="E10" i="7"/>
  <c r="E9" i="7"/>
  <c r="F17" i="7"/>
  <c r="F13" i="7"/>
  <c r="E5" i="7"/>
  <c r="F10" i="7"/>
  <c r="E8" i="7"/>
  <c r="F9" i="7"/>
  <c r="F5" i="7"/>
  <c r="E7" i="7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3" i="6"/>
  <c r="I18" i="7" l="1"/>
  <c r="G8" i="7"/>
  <c r="G10" i="7"/>
  <c r="G14" i="7"/>
  <c r="G17" i="7"/>
  <c r="G5" i="7"/>
  <c r="G16" i="7"/>
  <c r="G15" i="7"/>
  <c r="G11" i="7"/>
  <c r="G13" i="7"/>
  <c r="G9" i="7"/>
  <c r="F18" i="7"/>
  <c r="E18" i="7"/>
  <c r="C19" i="6"/>
  <c r="D8" i="6"/>
  <c r="G18" i="7" l="1"/>
  <c r="C25" i="6"/>
  <c r="C24" i="6"/>
  <c r="C21" i="6"/>
  <c r="D17" i="6"/>
  <c r="D16" i="6"/>
  <c r="D15" i="6"/>
  <c r="D14" i="6"/>
  <c r="D13" i="6"/>
  <c r="D11" i="6"/>
  <c r="D10" i="6"/>
  <c r="D9" i="6"/>
  <c r="D7" i="6"/>
  <c r="D5" i="6"/>
  <c r="D18" i="6" s="1"/>
  <c r="E13" i="6" l="1"/>
  <c r="E8" i="6"/>
  <c r="H17" i="6"/>
  <c r="H8" i="6"/>
  <c r="I17" i="6"/>
  <c r="I8" i="6"/>
  <c r="I13" i="6"/>
  <c r="I11" i="6"/>
  <c r="I5" i="6"/>
  <c r="C23" i="6"/>
  <c r="I9" i="6"/>
  <c r="I15" i="6"/>
  <c r="I16" i="6"/>
  <c r="I7" i="6"/>
  <c r="I10" i="6"/>
  <c r="I14" i="6"/>
  <c r="E7" i="6"/>
  <c r="E9" i="6"/>
  <c r="E10" i="6"/>
  <c r="E11" i="6"/>
  <c r="E14" i="6"/>
  <c r="E15" i="6"/>
  <c r="E16" i="6"/>
  <c r="E17" i="6"/>
  <c r="E5" i="6"/>
  <c r="H5" i="6"/>
  <c r="H7" i="6"/>
  <c r="H9" i="6"/>
  <c r="H10" i="6"/>
  <c r="H11" i="6"/>
  <c r="H13" i="6"/>
  <c r="H14" i="6"/>
  <c r="H15" i="6"/>
  <c r="H16" i="6"/>
  <c r="G17" i="6" l="1"/>
  <c r="G8" i="6"/>
  <c r="G13" i="6"/>
  <c r="G11" i="6"/>
  <c r="I18" i="6"/>
  <c r="G10" i="6"/>
  <c r="G9" i="6"/>
  <c r="G16" i="6"/>
  <c r="G15" i="6"/>
  <c r="G5" i="6"/>
  <c r="G14" i="6"/>
  <c r="G7" i="6"/>
  <c r="E18" i="6"/>
  <c r="H18" i="6"/>
  <c r="G18" i="6" l="1"/>
  <c r="F3" i="6" l="1"/>
  <c r="F5" i="6"/>
  <c r="F17" i="6"/>
  <c r="F9" i="6"/>
  <c r="F12" i="6"/>
  <c r="F15" i="6"/>
  <c r="F4" i="6"/>
  <c r="F14" i="6"/>
  <c r="F13" i="6"/>
  <c r="F16" i="6"/>
  <c r="F11" i="6"/>
  <c r="F6" i="6"/>
  <c r="F7" i="6"/>
  <c r="F10" i="6"/>
  <c r="F8" i="6"/>
  <c r="F18" i="6" l="1"/>
</calcChain>
</file>

<file path=xl/sharedStrings.xml><?xml version="1.0" encoding="utf-8"?>
<sst xmlns="http://schemas.openxmlformats.org/spreadsheetml/2006/main" count="181" uniqueCount="76">
  <si>
    <t>PROPONENTE</t>
  </si>
  <si>
    <t>PRECIOS</t>
  </si>
  <si>
    <t>PUNTAJE
Mediana Con Valor Absoluto (PAR)</t>
  </si>
  <si>
    <t>PUNTAJE
Media Geometrica</t>
  </si>
  <si>
    <t>Mediana con Valor Absoluto</t>
  </si>
  <si>
    <t>Media Geometrica</t>
  </si>
  <si>
    <t>Media Aritmetica baja</t>
  </si>
  <si>
    <t>Menor Valor</t>
  </si>
  <si>
    <t xml:space="preserve">puntaje </t>
  </si>
  <si>
    <t>PUNTAJE
Mediana Con Valor Absoluto (IMPAR)
0,00 - 0,33</t>
  </si>
  <si>
    <t>PUNTAJE
Media Aritmetica Baja
0,34 - 0,67</t>
  </si>
  <si>
    <t>PUNTAJE
Media 
Aritmetica
0,68 - 0,99</t>
  </si>
  <si>
    <t>Media Aritmetica</t>
  </si>
  <si>
    <t>Valor inferior inmdtamente</t>
  </si>
  <si>
    <t>PRESUPUESTO OFICIAL</t>
  </si>
  <si>
    <t>PUNTAJE</t>
  </si>
  <si>
    <t>PUNTAJE OFERTA
 ECONOMICA</t>
  </si>
  <si>
    <t>PROPONENTES</t>
  </si>
  <si>
    <t>No. Proponente</t>
  </si>
  <si>
    <t>No. 
Proponente</t>
  </si>
  <si>
    <t>PUNTAJE
Menor Valor
0,75 - 0,99</t>
  </si>
  <si>
    <t>PUNTAJE OFERTAS ECONOMICAS
LP-008-2021</t>
  </si>
  <si>
    <t>CONSORCIO ORBE PROYECTOS</t>
  </si>
  <si>
    <t>CONSORCIO NETA</t>
  </si>
  <si>
    <t>CONSORCIO CONSTRUCTOR ALCANTARILLADOS DEL ATLÁNTICO</t>
  </si>
  <si>
    <t>CONSORCIO SANEAMIENTO 2021</t>
  </si>
  <si>
    <t>CONSORCIO INGENIERIA GHM</t>
  </si>
  <si>
    <t>CONSORCIO ALC BARANOA 2021</t>
  </si>
  <si>
    <t>CONSORCIO VIAS NCC</t>
  </si>
  <si>
    <t>CONSORCIO ALCANTARILLADO ALGODONAL 21</t>
  </si>
  <si>
    <t>CONSORCIO SANEMIENTO ATLANTICO MV</t>
  </si>
  <si>
    <t>CONSORCIO REDES MANZANARES</t>
  </si>
  <si>
    <t>HAPIL INGENIERiA S.A.S.</t>
  </si>
  <si>
    <t>UT H&amp;B</t>
  </si>
  <si>
    <t>CONSORCIO ALCANTARILLADO ATLÁNTICO</t>
  </si>
  <si>
    <t>MARIO GERMAN GARCIA GARCIA</t>
  </si>
  <si>
    <t>CONSORCIO REDES ATLANTICO MI</t>
  </si>
  <si>
    <t>PUNTAJE OFERTAS ECONOMICAS
LP-010-2021</t>
  </si>
  <si>
    <t>VALOR OFERTA</t>
  </si>
  <si>
    <t>VALOR CORREGIDO</t>
  </si>
  <si>
    <t>DIFERENCIA</t>
  </si>
  <si>
    <t>PUNTAJE
Mediana Con Valor Absoluto (PAR)
0,00 - 0,24</t>
  </si>
  <si>
    <t>MEDIA GEOMETRICA</t>
  </si>
  <si>
    <t>Valor inmediatamente inferior de media aritmetica</t>
  </si>
  <si>
    <t>OFERTA ECONOMICA</t>
  </si>
  <si>
    <t>NUMERO</t>
  </si>
  <si>
    <t>PUNTAJE TOTAL</t>
  </si>
  <si>
    <t xml:space="preserve">Presupuesto Oficial </t>
  </si>
  <si>
    <t>Promedio Aritmetico</t>
  </si>
  <si>
    <t>Puntaje</t>
  </si>
  <si>
    <t>Mediana</t>
  </si>
  <si>
    <t>PUNTAJE OFERTAS ECONOMICAS
LP-008-2023</t>
  </si>
  <si>
    <t>CORRECCIONES ARITMETICAS
LP - 008 - 2023</t>
  </si>
  <si>
    <t>CALIFICACION PROPONENTES
LP-008-2023</t>
  </si>
  <si>
    <t>CONSORCIO ACUEDUCTO SOCAVON</t>
  </si>
  <si>
    <t xml:space="preserve"> TORRES Y ASOCIADOS SAS</t>
  </si>
  <si>
    <t xml:space="preserve"> CONSORCIO ECO&amp;DAR</t>
  </si>
  <si>
    <t xml:space="preserve"> MAMUT ACERO Y CONCRETO S.A.S</t>
  </si>
  <si>
    <t xml:space="preserve"> CONSORCIO HIDRO CONSTRUCCIONES</t>
  </si>
  <si>
    <t xml:space="preserve"> GOMYSIL CONSTRUCCIONES S.A.S</t>
  </si>
  <si>
    <t xml:space="preserve"> PAMER INGENIERIA S.A.S</t>
  </si>
  <si>
    <t xml:space="preserve"> CONINCA INGENIERIA SAS</t>
  </si>
  <si>
    <t xml:space="preserve"> GS VIAS Y ESTRUCTURAS</t>
  </si>
  <si>
    <t xml:space="preserve"> UNIOBRAS DEL ORIENTE S.A.S</t>
  </si>
  <si>
    <t>DIZGRACON SAS</t>
  </si>
  <si>
    <t>CONSORCIO CF</t>
  </si>
  <si>
    <t>CONSORCIO ACUEDUCTO LURUACO</t>
  </si>
  <si>
    <t xml:space="preserve"> CONSORCIO AGUAS DE ATLANTICO</t>
  </si>
  <si>
    <t>CONSORCIO CONREDES</t>
  </si>
  <si>
    <t xml:space="preserve"> CONSORCIO SOCAVON</t>
  </si>
  <si>
    <t>UNION TEMPORAL ACUEDUCTO LURUACO 2023</t>
  </si>
  <si>
    <t>ARCADIO ALBERTO PEREZ SOLANO</t>
  </si>
  <si>
    <t xml:space="preserve"> CONSORCIO ACUEDUCTO ATLANTICO</t>
  </si>
  <si>
    <t>UNIOBRAS DEL ORIENTE S.A.S</t>
  </si>
  <si>
    <t>CONINCA INGENIERIA SAS</t>
  </si>
  <si>
    <t>GS VIAS Y ESTRUCTURAS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</si>
</sst>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[$$-240A]\ #,##0"/>
    <numFmt numFmtId="169" formatCode="#,##0.00;[Red]#,##0.00"/>
    <numFmt numFmtId="170" formatCode="&quot;$&quot;\ #,##0"/>
    <numFmt numFmtId="171" formatCode="\$#.00"/>
    <numFmt numFmtId="172" formatCode="_-[$€-2]* #,##0.00_-;\-[$€-2]* #,##0.00_-;_-[$€-2]* &quot;-&quot;??_-"/>
    <numFmt numFmtId="173" formatCode="#.00"/>
    <numFmt numFmtId="174" formatCode="0.000"/>
    <numFmt numFmtId="175" formatCode="%#.00"/>
    <numFmt numFmtId="176" formatCode="_ &quot;$&quot;\ * #,##0.00_ ;_ &quot;$&quot;\ * \-#,##0.00_ ;_ &quot;$&quot;\ * &quot;-&quot;??_ ;_ @_ "/>
    <numFmt numFmtId="177" formatCode="0.0000"/>
    <numFmt numFmtId="178" formatCode="_(&quot;$&quot;\ * #,##0_);_(&quot;$&quot;\ * \(#,##0\);_(&quot;$&quot;\ * &quot;-&quot;??_);_(@_)"/>
    <numFmt numFmtId="179" formatCode="_(&quot;$&quot;* #,##0.00_);_(&quot;$&quot;* \(#,##0.00\);_(&quot;$&quot;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Helvetica"/>
      <family val="2"/>
    </font>
    <font>
      <sz val="11"/>
      <color indexed="8"/>
      <name val="Calibri"/>
      <family val="2"/>
    </font>
    <font>
      <sz val="10"/>
      <name val="SWISS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Courier"/>
      <family val="3"/>
    </font>
    <font>
      <sz val="11"/>
      <name val="Arial"/>
      <family val="2"/>
    </font>
    <font>
      <sz val="9"/>
      <name val="HandelGotDLig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0000"/>
      <name val="Arial Rounded MT Bold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7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9" fillId="9" borderId="0"/>
    <xf numFmtId="0" fontId="9" fillId="9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5" borderId="0" applyNumberFormat="0" applyBorder="0" applyAlignment="0" applyProtection="0"/>
    <xf numFmtId="0" fontId="9" fillId="9" borderId="0"/>
    <xf numFmtId="0" fontId="9" fillId="9" borderId="0"/>
    <xf numFmtId="0" fontId="12" fillId="18" borderId="3" applyNumberFormat="0" applyAlignment="0" applyProtection="0"/>
    <xf numFmtId="0" fontId="13" fillId="19" borderId="4" applyNumberFormat="0" applyAlignment="0" applyProtection="0"/>
    <xf numFmtId="0" fontId="14" fillId="0" borderId="5" applyNumberFormat="0" applyFill="0" applyAlignment="0" applyProtection="0"/>
    <xf numFmtId="4" fontId="15" fillId="0" borderId="0">
      <protection locked="0"/>
    </xf>
    <xf numFmtId="171" fontId="15" fillId="0" borderId="0">
      <protection locked="0"/>
    </xf>
    <xf numFmtId="0" fontId="15" fillId="0" borderId="0">
      <protection locked="0"/>
    </xf>
    <xf numFmtId="0" fontId="16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3" borderId="0" applyNumberFormat="0" applyBorder="0" applyAlignment="0" applyProtection="0"/>
    <xf numFmtId="0" fontId="17" fillId="8" borderId="3" applyNumberFormat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8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8" fillId="0" borderId="0">
      <protection locked="0"/>
    </xf>
    <xf numFmtId="173" fontId="15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21" fillId="2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25" borderId="6" applyNumberFormat="0" applyFont="0" applyAlignment="0" applyProtection="0"/>
    <xf numFmtId="175" fontId="15" fillId="0" borderId="0">
      <protection locked="0"/>
    </xf>
    <xf numFmtId="9" fontId="5" fillId="0" borderId="0" applyFont="0" applyFill="0" applyBorder="0" applyAlignment="0" applyProtection="0"/>
    <xf numFmtId="0" fontId="22" fillId="18" borderId="7" applyNumberFormat="0" applyAlignment="0" applyProtection="0"/>
    <xf numFmtId="0" fontId="9" fillId="9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6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29" fillId="0" borderId="0"/>
    <xf numFmtId="9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1" fillId="0" borderId="0"/>
    <xf numFmtId="177" fontId="7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5" borderId="12" applyNumberFormat="0" applyFont="0" applyAlignment="0" applyProtection="0"/>
    <xf numFmtId="0" fontId="22" fillId="18" borderId="13" applyNumberFormat="0" applyAlignment="0" applyProtection="0"/>
    <xf numFmtId="0" fontId="28" fillId="0" borderId="14" applyNumberFormat="0" applyFill="0" applyAlignment="0" applyProtection="0"/>
    <xf numFmtId="44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178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98">
    <xf numFmtId="0" fontId="0" fillId="0" borderId="0" xfId="0"/>
    <xf numFmtId="43" fontId="2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  <xf numFmtId="43" fontId="0" fillId="2" borderId="0" xfId="1" applyFont="1" applyFill="1"/>
    <xf numFmtId="1" fontId="0" fillId="2" borderId="0" xfId="0" applyNumberFormat="1" applyFill="1" applyBorder="1" applyProtection="1">
      <protection locked="0"/>
    </xf>
    <xf numFmtId="1" fontId="0" fillId="2" borderId="0" xfId="1" applyNumberFormat="1" applyFont="1" applyFill="1" applyBorder="1"/>
    <xf numFmtId="2" fontId="0" fillId="2" borderId="2" xfId="0" applyNumberFormat="1" applyFill="1" applyBorder="1"/>
    <xf numFmtId="0" fontId="0" fillId="2" borderId="0" xfId="0" applyFill="1" applyProtection="1">
      <protection locked="0"/>
    </xf>
    <xf numFmtId="164" fontId="0" fillId="2" borderId="0" xfId="0" applyNumberFormat="1" applyFill="1" applyBorder="1"/>
    <xf numFmtId="0" fontId="0" fillId="2" borderId="0" xfId="0" applyFill="1" applyBorder="1"/>
    <xf numFmtId="43" fontId="0" fillId="2" borderId="0" xfId="0" applyNumberFormat="1" applyFill="1" applyBorder="1"/>
    <xf numFmtId="0" fontId="2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Protection="1">
      <protection locked="0"/>
    </xf>
    <xf numFmtId="43" fontId="3" fillId="2" borderId="0" xfId="1" applyFont="1" applyFill="1"/>
    <xf numFmtId="164" fontId="3" fillId="2" borderId="0" xfId="1" applyNumberFormat="1" applyFont="1" applyFill="1"/>
    <xf numFmtId="1" fontId="0" fillId="2" borderId="1" xfId="0" applyNumberFormat="1" applyFill="1" applyBorder="1"/>
    <xf numFmtId="43" fontId="4" fillId="2" borderId="0" xfId="0" applyNumberFormat="1" applyFont="1" applyFill="1"/>
    <xf numFmtId="44" fontId="3" fillId="2" borderId="0" xfId="2" applyFont="1" applyFill="1"/>
    <xf numFmtId="0" fontId="2" fillId="2" borderId="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3" fontId="2" fillId="2" borderId="0" xfId="1" applyFont="1" applyFill="1"/>
    <xf numFmtId="44" fontId="0" fillId="0" borderId="1" xfId="2" applyFont="1" applyBorder="1"/>
    <xf numFmtId="2" fontId="33" fillId="2" borderId="1" xfId="0" applyNumberFormat="1" applyFont="1" applyFill="1" applyBorder="1" applyProtection="1">
      <protection locked="0"/>
    </xf>
    <xf numFmtId="43" fontId="33" fillId="2" borderId="1" xfId="1" applyFont="1" applyFill="1" applyBorder="1"/>
    <xf numFmtId="43" fontId="33" fillId="2" borderId="1" xfId="0" applyNumberFormat="1" applyFont="1" applyFill="1" applyBorder="1"/>
    <xf numFmtId="2" fontId="33" fillId="2" borderId="1" xfId="0" applyNumberFormat="1" applyFont="1" applyFill="1" applyBorder="1"/>
    <xf numFmtId="44" fontId="0" fillId="2" borderId="1" xfId="2" applyFont="1" applyFill="1" applyBorder="1"/>
    <xf numFmtId="43" fontId="33" fillId="2" borderId="1" xfId="1" applyFont="1" applyFill="1" applyBorder="1" applyAlignment="1">
      <alignment horizontal="center" vertical="center" wrapText="1"/>
    </xf>
    <xf numFmtId="44" fontId="2" fillId="2" borderId="0" xfId="2" applyFont="1" applyFill="1"/>
    <xf numFmtId="44" fontId="1" fillId="2" borderId="1" xfId="2" applyFont="1" applyFill="1" applyBorder="1"/>
    <xf numFmtId="0" fontId="0" fillId="26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0" fillId="2" borderId="0" xfId="177" applyNumberFormat="1" applyFont="1" applyFill="1"/>
    <xf numFmtId="44" fontId="0" fillId="2" borderId="0" xfId="0" applyNumberFormat="1" applyFill="1"/>
    <xf numFmtId="2" fontId="33" fillId="2" borderId="2" xfId="0" applyNumberFormat="1" applyFont="1" applyFill="1" applyBorder="1"/>
    <xf numFmtId="43" fontId="33" fillId="2" borderId="2" xfId="0" applyNumberFormat="1" applyFont="1" applyFill="1" applyBorder="1"/>
    <xf numFmtId="1" fontId="0" fillId="2" borderId="2" xfId="0" applyNumberFormat="1" applyFill="1" applyBorder="1"/>
    <xf numFmtId="0" fontId="0" fillId="2" borderId="1" xfId="0" applyFont="1" applyFill="1" applyBorder="1" applyAlignment="1">
      <alignment horizontal="center" vertical="center" wrapText="1"/>
    </xf>
    <xf numFmtId="44" fontId="0" fillId="2" borderId="0" xfId="2" applyFont="1" applyFill="1"/>
    <xf numFmtId="10" fontId="0" fillId="2" borderId="0" xfId="177" applyNumberFormat="1" applyFont="1" applyFill="1" applyBorder="1"/>
    <xf numFmtId="10" fontId="0" fillId="2" borderId="0" xfId="0" applyNumberFormat="1" applyFill="1"/>
    <xf numFmtId="44" fontId="0" fillId="2" borderId="1" xfId="2" applyFont="1" applyFill="1" applyBorder="1" applyAlignment="1">
      <alignment horizontal="left"/>
    </xf>
    <xf numFmtId="0" fontId="2" fillId="27" borderId="1" xfId="0" applyFont="1" applyFill="1" applyBorder="1" applyAlignment="1">
      <alignment horizontal="center" vertical="center"/>
    </xf>
    <xf numFmtId="43" fontId="2" fillId="27" borderId="1" xfId="1" applyFont="1" applyFill="1" applyBorder="1" applyAlignment="1">
      <alignment horizontal="center" vertical="center"/>
    </xf>
    <xf numFmtId="0" fontId="2" fillId="27" borderId="15" xfId="0" applyFont="1" applyFill="1" applyBorder="1" applyAlignment="1">
      <alignment horizontal="center" vertical="center"/>
    </xf>
    <xf numFmtId="0" fontId="2" fillId="27" borderId="15" xfId="0" applyFont="1" applyFill="1" applyBorder="1" applyAlignment="1">
      <alignment horizontal="center" vertical="center" wrapText="1"/>
    </xf>
    <xf numFmtId="0" fontId="35" fillId="28" borderId="1" xfId="0" applyFont="1" applyFill="1" applyBorder="1"/>
    <xf numFmtId="0" fontId="3" fillId="2" borderId="21" xfId="0" applyFont="1" applyFill="1" applyBorder="1" applyAlignment="1">
      <alignment horizontal="center" vertical="center" wrapText="1"/>
    </xf>
    <xf numFmtId="0" fontId="0" fillId="0" borderId="0" xfId="0" applyFill="1"/>
    <xf numFmtId="0" fontId="35" fillId="0" borderId="1" xfId="0" applyFont="1" applyFill="1" applyBorder="1"/>
    <xf numFmtId="43" fontId="34" fillId="0" borderId="1" xfId="1" applyFont="1" applyFill="1" applyBorder="1"/>
    <xf numFmtId="0" fontId="0" fillId="0" borderId="0" xfId="0" applyFill="1" applyProtection="1">
      <protection locked="0"/>
    </xf>
    <xf numFmtId="1" fontId="36" fillId="2" borderId="1" xfId="0" applyNumberFormat="1" applyFont="1" applyFill="1" applyBorder="1" applyProtection="1">
      <protection locked="0"/>
    </xf>
    <xf numFmtId="0" fontId="35" fillId="28" borderId="1" xfId="0" applyFont="1" applyFill="1" applyBorder="1" applyAlignment="1">
      <alignment horizontal="center"/>
    </xf>
    <xf numFmtId="43" fontId="35" fillId="28" borderId="1" xfId="1" applyFont="1" applyFill="1" applyBorder="1"/>
    <xf numFmtId="0" fontId="0" fillId="2" borderId="1" xfId="0" applyFill="1" applyBorder="1"/>
    <xf numFmtId="0" fontId="36" fillId="2" borderId="0" xfId="0" applyFont="1" applyFill="1"/>
    <xf numFmtId="43" fontId="36" fillId="2" borderId="0" xfId="0" applyNumberFormat="1" applyFont="1" applyFill="1" applyBorder="1"/>
    <xf numFmtId="43" fontId="0" fillId="2" borderId="1" xfId="1" applyNumberFormat="1" applyFont="1" applyFill="1" applyBorder="1"/>
    <xf numFmtId="0" fontId="0" fillId="2" borderId="0" xfId="0" applyFill="1" applyAlignment="1">
      <alignment wrapText="1"/>
    </xf>
    <xf numFmtId="44" fontId="37" fillId="28" borderId="1" xfId="2" applyFont="1" applyFill="1" applyBorder="1"/>
    <xf numFmtId="43" fontId="0" fillId="2" borderId="1" xfId="1" applyFont="1" applyFill="1" applyBorder="1"/>
    <xf numFmtId="8" fontId="37" fillId="28" borderId="1" xfId="2" applyNumberFormat="1" applyFont="1" applyFill="1" applyBorder="1"/>
    <xf numFmtId="0" fontId="4" fillId="2" borderId="0" xfId="0" applyFont="1" applyFill="1" applyAlignment="1" applyProtection="1">
      <alignment horizontal="center"/>
      <protection locked="0"/>
    </xf>
    <xf numFmtId="0" fontId="38" fillId="27" borderId="1" xfId="0" applyFont="1" applyFill="1" applyBorder="1" applyAlignment="1">
      <alignment horizontal="center" vertical="center" wrapText="1"/>
    </xf>
    <xf numFmtId="0" fontId="38" fillId="27" borderId="1" xfId="0" applyFont="1" applyFill="1" applyBorder="1" applyAlignment="1">
      <alignment horizontal="center" vertical="center"/>
    </xf>
    <xf numFmtId="43" fontId="38" fillId="27" borderId="1" xfId="1" applyFont="1" applyFill="1" applyBorder="1" applyAlignment="1">
      <alignment horizontal="center" vertical="center"/>
    </xf>
    <xf numFmtId="0" fontId="38" fillId="27" borderId="1" xfId="0" applyFont="1" applyFill="1" applyBorder="1" applyAlignment="1" applyProtection="1">
      <alignment horizontal="center" vertical="center" wrapText="1"/>
      <protection locked="0"/>
    </xf>
    <xf numFmtId="0" fontId="39" fillId="29" borderId="1" xfId="0" applyFont="1" applyFill="1" applyBorder="1" applyAlignment="1">
      <alignment horizontal="center" vertical="center" wrapText="1"/>
    </xf>
    <xf numFmtId="0" fontId="40" fillId="29" borderId="1" xfId="0" applyFont="1" applyFill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2" borderId="1" xfId="0" applyFont="1" applyFill="1" applyBorder="1"/>
    <xf numFmtId="44" fontId="0" fillId="2" borderId="0" xfId="1" applyNumberFormat="1" applyFont="1" applyFill="1"/>
    <xf numFmtId="44" fontId="0" fillId="2" borderId="1" xfId="2" applyFont="1" applyFill="1" applyBorder="1" applyAlignment="1">
      <alignment horizontal="right"/>
    </xf>
    <xf numFmtId="44" fontId="0" fillId="2" borderId="1" xfId="2" applyFont="1" applyFill="1" applyBorder="1" applyAlignment="1"/>
    <xf numFmtId="0" fontId="38" fillId="27" borderId="1" xfId="0" applyFont="1" applyFill="1" applyBorder="1" applyAlignment="1">
      <alignment horizontal="center" vertical="center" wrapText="1"/>
    </xf>
    <xf numFmtId="0" fontId="38" fillId="27" borderId="1" xfId="0" applyFont="1" applyFill="1" applyBorder="1" applyAlignment="1">
      <alignment horizontal="center" vertical="center"/>
    </xf>
    <xf numFmtId="0" fontId="2" fillId="27" borderId="17" xfId="0" applyFont="1" applyFill="1" applyBorder="1" applyAlignment="1">
      <alignment horizontal="center" vertical="center" wrapText="1"/>
    </xf>
    <xf numFmtId="0" fontId="2" fillId="27" borderId="2" xfId="0" applyFont="1" applyFill="1" applyBorder="1" applyAlignment="1">
      <alignment horizontal="center" vertical="center"/>
    </xf>
    <xf numFmtId="0" fontId="2" fillId="27" borderId="18" xfId="0" applyFont="1" applyFill="1" applyBorder="1" applyAlignment="1">
      <alignment horizontal="center" vertical="center"/>
    </xf>
    <xf numFmtId="0" fontId="2" fillId="27" borderId="19" xfId="0" applyFont="1" applyFill="1" applyBorder="1" applyAlignment="1">
      <alignment horizontal="center" vertical="center"/>
    </xf>
    <xf numFmtId="0" fontId="2" fillId="27" borderId="16" xfId="0" applyFont="1" applyFill="1" applyBorder="1" applyAlignment="1">
      <alignment horizontal="center" vertical="center"/>
    </xf>
    <xf numFmtId="0" fontId="2" fillId="27" borderId="20" xfId="0" applyFont="1" applyFill="1" applyBorder="1" applyAlignment="1">
      <alignment horizontal="center" vertical="center"/>
    </xf>
    <xf numFmtId="0" fontId="2" fillId="27" borderId="17" xfId="0" applyFont="1" applyFill="1" applyBorder="1" applyAlignment="1">
      <alignment horizontal="center" wrapText="1"/>
    </xf>
    <xf numFmtId="0" fontId="2" fillId="27" borderId="2" xfId="0" applyFont="1" applyFill="1" applyBorder="1" applyAlignment="1">
      <alignment horizontal="center"/>
    </xf>
    <xf numFmtId="0" fontId="2" fillId="27" borderId="18" xfId="0" applyFont="1" applyFill="1" applyBorder="1" applyAlignment="1">
      <alignment horizontal="center"/>
    </xf>
    <xf numFmtId="0" fontId="2" fillId="27" borderId="19" xfId="0" applyFont="1" applyFill="1" applyBorder="1" applyAlignment="1">
      <alignment horizontal="center"/>
    </xf>
    <xf numFmtId="0" fontId="2" fillId="27" borderId="16" xfId="0" applyFont="1" applyFill="1" applyBorder="1" applyAlignment="1">
      <alignment horizontal="center"/>
    </xf>
    <xf numFmtId="0" fontId="2" fillId="27" borderId="20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10" fontId="36" fillId="2" borderId="0" xfId="177" applyNumberFormat="1" applyFont="1" applyFill="1"/>
  </cellXfs>
  <cellStyles count="188">
    <cellStyle name="20% - Énfasis1 2" xfId="17"/>
    <cellStyle name="20% - Énfasis2 2" xfId="18"/>
    <cellStyle name="20% - Énfasis3 2" xfId="19"/>
    <cellStyle name="20% - Énfasis4 2" xfId="20"/>
    <cellStyle name="20% - Énfasis5 2" xfId="21"/>
    <cellStyle name="20% - Énfasis6 2" xfId="22"/>
    <cellStyle name="4" xfId="23"/>
    <cellStyle name="4_B" xfId="24"/>
    <cellStyle name="40% - Énfasis1 2" xfId="25"/>
    <cellStyle name="40% - Énfasis2 2" xfId="26"/>
    <cellStyle name="40% - Énfasis3 2" xfId="27"/>
    <cellStyle name="40% - Énfasis4 2" xfId="28"/>
    <cellStyle name="40% - Énfasis5 2" xfId="29"/>
    <cellStyle name="40% - Énfasis6 2" xfId="30"/>
    <cellStyle name="60% - Énfasis1 2" xfId="31"/>
    <cellStyle name="60% - Énfasis2 2" xfId="32"/>
    <cellStyle name="60% - Énfasis3 2" xfId="33"/>
    <cellStyle name="60% - Énfasis4 2" xfId="34"/>
    <cellStyle name="60% - Énfasis5 2" xfId="35"/>
    <cellStyle name="60% - Énfasis6 2" xfId="36"/>
    <cellStyle name="Buena 2" xfId="37"/>
    <cellStyle name="c2" xfId="38"/>
    <cellStyle name="c50" xfId="39"/>
    <cellStyle name="Cálculo 2" xfId="40"/>
    <cellStyle name="Celda de comprobación 2" xfId="41"/>
    <cellStyle name="Celda vinculada 2" xfId="42"/>
    <cellStyle name="Comma" xfId="43"/>
    <cellStyle name="Currency" xfId="44"/>
    <cellStyle name="Date" xfId="45"/>
    <cellStyle name="Encabezado 4 2" xfId="46"/>
    <cellStyle name="Énfasis1 2" xfId="47"/>
    <cellStyle name="Énfasis2 2" xfId="48"/>
    <cellStyle name="Énfasis3 2" xfId="49"/>
    <cellStyle name="Énfasis4 2" xfId="50"/>
    <cellStyle name="Énfasis5 2" xfId="51"/>
    <cellStyle name="Énfasis6 2" xfId="52"/>
    <cellStyle name="Entrada 2" xfId="53"/>
    <cellStyle name="Euro" xfId="54"/>
    <cellStyle name="Euro 2" xfId="55"/>
    <cellStyle name="F2" xfId="56"/>
    <cellStyle name="F3" xfId="57"/>
    <cellStyle name="F4" xfId="58"/>
    <cellStyle name="F5" xfId="59"/>
    <cellStyle name="F6" xfId="60"/>
    <cellStyle name="F7" xfId="61"/>
    <cellStyle name="F8" xfId="62"/>
    <cellStyle name="Fixed" xfId="63"/>
    <cellStyle name="Heading1" xfId="64"/>
    <cellStyle name="Heading2" xfId="65"/>
    <cellStyle name="Hipervínculo 2" xfId="166"/>
    <cellStyle name="Incorrecto 2" xfId="66"/>
    <cellStyle name="Millares" xfId="1" builtinId="3"/>
    <cellStyle name="Millares [0] 2" xfId="155"/>
    <cellStyle name="Millares 10" xfId="67"/>
    <cellStyle name="Millares 10 2" xfId="68"/>
    <cellStyle name="Millares 11" xfId="69"/>
    <cellStyle name="Millares 12" xfId="70"/>
    <cellStyle name="Millares 12 2" xfId="71"/>
    <cellStyle name="Millares 13" xfId="72"/>
    <cellStyle name="Millares 14" xfId="73"/>
    <cellStyle name="Millares 15" xfId="74"/>
    <cellStyle name="Millares 16" xfId="138"/>
    <cellStyle name="Millares 17" xfId="75"/>
    <cellStyle name="Millares 18" xfId="8"/>
    <cellStyle name="Millares 19" xfId="5"/>
    <cellStyle name="Millares 2" xfId="13"/>
    <cellStyle name="Millares 2 2" xfId="76"/>
    <cellStyle name="Millares 2 3" xfId="77"/>
    <cellStyle name="Millares 2 4" xfId="139"/>
    <cellStyle name="Millares 2 5" xfId="140"/>
    <cellStyle name="Millares 2 6" xfId="172"/>
    <cellStyle name="Millares 20" xfId="4"/>
    <cellStyle name="Millares 21" xfId="178"/>
    <cellStyle name="Millares 3" xfId="9"/>
    <cellStyle name="Millares 3 2" xfId="16"/>
    <cellStyle name="Millares 3 3" xfId="141"/>
    <cellStyle name="Millares 3 4" xfId="142"/>
    <cellStyle name="Millares 36" xfId="78"/>
    <cellStyle name="Millares 4" xfId="79"/>
    <cellStyle name="Millares 5" xfId="80"/>
    <cellStyle name="Millares 5 2" xfId="81"/>
    <cellStyle name="Millares 5 3" xfId="82"/>
    <cellStyle name="Millares 6" xfId="83"/>
    <cellStyle name="Millares 7" xfId="84"/>
    <cellStyle name="Millares 8" xfId="85"/>
    <cellStyle name="Millares 8 2" xfId="168"/>
    <cellStyle name="Millares 9" xfId="143"/>
    <cellStyle name="Moneda" xfId="2" builtinId="4"/>
    <cellStyle name="Moneda [0] 2" xfId="161"/>
    <cellStyle name="Moneda [0] 2 2" xfId="179"/>
    <cellStyle name="Moneda [0] 3" xfId="7"/>
    <cellStyle name="Moneda 10 2" xfId="158"/>
    <cellStyle name="Moneda 10 2 2" xfId="182"/>
    <cellStyle name="Moneda 10 2 3" xfId="186"/>
    <cellStyle name="Moneda 10 3" xfId="157"/>
    <cellStyle name="Moneda 10 4" xfId="160"/>
    <cellStyle name="Moneda 10 4 2" xfId="183"/>
    <cellStyle name="Moneda 11" xfId="159"/>
    <cellStyle name="Moneda 17" xfId="86"/>
    <cellStyle name="Moneda 2" xfId="87"/>
    <cellStyle name="Moneda 2 2" xfId="163"/>
    <cellStyle name="Moneda 2 2 2" xfId="185"/>
    <cellStyle name="Moneda 2 4 2" xfId="154"/>
    <cellStyle name="Moneda 20" xfId="181"/>
    <cellStyle name="Moneda 3" xfId="144"/>
    <cellStyle name="Moneda 4" xfId="10"/>
    <cellStyle name="Moneda 5" xfId="165"/>
    <cellStyle name="Moneda 6" xfId="176"/>
    <cellStyle name="Moneda 7" xfId="169"/>
    <cellStyle name="Moneda 7 2" xfId="153"/>
    <cellStyle name="Moneda 8" xfId="187"/>
    <cellStyle name="Neutral 2" xfId="88"/>
    <cellStyle name="Normal" xfId="0" builtinId="0"/>
    <cellStyle name="Normal 10" xfId="145"/>
    <cellStyle name="Normal 10 4" xfId="180"/>
    <cellStyle name="Normal 11" xfId="156"/>
    <cellStyle name="Normal 11 2" xfId="184"/>
    <cellStyle name="Normal 12" xfId="15"/>
    <cellStyle name="Normal 12 2 2" xfId="150"/>
    <cellStyle name="Normal 13" xfId="89"/>
    <cellStyle name="Normal 14" xfId="90"/>
    <cellStyle name="Normal 15" xfId="91"/>
    <cellStyle name="Normal 16" xfId="92"/>
    <cellStyle name="Normal 17" xfId="93"/>
    <cellStyle name="Normal 18" xfId="94"/>
    <cellStyle name="Normal 19" xfId="95"/>
    <cellStyle name="Normal 2" xfId="3"/>
    <cellStyle name="Normal 2 2" xfId="96"/>
    <cellStyle name="Normal 2 2 2" xfId="97"/>
    <cellStyle name="Normal 2 2 3" xfId="146"/>
    <cellStyle name="Normal 2 2 4" xfId="162"/>
    <cellStyle name="Normal 2 3" xfId="147"/>
    <cellStyle name="Normal 2 4" xfId="12"/>
    <cellStyle name="Normal 20" xfId="98"/>
    <cellStyle name="Normal 21" xfId="164"/>
    <cellStyle name="Normal 22" xfId="151"/>
    <cellStyle name="Normal 23" xfId="99"/>
    <cellStyle name="Normal 24" xfId="100"/>
    <cellStyle name="Normal 25" xfId="101"/>
    <cellStyle name="Normal 26" xfId="102"/>
    <cellStyle name="Normal 27" xfId="103"/>
    <cellStyle name="Normal 28" xfId="104"/>
    <cellStyle name="Normal 29" xfId="105"/>
    <cellStyle name="Normal 3" xfId="11"/>
    <cellStyle name="Normal 3 2" xfId="106"/>
    <cellStyle name="Normal 30" xfId="107"/>
    <cellStyle name="Normal 31" xfId="108"/>
    <cellStyle name="Normal 32" xfId="109"/>
    <cellStyle name="Normal 33" xfId="110"/>
    <cellStyle name="Normal 33 2" xfId="111"/>
    <cellStyle name="Normal 34" xfId="112"/>
    <cellStyle name="Normal 35" xfId="113"/>
    <cellStyle name="Normal 36" xfId="114"/>
    <cellStyle name="Normal 37" xfId="115"/>
    <cellStyle name="Normal 38" xfId="116"/>
    <cellStyle name="Normal 39" xfId="170"/>
    <cellStyle name="Normal 4" xfId="117"/>
    <cellStyle name="Normal 4 2 2" xfId="167"/>
    <cellStyle name="Normal 40" xfId="118"/>
    <cellStyle name="Normal 41" xfId="119"/>
    <cellStyle name="Normal 5" xfId="120"/>
    <cellStyle name="Normal 6" xfId="121"/>
    <cellStyle name="Normal 6 2" xfId="122"/>
    <cellStyle name="Normal 7" xfId="123"/>
    <cellStyle name="Normal 8" xfId="124"/>
    <cellStyle name="Normal 9" xfId="125"/>
    <cellStyle name="Notas 2" xfId="126"/>
    <cellStyle name="Notas 2 2" xfId="173"/>
    <cellStyle name="Percent" xfId="127"/>
    <cellStyle name="Porcentaje" xfId="177" builtinId="5"/>
    <cellStyle name="Porcentaje 2" xfId="6"/>
    <cellStyle name="Porcentaje 3" xfId="152"/>
    <cellStyle name="Porcentual 10" xfId="128"/>
    <cellStyle name="Porcentual 2" xfId="14"/>
    <cellStyle name="Porcentual 2 2" xfId="148"/>
    <cellStyle name="Porcentual 3" xfId="149"/>
    <cellStyle name="Porcentual 4" xfId="171"/>
    <cellStyle name="Salida 2" xfId="129"/>
    <cellStyle name="Salida 2 2" xfId="174"/>
    <cellStyle name="t3" xfId="130"/>
    <cellStyle name="Texto de advertencia 2" xfId="131"/>
    <cellStyle name="Texto explicativo 2" xfId="132"/>
    <cellStyle name="Título 1 2" xfId="133"/>
    <cellStyle name="Título 2 2" xfId="134"/>
    <cellStyle name="Título 3 2" xfId="135"/>
    <cellStyle name="Título 4" xfId="136"/>
    <cellStyle name="Total 2" xfId="137"/>
    <cellStyle name="Total 2 2" xfId="175"/>
  </cellStyles>
  <dxfs count="58"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b/>
        <i val="0"/>
        <condense val="0"/>
        <extend val="0"/>
        <color rgb="FFFF0000"/>
      </font>
      <fill>
        <patternFill>
          <bgColor rgb="FFFFCC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4"/>
  <sheetViews>
    <sheetView topLeftCell="A4" zoomScale="130" zoomScaleNormal="130" workbookViewId="0">
      <selection activeCell="E33" sqref="E33"/>
    </sheetView>
  </sheetViews>
  <sheetFormatPr baseColWidth="10" defaultRowHeight="15"/>
  <cols>
    <col min="1" max="1" width="12.85546875" style="4" customWidth="1"/>
    <col min="2" max="2" width="50.85546875" style="4" customWidth="1"/>
    <col min="3" max="3" width="24.7109375" style="5" customWidth="1"/>
    <col min="4" max="4" width="23.42578125" style="9" hidden="1" customWidth="1"/>
    <col min="5" max="5" width="18.7109375" style="4" customWidth="1"/>
    <col min="6" max="6" width="15.28515625" style="4" hidden="1" customWidth="1"/>
    <col min="7" max="7" width="18.28515625" style="4" customWidth="1"/>
    <col min="8" max="8" width="11.42578125" style="62" customWidth="1"/>
    <col min="9" max="9" width="16.7109375" style="4" bestFit="1" customWidth="1"/>
    <col min="10" max="10" width="11.42578125" style="4"/>
    <col min="11" max="11" width="18.28515625" style="4" bestFit="1" customWidth="1"/>
    <col min="12" max="16384" width="11.42578125" style="4"/>
  </cols>
  <sheetData>
    <row r="1" spans="1:11" ht="30" customHeight="1">
      <c r="A1" s="81" t="s">
        <v>51</v>
      </c>
      <c r="B1" s="82"/>
      <c r="C1" s="82"/>
      <c r="D1" s="82"/>
      <c r="E1" s="82"/>
    </row>
    <row r="2" spans="1:11" ht="51">
      <c r="A2" s="70" t="s">
        <v>19</v>
      </c>
      <c r="B2" s="71" t="s">
        <v>0</v>
      </c>
      <c r="C2" s="72" t="s">
        <v>44</v>
      </c>
      <c r="D2" s="73" t="s">
        <v>41</v>
      </c>
      <c r="E2" s="70" t="s">
        <v>20</v>
      </c>
      <c r="F2" s="53" t="s">
        <v>11</v>
      </c>
    </row>
    <row r="3" spans="1:11">
      <c r="A3" s="74">
        <v>1</v>
      </c>
      <c r="B3" s="75" t="s">
        <v>54</v>
      </c>
      <c r="C3" s="47">
        <v>1436884205</v>
      </c>
      <c r="D3" s="27">
        <v>59.163838892852688</v>
      </c>
      <c r="E3" s="29">
        <v>58.538446407029717</v>
      </c>
      <c r="F3" s="18">
        <v>59.146646474520978</v>
      </c>
      <c r="G3" s="38"/>
      <c r="H3" s="97">
        <v>0.93988977115332706</v>
      </c>
      <c r="J3" s="38"/>
      <c r="K3" s="38"/>
    </row>
    <row r="4" spans="1:11">
      <c r="A4" s="74">
        <v>3</v>
      </c>
      <c r="B4" s="75" t="s">
        <v>55</v>
      </c>
      <c r="C4" s="47">
        <v>1447601299</v>
      </c>
      <c r="D4" s="27">
        <v>59.394883779016638</v>
      </c>
      <c r="E4" s="29">
        <v>58.105066005125217</v>
      </c>
      <c r="F4" s="18">
        <v>59.41220442811511</v>
      </c>
      <c r="G4" s="38"/>
      <c r="H4" s="97">
        <v>0.94689999994701657</v>
      </c>
      <c r="J4" s="38"/>
      <c r="K4" s="38"/>
    </row>
    <row r="5" spans="1:11">
      <c r="A5" s="74">
        <v>5</v>
      </c>
      <c r="B5" s="75" t="s">
        <v>56</v>
      </c>
      <c r="C5" s="47">
        <v>1449575591</v>
      </c>
      <c r="D5" s="27">
        <v>59.313592124888224</v>
      </c>
      <c r="E5" s="29">
        <v>58.025928105945873</v>
      </c>
      <c r="F5" s="18">
        <v>59.330936396526255</v>
      </c>
      <c r="G5" s="38"/>
      <c r="H5" s="97">
        <v>0.94819141706303245</v>
      </c>
      <c r="J5" s="38"/>
      <c r="K5" s="38"/>
    </row>
    <row r="6" spans="1:11">
      <c r="A6" s="74">
        <v>6</v>
      </c>
      <c r="B6" s="75" t="s">
        <v>57</v>
      </c>
      <c r="C6" s="47">
        <v>1470532991</v>
      </c>
      <c r="D6" s="27">
        <v>58.450669258244929</v>
      </c>
      <c r="E6" s="29">
        <v>57.198967681983817</v>
      </c>
      <c r="F6" s="18">
        <v>58.468264286615266</v>
      </c>
      <c r="G6" s="38"/>
      <c r="H6" s="97">
        <v>0.96189999971807572</v>
      </c>
      <c r="J6" s="38"/>
      <c r="K6" s="38"/>
    </row>
    <row r="7" spans="1:11">
      <c r="A7" s="74">
        <v>7</v>
      </c>
      <c r="B7" s="75" t="s">
        <v>58</v>
      </c>
      <c r="C7" s="47">
        <v>1444306656</v>
      </c>
      <c r="D7" s="27">
        <v>59.469458993363219</v>
      </c>
      <c r="E7" s="29">
        <v>58.237610882754254</v>
      </c>
      <c r="F7" s="18">
        <v>59.452177764894827</v>
      </c>
      <c r="G7" s="38"/>
      <c r="H7" s="97">
        <v>0.94474491936047622</v>
      </c>
      <c r="J7" s="38"/>
      <c r="K7" s="38"/>
    </row>
    <row r="8" spans="1:11">
      <c r="A8" s="74">
        <v>8</v>
      </c>
      <c r="B8" s="75" t="s">
        <v>59</v>
      </c>
      <c r="C8" s="47">
        <v>1440263158</v>
      </c>
      <c r="D8" s="27">
        <v>59.302967592453449</v>
      </c>
      <c r="E8" s="29">
        <v>58.40111132489303</v>
      </c>
      <c r="F8" s="18">
        <v>59.285734744716713</v>
      </c>
      <c r="G8" s="38"/>
      <c r="H8" s="97">
        <v>0.94210000030808894</v>
      </c>
      <c r="J8" s="38"/>
      <c r="K8" s="38"/>
    </row>
    <row r="9" spans="1:11">
      <c r="A9" s="74">
        <v>9</v>
      </c>
      <c r="B9" s="75" t="s">
        <v>60</v>
      </c>
      <c r="C9" s="47">
        <v>1426377385</v>
      </c>
      <c r="D9" s="27">
        <v>58.731219615952639</v>
      </c>
      <c r="E9" s="29">
        <v>58.969645699689778</v>
      </c>
      <c r="F9" s="18">
        <v>58.714152912444817</v>
      </c>
      <c r="G9" s="38"/>
      <c r="H9" s="97">
        <v>0.93301708606778866</v>
      </c>
      <c r="J9" s="38"/>
      <c r="K9" s="38"/>
    </row>
    <row r="10" spans="1:11">
      <c r="A10" s="74">
        <v>10</v>
      </c>
      <c r="B10" s="75" t="s">
        <v>74</v>
      </c>
      <c r="C10" s="47">
        <v>1449288023</v>
      </c>
      <c r="D10" s="27">
        <v>59.325432763656153</v>
      </c>
      <c r="E10" s="29">
        <v>58.037441621429863</v>
      </c>
      <c r="F10" s="18">
        <v>59.34277359452328</v>
      </c>
      <c r="G10" s="38"/>
      <c r="H10" s="97">
        <v>0.94800331406853189</v>
      </c>
      <c r="J10" s="38"/>
      <c r="K10" s="38"/>
    </row>
    <row r="11" spans="1:11">
      <c r="A11" s="74">
        <v>11</v>
      </c>
      <c r="B11" s="75" t="s">
        <v>75</v>
      </c>
      <c r="C11" s="47">
        <v>1413663345</v>
      </c>
      <c r="D11" s="27">
        <v>58.207717853166344</v>
      </c>
      <c r="E11" s="29">
        <v>59.5</v>
      </c>
      <c r="F11" s="18">
        <v>58.190803274021498</v>
      </c>
      <c r="G11" s="38"/>
      <c r="H11" s="97">
        <v>0.92470062180125145</v>
      </c>
      <c r="J11" s="38"/>
      <c r="K11" s="38"/>
    </row>
    <row r="12" spans="1:11">
      <c r="A12" s="74">
        <v>12</v>
      </c>
      <c r="B12" s="75" t="s">
        <v>73</v>
      </c>
      <c r="C12" s="47">
        <v>1426343939</v>
      </c>
      <c r="D12" s="27">
        <v>58.72984247383588</v>
      </c>
      <c r="E12" s="29">
        <v>58.971028464895383</v>
      </c>
      <c r="F12" s="18">
        <v>58.712776170511745</v>
      </c>
      <c r="G12" s="38"/>
      <c r="H12" s="97">
        <v>0.93299520848490713</v>
      </c>
      <c r="J12" s="38"/>
      <c r="K12" s="38"/>
    </row>
    <row r="13" spans="1:11">
      <c r="A13" s="74">
        <v>13</v>
      </c>
      <c r="B13" s="75" t="s">
        <v>64</v>
      </c>
      <c r="C13" s="47">
        <v>1421764925</v>
      </c>
      <c r="D13" s="27">
        <v>58.541301152523133</v>
      </c>
      <c r="E13" s="29">
        <v>59.160953789530289</v>
      </c>
      <c r="F13" s="18">
        <v>58.524289637416423</v>
      </c>
      <c r="G13" s="38"/>
      <c r="H13" s="97">
        <v>0.92999999954211843</v>
      </c>
      <c r="J13" s="38"/>
      <c r="K13" s="38"/>
    </row>
    <row r="14" spans="1:11">
      <c r="A14" s="74">
        <v>14</v>
      </c>
      <c r="B14" s="75" t="s">
        <v>65</v>
      </c>
      <c r="C14" s="47">
        <v>1458589668</v>
      </c>
      <c r="D14" s="27">
        <v>58.942436677887002</v>
      </c>
      <c r="E14" s="29">
        <v>57.667328154623952</v>
      </c>
      <c r="F14" s="18">
        <v>58.959888803576263</v>
      </c>
      <c r="G14" s="38"/>
      <c r="H14" s="97">
        <v>0.95408767421389207</v>
      </c>
      <c r="J14" s="38"/>
      <c r="K14" s="38"/>
    </row>
    <row r="15" spans="1:11">
      <c r="A15" s="74">
        <v>15</v>
      </c>
      <c r="B15" s="75" t="s">
        <v>66</v>
      </c>
      <c r="C15" s="47">
        <v>1452571596</v>
      </c>
      <c r="D15" s="27">
        <v>59.190231344301054</v>
      </c>
      <c r="E15" s="29">
        <v>57.906246589927122</v>
      </c>
      <c r="F15" s="18">
        <v>59.207611463344954</v>
      </c>
      <c r="G15" s="38"/>
      <c r="H15" s="97">
        <v>0.95015115358461544</v>
      </c>
      <c r="J15" s="38"/>
      <c r="K15" s="38"/>
    </row>
    <row r="16" spans="1:11">
      <c r="A16" s="74">
        <v>16</v>
      </c>
      <c r="B16" s="75" t="s">
        <v>67</v>
      </c>
      <c r="C16" s="47">
        <v>1451801212</v>
      </c>
      <c r="D16" s="27">
        <v>59.221951976139742</v>
      </c>
      <c r="E16" s="29">
        <v>57.936973968788777</v>
      </c>
      <c r="F16" s="18">
        <v>59.239322877486096</v>
      </c>
      <c r="G16" s="38"/>
      <c r="H16" s="97">
        <v>0.94964723264308049</v>
      </c>
      <c r="J16" s="38"/>
      <c r="K16" s="38"/>
    </row>
    <row r="17" spans="1:22">
      <c r="A17" s="74">
        <v>19</v>
      </c>
      <c r="B17" s="75" t="s">
        <v>68</v>
      </c>
      <c r="C17" s="47">
        <v>1445048391</v>
      </c>
      <c r="D17" s="27">
        <v>59.5</v>
      </c>
      <c r="E17" s="29">
        <v>58.207717853166344</v>
      </c>
      <c r="F17" s="18">
        <v>59.482709896621323</v>
      </c>
      <c r="G17" s="38"/>
      <c r="H17" s="97">
        <v>0.94523010051632761</v>
      </c>
      <c r="J17" s="38"/>
      <c r="K17" s="38"/>
    </row>
    <row r="18" spans="1:22">
      <c r="A18" s="74">
        <v>20</v>
      </c>
      <c r="B18" s="76" t="s">
        <v>69</v>
      </c>
      <c r="C18" s="47">
        <v>1462583338</v>
      </c>
      <c r="D18" s="27">
        <v>58.777996949446106</v>
      </c>
      <c r="E18" s="29">
        <v>57.509864116543078</v>
      </c>
      <c r="F18" s="18">
        <v>58.795496859671566</v>
      </c>
      <c r="G18" s="38"/>
      <c r="H18" s="97">
        <v>0.95669999994570831</v>
      </c>
      <c r="J18" s="38"/>
      <c r="K18" s="38"/>
    </row>
    <row r="19" spans="1:22">
      <c r="A19" s="74">
        <v>21</v>
      </c>
      <c r="B19" s="77" t="s">
        <v>70</v>
      </c>
      <c r="C19" s="47">
        <v>1443947992</v>
      </c>
      <c r="D19" s="27">
        <v>59.454690970276303</v>
      </c>
      <c r="E19" s="29">
        <v>58.252076593836215</v>
      </c>
      <c r="F19" s="18">
        <v>59.437414033247336</v>
      </c>
      <c r="G19" s="38"/>
      <c r="H19" s="97">
        <v>0.9445103112941422</v>
      </c>
      <c r="J19" s="38"/>
      <c r="K19" s="38"/>
    </row>
    <row r="20" spans="1:22">
      <c r="A20" s="74">
        <v>22</v>
      </c>
      <c r="B20" s="77" t="s">
        <v>71</v>
      </c>
      <c r="C20" s="47">
        <v>1466844401</v>
      </c>
      <c r="D20" s="27">
        <v>58.602547289712184</v>
      </c>
      <c r="E20" s="29">
        <v>57.342802665475084</v>
      </c>
      <c r="F20" s="18">
        <v>58.620098183849485</v>
      </c>
      <c r="G20" s="38"/>
      <c r="H20" s="97">
        <v>0.95948723187017637</v>
      </c>
      <c r="J20" s="38"/>
      <c r="K20" s="38"/>
    </row>
    <row r="21" spans="1:22">
      <c r="A21" s="74">
        <v>24</v>
      </c>
      <c r="B21" s="77" t="s">
        <v>72</v>
      </c>
      <c r="C21" s="47">
        <v>1455912048</v>
      </c>
      <c r="D21" s="27">
        <v>59.052687926905556</v>
      </c>
      <c r="E21" s="29">
        <v>57.773386203546274</v>
      </c>
      <c r="F21" s="18">
        <v>59.070108014687371</v>
      </c>
      <c r="G21" s="38"/>
      <c r="H21" s="97">
        <v>0.95233619859722218</v>
      </c>
      <c r="J21" s="38"/>
      <c r="K21" s="38"/>
    </row>
    <row r="22" spans="1:22" hidden="1">
      <c r="A22" s="74">
        <v>20</v>
      </c>
      <c r="B22" s="76" t="s">
        <v>69</v>
      </c>
      <c r="C22" s="47">
        <v>0</v>
      </c>
      <c r="D22" s="27">
        <v>0</v>
      </c>
      <c r="E22" s="29" t="e">
        <v>#DIV/0!</v>
      </c>
      <c r="F22" s="18">
        <v>0</v>
      </c>
      <c r="H22" s="97">
        <v>0</v>
      </c>
      <c r="J22" s="38"/>
    </row>
    <row r="23" spans="1:22">
      <c r="B23" s="61"/>
      <c r="C23" s="47"/>
      <c r="D23" s="58">
        <v>59.5</v>
      </c>
      <c r="E23" s="58">
        <v>59.5</v>
      </c>
      <c r="F23" s="58">
        <v>59.482709896621323</v>
      </c>
      <c r="G23" s="44"/>
    </row>
    <row r="24" spans="1:22">
      <c r="A24" s="54"/>
      <c r="B24" s="55"/>
      <c r="C24" s="56"/>
      <c r="D24" s="57"/>
      <c r="E24" s="62"/>
    </row>
    <row r="25" spans="1:22">
      <c r="B25" s="52" t="s">
        <v>42</v>
      </c>
      <c r="C25" s="60">
        <v>1445391849.4598179</v>
      </c>
      <c r="E25" s="62"/>
      <c r="G25" s="44"/>
    </row>
    <row r="26" spans="1:22" ht="15" customHeight="1">
      <c r="B26" s="52" t="s">
        <v>50</v>
      </c>
      <c r="C26" s="60">
        <v>1447601299</v>
      </c>
      <c r="D26" s="15"/>
      <c r="E26" s="63"/>
    </row>
    <row r="27" spans="1:22" ht="16.5" customHeight="1">
      <c r="B27" s="52" t="s">
        <v>6</v>
      </c>
      <c r="C27" s="60">
        <v>1429565887.3157895</v>
      </c>
      <c r="D27" s="15"/>
      <c r="E27" s="12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1:22" ht="15" customHeight="1">
      <c r="B28" s="52" t="s">
        <v>7</v>
      </c>
      <c r="C28" s="60">
        <v>1413663345</v>
      </c>
      <c r="D28" s="15"/>
      <c r="E28" s="45"/>
    </row>
    <row r="29" spans="1:22">
      <c r="B29" s="52" t="s">
        <v>48</v>
      </c>
      <c r="C29" s="60">
        <v>1445468429.6315789</v>
      </c>
      <c r="D29" s="15"/>
    </row>
    <row r="30" spans="1:22">
      <c r="B30" s="52" t="s">
        <v>49</v>
      </c>
      <c r="C30" s="59">
        <v>59.5</v>
      </c>
      <c r="D30" s="15"/>
    </row>
    <row r="31" spans="1:22">
      <c r="B31" s="52" t="s">
        <v>43</v>
      </c>
      <c r="C31" s="60">
        <v>1445048391</v>
      </c>
      <c r="D31" s="15"/>
    </row>
    <row r="32" spans="1:22">
      <c r="B32" s="66" t="s">
        <v>47</v>
      </c>
      <c r="C32" s="68">
        <v>1528779490</v>
      </c>
      <c r="D32" s="69"/>
    </row>
    <row r="33" spans="2:5">
      <c r="B33" s="14"/>
      <c r="C33" s="16"/>
      <c r="D33" s="15"/>
      <c r="E33" s="38"/>
    </row>
    <row r="34" spans="2:5">
      <c r="C34" s="78"/>
      <c r="E34" s="46"/>
    </row>
  </sheetData>
  <mergeCells count="1">
    <mergeCell ref="A1:E1"/>
  </mergeCells>
  <conditionalFormatting sqref="D3:D22">
    <cfRule type="cellIs" dxfId="57" priority="401" operator="equal">
      <formula>$D$23</formula>
    </cfRule>
  </conditionalFormatting>
  <conditionalFormatting sqref="E3:E22">
    <cfRule type="cellIs" dxfId="53" priority="409" operator="equal">
      <formula>$E$23</formula>
    </cfRule>
    <cfRule type="cellIs" dxfId="52" priority="410" operator="equal">
      <formula>$E$23</formula>
    </cfRule>
  </conditionalFormatting>
  <conditionalFormatting sqref="E3:E21">
    <cfRule type="cellIs" dxfId="51" priority="1" operator="equal">
      <formula>$E$23</formula>
    </cfRule>
  </conditionalFormatting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36" sqref="D36"/>
    </sheetView>
  </sheetViews>
  <sheetFormatPr baseColWidth="10" defaultRowHeight="15"/>
  <cols>
    <col min="1" max="1" width="16.7109375" style="4" customWidth="1"/>
    <col min="2" max="2" width="51.28515625" style="4" customWidth="1"/>
    <col min="3" max="3" width="23" style="4" customWidth="1"/>
    <col min="4" max="4" width="21.5703125" style="4" customWidth="1"/>
    <col min="5" max="5" width="19.28515625" style="4" customWidth="1"/>
    <col min="6" max="16384" width="11.42578125" style="4"/>
  </cols>
  <sheetData>
    <row r="1" spans="1:5">
      <c r="A1" s="83" t="s">
        <v>52</v>
      </c>
      <c r="B1" s="84"/>
      <c r="C1" s="84"/>
      <c r="D1" s="84"/>
      <c r="E1" s="85"/>
    </row>
    <row r="2" spans="1:5" ht="24.75" customHeight="1">
      <c r="A2" s="86"/>
      <c r="B2" s="87"/>
      <c r="C2" s="87"/>
      <c r="D2" s="87"/>
      <c r="E2" s="88"/>
    </row>
    <row r="3" spans="1:5" ht="21.75" customHeight="1">
      <c r="A3" s="48" t="s">
        <v>18</v>
      </c>
      <c r="B3" s="48" t="s">
        <v>0</v>
      </c>
      <c r="C3" s="48" t="s">
        <v>39</v>
      </c>
      <c r="D3" s="49" t="s">
        <v>38</v>
      </c>
      <c r="E3" s="49" t="s">
        <v>40</v>
      </c>
    </row>
    <row r="4" spans="1:5" ht="15" customHeight="1">
      <c r="A4" s="74">
        <v>1</v>
      </c>
      <c r="B4" s="75" t="s">
        <v>54</v>
      </c>
      <c r="C4" s="47">
        <v>1436884205</v>
      </c>
      <c r="D4" s="47">
        <v>1436884206</v>
      </c>
      <c r="E4" s="31">
        <f t="shared" ref="E4" si="0">+D4-C4</f>
        <v>1</v>
      </c>
    </row>
    <row r="5" spans="1:5" ht="15" customHeight="1">
      <c r="A5" s="74">
        <v>3</v>
      </c>
      <c r="B5" s="75" t="s">
        <v>55</v>
      </c>
      <c r="C5" s="47">
        <v>1447601299</v>
      </c>
      <c r="D5" s="79">
        <v>1447601299</v>
      </c>
      <c r="E5" s="31">
        <f t="shared" ref="E5:E10" si="1">+D5-C5</f>
        <v>0</v>
      </c>
    </row>
    <row r="6" spans="1:5">
      <c r="A6" s="74">
        <v>5</v>
      </c>
      <c r="B6" s="75" t="s">
        <v>56</v>
      </c>
      <c r="C6" s="47">
        <v>1449575591</v>
      </c>
      <c r="D6" s="47">
        <v>1449575594</v>
      </c>
      <c r="E6" s="31">
        <f t="shared" si="1"/>
        <v>3</v>
      </c>
    </row>
    <row r="7" spans="1:5">
      <c r="A7" s="74">
        <v>6</v>
      </c>
      <c r="B7" s="75" t="s">
        <v>57</v>
      </c>
      <c r="C7" s="47">
        <v>1470532991</v>
      </c>
      <c r="D7" s="79">
        <v>1470532991</v>
      </c>
      <c r="E7" s="31">
        <f t="shared" si="1"/>
        <v>0</v>
      </c>
    </row>
    <row r="8" spans="1:5">
      <c r="A8" s="74">
        <v>7</v>
      </c>
      <c r="B8" s="75" t="s">
        <v>58</v>
      </c>
      <c r="C8" s="47">
        <v>1444306656</v>
      </c>
      <c r="D8" s="47">
        <v>1444306656</v>
      </c>
      <c r="E8" s="31">
        <f t="shared" si="1"/>
        <v>0</v>
      </c>
    </row>
    <row r="9" spans="1:5">
      <c r="A9" s="74">
        <v>8</v>
      </c>
      <c r="B9" s="75" t="s">
        <v>59</v>
      </c>
      <c r="C9" s="47">
        <v>1440263158</v>
      </c>
      <c r="D9" s="80">
        <v>1440263158</v>
      </c>
      <c r="E9" s="31">
        <f t="shared" si="1"/>
        <v>0</v>
      </c>
    </row>
    <row r="10" spans="1:5">
      <c r="A10" s="74">
        <v>9</v>
      </c>
      <c r="B10" s="75" t="s">
        <v>60</v>
      </c>
      <c r="C10" s="47">
        <v>1426377385</v>
      </c>
      <c r="D10" s="47">
        <v>1426377376</v>
      </c>
      <c r="E10" s="31">
        <f t="shared" si="1"/>
        <v>-9</v>
      </c>
    </row>
    <row r="11" spans="1:5">
      <c r="A11" s="74">
        <v>10</v>
      </c>
      <c r="B11" s="75" t="s">
        <v>61</v>
      </c>
      <c r="C11" s="47">
        <v>1449288023</v>
      </c>
      <c r="D11" s="79">
        <v>1449288023</v>
      </c>
      <c r="E11" s="31">
        <f t="shared" ref="E11:E22" si="2">+D11-C11</f>
        <v>0</v>
      </c>
    </row>
    <row r="12" spans="1:5">
      <c r="A12" s="74">
        <v>11</v>
      </c>
      <c r="B12" s="75" t="s">
        <v>62</v>
      </c>
      <c r="C12" s="47">
        <v>1413663345</v>
      </c>
      <c r="D12" s="47">
        <v>1413662395</v>
      </c>
      <c r="E12" s="31">
        <f t="shared" si="2"/>
        <v>-950</v>
      </c>
    </row>
    <row r="13" spans="1:5">
      <c r="A13" s="74">
        <v>12</v>
      </c>
      <c r="B13" s="75" t="s">
        <v>63</v>
      </c>
      <c r="C13" s="47">
        <v>1426343939</v>
      </c>
      <c r="D13" s="47">
        <v>1426343939</v>
      </c>
      <c r="E13" s="31">
        <f t="shared" si="2"/>
        <v>0</v>
      </c>
    </row>
    <row r="14" spans="1:5">
      <c r="A14" s="74">
        <v>13</v>
      </c>
      <c r="B14" s="75" t="s">
        <v>64</v>
      </c>
      <c r="C14" s="47">
        <v>1421764925</v>
      </c>
      <c r="D14" s="47">
        <v>1421764925</v>
      </c>
      <c r="E14" s="31">
        <f t="shared" si="2"/>
        <v>0</v>
      </c>
    </row>
    <row r="15" spans="1:5">
      <c r="A15" s="74">
        <v>14</v>
      </c>
      <c r="B15" s="75" t="s">
        <v>65</v>
      </c>
      <c r="C15" s="47">
        <v>1458589668</v>
      </c>
      <c r="D15" s="47">
        <v>1458589666</v>
      </c>
      <c r="E15" s="31">
        <f t="shared" si="2"/>
        <v>-2</v>
      </c>
    </row>
    <row r="16" spans="1:5">
      <c r="A16" s="74">
        <v>15</v>
      </c>
      <c r="B16" s="75" t="s">
        <v>66</v>
      </c>
      <c r="C16" s="47">
        <v>1452571596</v>
      </c>
      <c r="D16" s="47">
        <v>1452571596</v>
      </c>
      <c r="E16" s="31">
        <f t="shared" si="2"/>
        <v>0</v>
      </c>
    </row>
    <row r="17" spans="1:5">
      <c r="A17" s="74">
        <v>16</v>
      </c>
      <c r="B17" s="75" t="s">
        <v>67</v>
      </c>
      <c r="C17" s="47">
        <v>1451801212</v>
      </c>
      <c r="D17" s="47">
        <v>1451801216</v>
      </c>
      <c r="E17" s="31">
        <f t="shared" si="2"/>
        <v>4</v>
      </c>
    </row>
    <row r="18" spans="1:5">
      <c r="A18" s="74">
        <v>19</v>
      </c>
      <c r="B18" s="75" t="s">
        <v>68</v>
      </c>
      <c r="C18" s="47">
        <v>1445048391</v>
      </c>
      <c r="D18" s="47">
        <v>1445048391</v>
      </c>
      <c r="E18" s="31">
        <f t="shared" si="2"/>
        <v>0</v>
      </c>
    </row>
    <row r="19" spans="1:5">
      <c r="A19" s="74">
        <v>20</v>
      </c>
      <c r="B19" s="76" t="s">
        <v>69</v>
      </c>
      <c r="C19" s="47">
        <v>1462583338</v>
      </c>
      <c r="D19" s="47">
        <v>1462583335</v>
      </c>
      <c r="E19" s="31">
        <f t="shared" si="2"/>
        <v>-3</v>
      </c>
    </row>
    <row r="20" spans="1:5">
      <c r="A20" s="74">
        <v>21</v>
      </c>
      <c r="B20" s="77" t="s">
        <v>70</v>
      </c>
      <c r="C20" s="47">
        <v>1443947992</v>
      </c>
      <c r="D20" s="47">
        <v>1443947994</v>
      </c>
      <c r="E20" s="31">
        <f t="shared" si="2"/>
        <v>2</v>
      </c>
    </row>
    <row r="21" spans="1:5">
      <c r="A21" s="74">
        <v>22</v>
      </c>
      <c r="B21" s="77" t="s">
        <v>71</v>
      </c>
      <c r="C21" s="47">
        <v>1466844401</v>
      </c>
      <c r="D21" s="47">
        <v>1466844401</v>
      </c>
      <c r="E21" s="31">
        <f t="shared" si="2"/>
        <v>0</v>
      </c>
    </row>
    <row r="22" spans="1:5">
      <c r="A22" s="74">
        <v>24</v>
      </c>
      <c r="B22" s="77" t="s">
        <v>72</v>
      </c>
      <c r="C22" s="47">
        <v>1455912048</v>
      </c>
      <c r="D22" s="47">
        <v>1455912052</v>
      </c>
      <c r="E22" s="31">
        <f t="shared" si="2"/>
        <v>4</v>
      </c>
    </row>
  </sheetData>
  <mergeCells count="1">
    <mergeCell ref="A1:E2"/>
  </mergeCells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zoomScale="140" zoomScaleNormal="140" workbookViewId="0">
      <selection activeCell="E27" sqref="E27"/>
    </sheetView>
  </sheetViews>
  <sheetFormatPr baseColWidth="10" defaultRowHeight="15"/>
  <cols>
    <col min="1" max="1" width="11.42578125" style="4"/>
    <col min="2" max="2" width="51.7109375" style="4" customWidth="1"/>
    <col min="3" max="3" width="18.5703125" style="4" customWidth="1"/>
    <col min="4" max="4" width="15.7109375" style="4" customWidth="1"/>
    <col min="5" max="5" width="16.140625" style="4" customWidth="1"/>
    <col min="6" max="16384" width="11.42578125" style="4"/>
  </cols>
  <sheetData>
    <row r="1" spans="1:5">
      <c r="A1" s="89" t="s">
        <v>53</v>
      </c>
      <c r="B1" s="90"/>
      <c r="C1" s="90"/>
      <c r="D1" s="90"/>
      <c r="E1" s="91"/>
    </row>
    <row r="2" spans="1:5">
      <c r="A2" s="92"/>
      <c r="B2" s="93"/>
      <c r="C2" s="93"/>
      <c r="D2" s="93"/>
      <c r="E2" s="94"/>
    </row>
    <row r="3" spans="1:5" ht="30">
      <c r="A3" s="50" t="s">
        <v>45</v>
      </c>
      <c r="B3" s="50" t="s">
        <v>17</v>
      </c>
      <c r="C3" s="51" t="s">
        <v>16</v>
      </c>
      <c r="D3" s="50" t="s">
        <v>15</v>
      </c>
      <c r="E3" s="50" t="s">
        <v>46</v>
      </c>
    </row>
    <row r="4" spans="1:5">
      <c r="A4" s="74">
        <v>11</v>
      </c>
      <c r="B4" s="75" t="s">
        <v>62</v>
      </c>
      <c r="C4" s="67">
        <v>59.5</v>
      </c>
      <c r="D4" s="67">
        <v>40.5</v>
      </c>
      <c r="E4" s="64">
        <f t="shared" ref="E4:E22" si="0">SUM(C4:D4)</f>
        <v>100</v>
      </c>
    </row>
    <row r="5" spans="1:5">
      <c r="A5" s="74">
        <v>12</v>
      </c>
      <c r="B5" s="75" t="s">
        <v>63</v>
      </c>
      <c r="C5" s="67">
        <v>58.971028464895383</v>
      </c>
      <c r="D5" s="67">
        <v>40.5</v>
      </c>
      <c r="E5" s="64">
        <f t="shared" si="0"/>
        <v>99.471028464895383</v>
      </c>
    </row>
    <row r="6" spans="1:5">
      <c r="A6" s="74">
        <v>9</v>
      </c>
      <c r="B6" s="75" t="s">
        <v>60</v>
      </c>
      <c r="C6" s="67">
        <v>58.969645699689778</v>
      </c>
      <c r="D6" s="67">
        <v>40.5</v>
      </c>
      <c r="E6" s="64">
        <f t="shared" si="0"/>
        <v>99.469645699689778</v>
      </c>
    </row>
    <row r="7" spans="1:5">
      <c r="A7" s="74">
        <v>13</v>
      </c>
      <c r="B7" s="75" t="s">
        <v>64</v>
      </c>
      <c r="C7" s="67">
        <v>59.160953789530289</v>
      </c>
      <c r="D7" s="67">
        <v>40.25</v>
      </c>
      <c r="E7" s="64">
        <f t="shared" si="0"/>
        <v>99.410953789530282</v>
      </c>
    </row>
    <row r="8" spans="1:5">
      <c r="A8" s="74">
        <v>1</v>
      </c>
      <c r="B8" s="75" t="s">
        <v>54</v>
      </c>
      <c r="C8" s="67">
        <v>58.538446407029717</v>
      </c>
      <c r="D8" s="67">
        <v>40.5</v>
      </c>
      <c r="E8" s="64">
        <f t="shared" si="0"/>
        <v>99.03844640702971</v>
      </c>
    </row>
    <row r="9" spans="1:5">
      <c r="A9" s="74">
        <v>21</v>
      </c>
      <c r="B9" s="77" t="s">
        <v>70</v>
      </c>
      <c r="C9" s="67">
        <v>58.252076593836215</v>
      </c>
      <c r="D9" s="67">
        <v>40.5</v>
      </c>
      <c r="E9" s="64">
        <f t="shared" si="0"/>
        <v>98.752076593836222</v>
      </c>
    </row>
    <row r="10" spans="1:5">
      <c r="A10" s="74">
        <v>7</v>
      </c>
      <c r="B10" s="75" t="s">
        <v>58</v>
      </c>
      <c r="C10" s="67">
        <v>58.237610882754254</v>
      </c>
      <c r="D10" s="67">
        <v>40.5</v>
      </c>
      <c r="E10" s="64">
        <f t="shared" si="0"/>
        <v>98.737610882754254</v>
      </c>
    </row>
    <row r="11" spans="1:5">
      <c r="A11" s="74">
        <v>19</v>
      </c>
      <c r="B11" s="75" t="s">
        <v>68</v>
      </c>
      <c r="C11" s="67">
        <v>58.207717853166344</v>
      </c>
      <c r="D11" s="67">
        <v>40.5</v>
      </c>
      <c r="E11" s="64">
        <f t="shared" si="0"/>
        <v>98.707717853166344</v>
      </c>
    </row>
    <row r="12" spans="1:5">
      <c r="A12" s="74">
        <v>8</v>
      </c>
      <c r="B12" s="75" t="s">
        <v>59</v>
      </c>
      <c r="C12" s="67">
        <v>58.40111132489303</v>
      </c>
      <c r="D12" s="67">
        <v>40.25</v>
      </c>
      <c r="E12" s="64">
        <f t="shared" si="0"/>
        <v>98.651111324893037</v>
      </c>
    </row>
    <row r="13" spans="1:5">
      <c r="A13" s="74">
        <v>3</v>
      </c>
      <c r="B13" s="75" t="s">
        <v>55</v>
      </c>
      <c r="C13" s="67">
        <v>58.105066005125217</v>
      </c>
      <c r="D13" s="67">
        <v>40.5</v>
      </c>
      <c r="E13" s="64">
        <f t="shared" si="0"/>
        <v>98.605066005125224</v>
      </c>
    </row>
    <row r="14" spans="1:5">
      <c r="A14" s="74">
        <v>10</v>
      </c>
      <c r="B14" s="75" t="s">
        <v>61</v>
      </c>
      <c r="C14" s="67">
        <v>58.037441621429863</v>
      </c>
      <c r="D14" s="67">
        <v>40.5</v>
      </c>
      <c r="E14" s="64">
        <f t="shared" si="0"/>
        <v>98.537441621429863</v>
      </c>
    </row>
    <row r="15" spans="1:5">
      <c r="A15" s="74">
        <v>5</v>
      </c>
      <c r="B15" s="75" t="s">
        <v>56</v>
      </c>
      <c r="C15" s="67">
        <v>58.025928105945873</v>
      </c>
      <c r="D15" s="67">
        <v>40.5</v>
      </c>
      <c r="E15" s="64">
        <f t="shared" si="0"/>
        <v>98.525928105945866</v>
      </c>
    </row>
    <row r="16" spans="1:5">
      <c r="A16" s="74">
        <v>16</v>
      </c>
      <c r="B16" s="75" t="s">
        <v>67</v>
      </c>
      <c r="C16" s="67">
        <v>57.936973968788777</v>
      </c>
      <c r="D16" s="67">
        <v>40.5</v>
      </c>
      <c r="E16" s="64">
        <f t="shared" si="0"/>
        <v>98.436973968788777</v>
      </c>
    </row>
    <row r="17" spans="1:5">
      <c r="A17" s="74">
        <v>24</v>
      </c>
      <c r="B17" s="77" t="s">
        <v>72</v>
      </c>
      <c r="C17" s="67">
        <v>57.773386203546274</v>
      </c>
      <c r="D17" s="67">
        <v>40.5</v>
      </c>
      <c r="E17" s="64">
        <f t="shared" si="0"/>
        <v>98.273386203546266</v>
      </c>
    </row>
    <row r="18" spans="1:5">
      <c r="A18" s="74">
        <v>14</v>
      </c>
      <c r="B18" s="75" t="s">
        <v>65</v>
      </c>
      <c r="C18" s="67">
        <v>57.667328154623952</v>
      </c>
      <c r="D18" s="67">
        <v>40.5</v>
      </c>
      <c r="E18" s="64">
        <f t="shared" si="0"/>
        <v>98.167328154623959</v>
      </c>
    </row>
    <row r="19" spans="1:5">
      <c r="A19" s="74">
        <v>15</v>
      </c>
      <c r="B19" s="75" t="s">
        <v>66</v>
      </c>
      <c r="C19" s="67">
        <v>57.906246589927122</v>
      </c>
      <c r="D19" s="67">
        <v>40.25</v>
      </c>
      <c r="E19" s="64">
        <f t="shared" si="0"/>
        <v>98.156246589927122</v>
      </c>
    </row>
    <row r="20" spans="1:5">
      <c r="A20" s="74">
        <v>20</v>
      </c>
      <c r="B20" s="76" t="s">
        <v>69</v>
      </c>
      <c r="C20" s="67">
        <v>57.509864116543078</v>
      </c>
      <c r="D20" s="67">
        <v>40.25</v>
      </c>
      <c r="E20" s="64">
        <f t="shared" si="0"/>
        <v>97.759864116543071</v>
      </c>
    </row>
    <row r="21" spans="1:5">
      <c r="A21" s="74">
        <v>6</v>
      </c>
      <c r="B21" s="75" t="s">
        <v>57</v>
      </c>
      <c r="C21" s="67">
        <v>57.198967681983817</v>
      </c>
      <c r="D21" s="67">
        <v>40.5</v>
      </c>
      <c r="E21" s="64">
        <f t="shared" si="0"/>
        <v>97.698967681983817</v>
      </c>
    </row>
    <row r="22" spans="1:5">
      <c r="A22" s="74">
        <v>22</v>
      </c>
      <c r="B22" s="77" t="s">
        <v>71</v>
      </c>
      <c r="C22" s="67">
        <v>57.342802665475084</v>
      </c>
      <c r="D22" s="67">
        <v>0.25</v>
      </c>
      <c r="E22" s="64">
        <f t="shared" si="0"/>
        <v>57.592802665475084</v>
      </c>
    </row>
  </sheetData>
  <autoFilter ref="A3:E22">
    <sortState ref="A4:E22">
      <sortCondition descending="1" ref="E3:E22"/>
    </sortState>
  </autoFilter>
  <mergeCells count="1">
    <mergeCell ref="A1:E2"/>
  </mergeCells>
  <dataValidations count="1">
    <dataValidation type="list" allowBlank="1" showInputMessage="1" showErrorMessage="1" sqref="C4 C8:C9 C14:C15 C18:C19">
      <formula1>prueba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L17" sqref="L17"/>
    </sheetView>
  </sheetViews>
  <sheetFormatPr baseColWidth="10" defaultRowHeight="15"/>
  <cols>
    <col min="1" max="1" width="12.85546875" style="4" customWidth="1"/>
    <col min="2" max="2" width="60.5703125" style="4" bestFit="1" customWidth="1"/>
    <col min="3" max="3" width="20.42578125" style="5" bestFit="1" customWidth="1"/>
    <col min="4" max="4" width="23.42578125" style="9" hidden="1" customWidth="1"/>
    <col min="5" max="5" width="20.5703125" style="4" hidden="1" customWidth="1"/>
    <col min="6" max="6" width="22.5703125" style="4" customWidth="1"/>
    <col min="7" max="7" width="17" style="4" hidden="1" customWidth="1"/>
    <col min="8" max="8" width="17.140625" style="4" hidden="1" customWidth="1"/>
    <col min="9" max="9" width="15.28515625" style="4" hidden="1" customWidth="1"/>
    <col min="10" max="16384" width="11.42578125" style="4"/>
  </cols>
  <sheetData>
    <row r="1" spans="1:9" ht="42" customHeight="1">
      <c r="A1" s="95" t="s">
        <v>37</v>
      </c>
      <c r="B1" s="96"/>
      <c r="C1" s="96"/>
      <c r="D1" s="96"/>
      <c r="E1" s="96"/>
      <c r="F1" s="96"/>
      <c r="G1" s="96"/>
      <c r="H1" s="96"/>
    </row>
    <row r="2" spans="1:9" ht="60.75" customHeight="1">
      <c r="A2" s="21" t="s">
        <v>19</v>
      </c>
      <c r="B2" s="13" t="s">
        <v>0</v>
      </c>
      <c r="C2" s="1" t="s">
        <v>1</v>
      </c>
      <c r="D2" s="2" t="s">
        <v>2</v>
      </c>
      <c r="E2" s="3" t="s">
        <v>9</v>
      </c>
      <c r="F2" s="3" t="s">
        <v>3</v>
      </c>
      <c r="G2" s="3" t="s">
        <v>10</v>
      </c>
      <c r="H2" s="3" t="s">
        <v>20</v>
      </c>
      <c r="I2" s="3" t="s">
        <v>11</v>
      </c>
    </row>
    <row r="3" spans="1:9" ht="15" customHeight="1">
      <c r="A3" s="43">
        <v>2</v>
      </c>
      <c r="B3" s="24" t="s">
        <v>34</v>
      </c>
      <c r="C3" s="26">
        <f>4186721949+4999605457</f>
        <v>9186327406</v>
      </c>
      <c r="D3" s="27" t="e">
        <f t="shared" ref="D3:D10" si="0">+IF(C3=$C$26,$C$24,((1-ABS(($C$26-C3)/$C$26))*$C$24))</f>
        <v>#DIV/0!</v>
      </c>
      <c r="E3" s="28">
        <f t="shared" ref="E3:E10" si="1">+IF(C3=$C$18,$C$24,((1-(ABS($C$18-C3)/$C$18))*$C$24))</f>
        <v>59.531551113129389</v>
      </c>
      <c r="F3" s="29">
        <f>$C$24*((1-ABS($C$16-C3)/$C$16))</f>
        <v>59.430642799794725</v>
      </c>
      <c r="G3" s="30">
        <f t="shared" ref="G3:G10" si="2">IF(C3&lt;=$C$20,(($C$24*((1-($C$20-C3)/$C$20)))),$C$24*((1-(ABS($C$20-C3)/$C$20))))</f>
        <v>59.788085311622012</v>
      </c>
      <c r="H3" s="29">
        <f t="shared" ref="H3:H10" si="3">+($C$24*$C$21)/C3</f>
        <v>60</v>
      </c>
      <c r="I3" s="18">
        <f t="shared" ref="I3:I10" si="4">($C$24*((1-(ABS((C3/$C$22)-1)))))</f>
        <v>59.577662282673309</v>
      </c>
    </row>
    <row r="4" spans="1:9" ht="15" customHeight="1">
      <c r="A4" s="23">
        <v>3</v>
      </c>
      <c r="B4" s="24" t="s">
        <v>32</v>
      </c>
      <c r="C4" s="26">
        <f>4234877218.92+5007545826</f>
        <v>9242423044.9200001</v>
      </c>
      <c r="D4" s="27" t="e">
        <f t="shared" si="0"/>
        <v>#DIV/0!</v>
      </c>
      <c r="E4" s="28">
        <f t="shared" si="1"/>
        <v>59.895076192086243</v>
      </c>
      <c r="F4" s="29">
        <f t="shared" ref="F4:F14" si="5">$C$24*((1-ABS($C$16-C4)/$C$16))</f>
        <v>59.793551689489135</v>
      </c>
      <c r="G4" s="30">
        <f t="shared" si="2"/>
        <v>59.846823102031053</v>
      </c>
      <c r="H4" s="29">
        <f t="shared" si="3"/>
        <v>59.635838100156001</v>
      </c>
      <c r="I4" s="18">
        <f t="shared" si="4"/>
        <v>59.941468936126967</v>
      </c>
    </row>
    <row r="5" spans="1:9" ht="15" customHeight="1">
      <c r="A5" s="23">
        <v>5</v>
      </c>
      <c r="B5" s="24" t="s">
        <v>22</v>
      </c>
      <c r="C5" s="26">
        <f>4227772145+5047032534</f>
        <v>9274804679</v>
      </c>
      <c r="D5" s="27" t="e">
        <f t="shared" si="0"/>
        <v>#DIV/0!</v>
      </c>
      <c r="E5" s="28">
        <f t="shared" si="1"/>
        <v>59.895076192086229</v>
      </c>
      <c r="F5" s="29">
        <f t="shared" si="5"/>
        <v>59.99695639462017</v>
      </c>
      <c r="G5" s="30">
        <f t="shared" si="2"/>
        <v>59.636071207901928</v>
      </c>
      <c r="H5" s="29">
        <f t="shared" si="3"/>
        <v>59.427628228978257</v>
      </c>
      <c r="I5" s="18">
        <f t="shared" si="4"/>
        <v>59.84852090702632</v>
      </c>
    </row>
    <row r="6" spans="1:9" ht="15" customHeight="1">
      <c r="A6" s="37">
        <v>6</v>
      </c>
      <c r="B6" s="24" t="s">
        <v>23</v>
      </c>
      <c r="C6" s="26">
        <f>4239972898+5062263958</f>
        <v>9302236856</v>
      </c>
      <c r="D6" s="27" t="e">
        <f t="shared" si="0"/>
        <v>#DIV/0!</v>
      </c>
      <c r="E6" s="28">
        <f t="shared" si="1"/>
        <v>59.717303293838199</v>
      </c>
      <c r="F6" s="29">
        <f t="shared" si="5"/>
        <v>59.819484828405052</v>
      </c>
      <c r="G6" s="30">
        <f t="shared" si="2"/>
        <v>59.457532248177039</v>
      </c>
      <c r="H6" s="29">
        <f t="shared" si="3"/>
        <v>59.252376916685982</v>
      </c>
      <c r="I6" s="18">
        <f t="shared" si="4"/>
        <v>59.670610311773956</v>
      </c>
    </row>
    <row r="7" spans="1:9" ht="15" customHeight="1">
      <c r="A7" s="22">
        <v>7</v>
      </c>
      <c r="B7" s="24" t="s">
        <v>24</v>
      </c>
      <c r="C7" s="26">
        <f>4289234109.04+5120993519</f>
        <v>9410227628.0400009</v>
      </c>
      <c r="D7" s="27" t="e">
        <f t="shared" si="0"/>
        <v>#DIV/0!</v>
      </c>
      <c r="E7" s="28">
        <f t="shared" si="1"/>
        <v>59.017474310903559</v>
      </c>
      <c r="F7" s="29">
        <f t="shared" si="5"/>
        <v>59.120842083036372</v>
      </c>
      <c r="G7" s="30">
        <f t="shared" si="2"/>
        <v>58.754687552332818</v>
      </c>
      <c r="H7" s="29">
        <f t="shared" si="3"/>
        <v>58.572402937164853</v>
      </c>
      <c r="I7" s="18">
        <f t="shared" si="4"/>
        <v>58.970239264467047</v>
      </c>
    </row>
    <row r="8" spans="1:9" ht="15" customHeight="1">
      <c r="A8" s="23">
        <v>8</v>
      </c>
      <c r="B8" s="24" t="s">
        <v>25</v>
      </c>
      <c r="C8" s="26">
        <f>4247911665+4986123359</f>
        <v>9234035024</v>
      </c>
      <c r="D8" s="27" t="e">
        <f t="shared" si="0"/>
        <v>#DIV/0!</v>
      </c>
      <c r="E8" s="28">
        <f t="shared" si="1"/>
        <v>59.840718027602485</v>
      </c>
      <c r="F8" s="29">
        <f t="shared" si="5"/>
        <v>59.739285664225527</v>
      </c>
      <c r="G8" s="30">
        <f t="shared" si="2"/>
        <v>59.901415507482781</v>
      </c>
      <c r="H8" s="29">
        <f t="shared" si="3"/>
        <v>59.690010155629665</v>
      </c>
      <c r="I8" s="18">
        <f t="shared" si="4"/>
        <v>59.887068667607764</v>
      </c>
    </row>
    <row r="9" spans="1:9" ht="15" customHeight="1">
      <c r="A9" s="23">
        <v>9</v>
      </c>
      <c r="B9" s="24" t="s">
        <v>26</v>
      </c>
      <c r="C9" s="26">
        <f>4226374106.13+5045536675</f>
        <v>9271910781.1300011</v>
      </c>
      <c r="D9" s="27" t="e">
        <f t="shared" si="0"/>
        <v>#DIV/0!</v>
      </c>
      <c r="E9" s="28">
        <f t="shared" si="1"/>
        <v>59.913829957475812</v>
      </c>
      <c r="F9" s="29">
        <f t="shared" si="5"/>
        <v>59.984321628357904</v>
      </c>
      <c r="G9" s="30">
        <f t="shared" si="2"/>
        <v>59.654905787281457</v>
      </c>
      <c r="H9" s="29">
        <f t="shared" si="3"/>
        <v>59.446176453913822</v>
      </c>
      <c r="I9" s="18">
        <f t="shared" si="4"/>
        <v>59.867289198461989</v>
      </c>
    </row>
    <row r="10" spans="1:9" ht="15" customHeight="1">
      <c r="A10" s="23">
        <v>12</v>
      </c>
      <c r="B10" s="24" t="s">
        <v>27</v>
      </c>
      <c r="C10" s="26">
        <f>4224069130+5115471283</f>
        <v>9339540413</v>
      </c>
      <c r="D10" s="27" t="e">
        <f t="shared" si="0"/>
        <v>#DIV/0!</v>
      </c>
      <c r="E10" s="28">
        <f t="shared" si="1"/>
        <v>59.475559394225336</v>
      </c>
      <c r="F10" s="29">
        <f t="shared" si="5"/>
        <v>59.578150694180664</v>
      </c>
      <c r="G10" s="30">
        <f t="shared" si="2"/>
        <v>59.214746622347263</v>
      </c>
      <c r="H10" s="29">
        <f t="shared" si="3"/>
        <v>59.015713834568963</v>
      </c>
      <c r="I10" s="18">
        <f t="shared" si="4"/>
        <v>59.42867916533595</v>
      </c>
    </row>
    <row r="11" spans="1:9" ht="15" customHeight="1">
      <c r="A11" s="23">
        <v>14</v>
      </c>
      <c r="B11" s="24" t="s">
        <v>28</v>
      </c>
      <c r="C11" s="26">
        <f>4268248775.24+5095510816</f>
        <v>9363759591.2399998</v>
      </c>
      <c r="D11" s="27"/>
      <c r="E11" s="28"/>
      <c r="F11" s="29">
        <f t="shared" si="5"/>
        <v>59.421465517692624</v>
      </c>
      <c r="G11" s="40"/>
      <c r="H11" s="41"/>
      <c r="I11" s="42"/>
    </row>
    <row r="12" spans="1:9" ht="15" customHeight="1">
      <c r="A12" s="23">
        <v>15</v>
      </c>
      <c r="B12" s="24" t="s">
        <v>29</v>
      </c>
      <c r="C12" s="26">
        <f>4212748568+5029828301</f>
        <v>9242576869</v>
      </c>
      <c r="D12" s="27"/>
      <c r="E12" s="28"/>
      <c r="F12" s="29">
        <f t="shared" si="5"/>
        <v>59.794546849311814</v>
      </c>
      <c r="G12" s="40"/>
      <c r="H12" s="41"/>
      <c r="I12" s="42"/>
    </row>
    <row r="13" spans="1:9" ht="15" customHeight="1">
      <c r="A13" s="23">
        <v>17</v>
      </c>
      <c r="B13" s="24" t="s">
        <v>30</v>
      </c>
      <c r="C13" s="26">
        <f>4186204359+4998046318</f>
        <v>9184250677</v>
      </c>
      <c r="D13" s="27"/>
      <c r="E13" s="28"/>
      <c r="F13" s="29">
        <f t="shared" si="5"/>
        <v>59.417207469881447</v>
      </c>
      <c r="G13" s="40"/>
      <c r="H13" s="41"/>
      <c r="I13" s="42"/>
    </row>
    <row r="14" spans="1:9" ht="15" customHeight="1">
      <c r="A14" s="22">
        <v>19</v>
      </c>
      <c r="B14" s="24" t="s">
        <v>31</v>
      </c>
      <c r="C14" s="26">
        <f>4257047487+4985666875</f>
        <v>9242714362</v>
      </c>
      <c r="D14" s="27"/>
      <c r="E14" s="28"/>
      <c r="F14" s="29">
        <f t="shared" si="5"/>
        <v>59.795436355749956</v>
      </c>
      <c r="G14" s="40"/>
      <c r="H14" s="41"/>
      <c r="I14" s="42"/>
    </row>
    <row r="15" spans="1:9">
      <c r="D15" s="6" t="e">
        <f>MAX(D3:D6)</f>
        <v>#DIV/0!</v>
      </c>
      <c r="E15" s="7">
        <f>MAX(E3:E6)</f>
        <v>59.895076192086243</v>
      </c>
      <c r="F15" s="12">
        <f>MAX(F3:F10)</f>
        <v>59.99695639462017</v>
      </c>
      <c r="G15" s="8">
        <f>MAX(G3:G6)</f>
        <v>59.846823102031053</v>
      </c>
      <c r="H15" s="8">
        <f>MAX(H3:H6)</f>
        <v>60</v>
      </c>
      <c r="I15" s="8">
        <f>MAX(I3:I6)</f>
        <v>59.941468936126967</v>
      </c>
    </row>
    <row r="16" spans="1:9">
      <c r="B16" s="14" t="s">
        <v>5</v>
      </c>
      <c r="C16" s="16">
        <f>GEOMEAN(C3:C14)</f>
        <v>9274334222.1077881</v>
      </c>
    </row>
    <row r="17" spans="2:8">
      <c r="B17" s="4" t="s">
        <v>14</v>
      </c>
      <c r="C17" s="25">
        <v>9599956599</v>
      </c>
    </row>
    <row r="18" spans="2:8" ht="24" customHeight="1">
      <c r="B18" s="14" t="s">
        <v>4</v>
      </c>
      <c r="C18" s="16">
        <f>MEDIAN(C3:C6)</f>
        <v>9258613861.9599991</v>
      </c>
      <c r="D18" s="15"/>
      <c r="E18" s="14"/>
      <c r="F18" s="10"/>
      <c r="G18" s="11"/>
      <c r="H18" s="12"/>
    </row>
    <row r="19" spans="2:8" ht="24.75" customHeight="1">
      <c r="D19" s="15"/>
      <c r="E19" s="14"/>
      <c r="F19" s="10"/>
      <c r="G19" s="11"/>
      <c r="H19" s="12"/>
    </row>
    <row r="20" spans="2:8" ht="27" customHeight="1">
      <c r="B20" s="14" t="s">
        <v>6</v>
      </c>
      <c r="C20" s="16">
        <f>(C22+C21)/2</f>
        <v>9218887701.2399998</v>
      </c>
      <c r="D20" s="15"/>
      <c r="E20" s="14"/>
      <c r="F20" s="10"/>
      <c r="G20" s="11"/>
      <c r="H20" s="12"/>
    </row>
    <row r="21" spans="2:8" ht="23.25" customHeight="1">
      <c r="B21" s="14" t="s">
        <v>7</v>
      </c>
      <c r="C21" s="16">
        <f>MIN(C3:C6)</f>
        <v>9186327406</v>
      </c>
      <c r="D21" s="15"/>
      <c r="E21" s="14"/>
      <c r="F21" s="10"/>
      <c r="G21" s="11"/>
      <c r="H21" s="12"/>
    </row>
    <row r="22" spans="2:8" ht="23.25" customHeight="1">
      <c r="B22" s="14" t="s">
        <v>12</v>
      </c>
      <c r="C22" s="16">
        <f>AVERAGE(C3:C6)</f>
        <v>9251447996.4799995</v>
      </c>
      <c r="D22" s="15"/>
      <c r="E22" s="19"/>
    </row>
    <row r="23" spans="2:8" ht="14.25" customHeight="1">
      <c r="B23" s="14"/>
      <c r="C23" s="16"/>
      <c r="D23" s="15"/>
      <c r="E23" s="14"/>
    </row>
    <row r="24" spans="2:8">
      <c r="B24" s="14" t="s">
        <v>8</v>
      </c>
      <c r="C24" s="17">
        <v>60</v>
      </c>
      <c r="D24" s="15"/>
      <c r="E24" s="14"/>
    </row>
    <row r="25" spans="2:8">
      <c r="B25" s="14"/>
      <c r="C25" s="16"/>
      <c r="D25" s="15"/>
      <c r="E25" s="14"/>
    </row>
    <row r="26" spans="2:8">
      <c r="B26" s="14" t="s">
        <v>13</v>
      </c>
      <c r="C26" s="20"/>
      <c r="D26" s="15"/>
      <c r="E26" s="14"/>
    </row>
    <row r="27" spans="2:8">
      <c r="B27" s="14"/>
      <c r="C27" s="16"/>
      <c r="D27" s="15"/>
      <c r="E27" s="14"/>
    </row>
    <row r="28" spans="2:8">
      <c r="B28" s="14"/>
      <c r="C28" s="16"/>
      <c r="D28" s="15"/>
      <c r="E28" s="14"/>
    </row>
  </sheetData>
  <mergeCells count="1">
    <mergeCell ref="A1:H1"/>
  </mergeCells>
  <conditionalFormatting sqref="B13">
    <cfRule type="cellIs" dxfId="50" priority="2" stopIfTrue="1" operator="equal">
      <formula>"NO ADMISIBLE"</formula>
    </cfRule>
  </conditionalFormatting>
  <conditionalFormatting sqref="B3">
    <cfRule type="cellIs" dxfId="49" priority="12" stopIfTrue="1" operator="equal">
      <formula>"NO ADMISIBLE"</formula>
    </cfRule>
  </conditionalFormatting>
  <conditionalFormatting sqref="B4">
    <cfRule type="cellIs" dxfId="48" priority="11" stopIfTrue="1" operator="equal">
      <formula>"NO ADMISIBLE"</formula>
    </cfRule>
  </conditionalFormatting>
  <conditionalFormatting sqref="B5">
    <cfRule type="cellIs" dxfId="47" priority="10" stopIfTrue="1" operator="equal">
      <formula>"NO ADMISIBLE"</formula>
    </cfRule>
  </conditionalFormatting>
  <conditionalFormatting sqref="B6">
    <cfRule type="cellIs" dxfId="46" priority="9" stopIfTrue="1" operator="equal">
      <formula>"NO ADMISIBLE"</formula>
    </cfRule>
  </conditionalFormatting>
  <conditionalFormatting sqref="B7">
    <cfRule type="cellIs" dxfId="45" priority="8" stopIfTrue="1" operator="equal">
      <formula>"NO ADMISIBLE"</formula>
    </cfRule>
  </conditionalFormatting>
  <conditionalFormatting sqref="B8">
    <cfRule type="cellIs" dxfId="44" priority="7" stopIfTrue="1" operator="equal">
      <formula>"NO ADMISIBLE"</formula>
    </cfRule>
  </conditionalFormatting>
  <conditionalFormatting sqref="B9">
    <cfRule type="cellIs" dxfId="43" priority="6" stopIfTrue="1" operator="equal">
      <formula>"NO ADMISIBLE"</formula>
    </cfRule>
  </conditionalFormatting>
  <conditionalFormatting sqref="B10">
    <cfRule type="cellIs" dxfId="42" priority="5" stopIfTrue="1" operator="equal">
      <formula>"NO ADMISIBLE"</formula>
    </cfRule>
  </conditionalFormatting>
  <conditionalFormatting sqref="B11">
    <cfRule type="cellIs" dxfId="41" priority="4" stopIfTrue="1" operator="equal">
      <formula>"NO ADMISIBLE"</formula>
    </cfRule>
  </conditionalFormatting>
  <conditionalFormatting sqref="B12">
    <cfRule type="cellIs" dxfId="40" priority="3" stopIfTrue="1" operator="equal">
      <formula>"NO ADMISIBLE"</formula>
    </cfRule>
  </conditionalFormatting>
  <conditionalFormatting sqref="D3:D14">
    <cfRule type="cellIs" dxfId="39" priority="13" operator="equal">
      <formula>$D$15</formula>
    </cfRule>
  </conditionalFormatting>
  <conditionalFormatting sqref="E3:E14">
    <cfRule type="cellIs" dxfId="38" priority="14" operator="equal">
      <formula>$E$15</formula>
    </cfRule>
  </conditionalFormatting>
  <conditionalFormatting sqref="F3:F14">
    <cfRule type="cellIs" dxfId="37" priority="15" operator="equal">
      <formula>$F$15</formula>
    </cfRule>
  </conditionalFormatting>
  <conditionalFormatting sqref="G3:G14">
    <cfRule type="cellIs" dxfId="36" priority="16" operator="equal">
      <formula>$G$15</formula>
    </cfRule>
  </conditionalFormatting>
  <conditionalFormatting sqref="H3:H14">
    <cfRule type="cellIs" dxfId="35" priority="17" operator="equal">
      <formula>$H$15</formula>
    </cfRule>
  </conditionalFormatting>
  <conditionalFormatting sqref="B14">
    <cfRule type="cellIs" dxfId="34" priority="1" stopIfTrue="1" operator="equal">
      <formula>"NO ADMISIBLE"</formula>
    </cfRule>
  </conditionalFormatting>
  <dataValidations count="1">
    <dataValidation type="list" allowBlank="1" showInputMessage="1" showErrorMessage="1" sqref="B4:B14">
      <formula1>prueba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N11" sqref="N11"/>
    </sheetView>
  </sheetViews>
  <sheetFormatPr baseColWidth="10" defaultRowHeight="15"/>
  <cols>
    <col min="1" max="1" width="12.85546875" style="4" customWidth="1"/>
    <col min="2" max="2" width="60.5703125" style="4" bestFit="1" customWidth="1"/>
    <col min="3" max="3" width="20.42578125" style="5" bestFit="1" customWidth="1"/>
    <col min="4" max="4" width="23.42578125" style="9" hidden="1" customWidth="1"/>
    <col min="5" max="5" width="20.5703125" style="4" hidden="1" customWidth="1"/>
    <col min="6" max="6" width="22.5703125" style="4" customWidth="1"/>
    <col min="7" max="7" width="17" style="4" hidden="1" customWidth="1"/>
    <col min="8" max="8" width="17.140625" style="4" hidden="1" customWidth="1"/>
    <col min="9" max="9" width="15.28515625" style="4" hidden="1" customWidth="1"/>
    <col min="10" max="11" width="11.42578125" style="4"/>
    <col min="12" max="12" width="18.28515625" style="4" bestFit="1" customWidth="1"/>
    <col min="13" max="16384" width="11.42578125" style="4"/>
  </cols>
  <sheetData>
    <row r="1" spans="1:12" ht="42" customHeight="1">
      <c r="A1" s="95" t="s">
        <v>37</v>
      </c>
      <c r="B1" s="96"/>
      <c r="C1" s="96"/>
      <c r="D1" s="96"/>
      <c r="E1" s="96"/>
      <c r="F1" s="96"/>
      <c r="G1" s="96"/>
      <c r="H1" s="96"/>
    </row>
    <row r="2" spans="1:12" ht="60.75" customHeight="1">
      <c r="A2" s="21" t="s">
        <v>19</v>
      </c>
      <c r="B2" s="13" t="s">
        <v>0</v>
      </c>
      <c r="C2" s="1" t="s">
        <v>1</v>
      </c>
      <c r="D2" s="2" t="s">
        <v>2</v>
      </c>
      <c r="E2" s="3" t="s">
        <v>9</v>
      </c>
      <c r="F2" s="3" t="s">
        <v>3</v>
      </c>
      <c r="G2" s="3" t="s">
        <v>10</v>
      </c>
      <c r="H2" s="3" t="s">
        <v>20</v>
      </c>
      <c r="I2" s="3" t="s">
        <v>11</v>
      </c>
    </row>
    <row r="3" spans="1:12">
      <c r="A3" s="35">
        <v>1</v>
      </c>
      <c r="B3" s="24" t="s">
        <v>33</v>
      </c>
      <c r="C3" s="34"/>
      <c r="D3" s="2"/>
      <c r="E3" s="3"/>
      <c r="F3" s="32">
        <f>$C$27*((1-(ABS($C$19-C3)/$C$19)))</f>
        <v>0</v>
      </c>
      <c r="G3" s="3"/>
      <c r="H3" s="3"/>
      <c r="I3" s="3"/>
      <c r="K3" s="38">
        <f>C3/$C$18</f>
        <v>0</v>
      </c>
    </row>
    <row r="4" spans="1:12">
      <c r="A4" s="43">
        <v>2</v>
      </c>
      <c r="B4" s="24" t="s">
        <v>34</v>
      </c>
      <c r="C4" s="34">
        <v>9186327406</v>
      </c>
      <c r="D4" s="2"/>
      <c r="E4" s="3"/>
      <c r="F4" s="32">
        <f t="shared" ref="F4:F17" si="0">$C$27*((1-(ABS($C$19-C4)/$C$19)))</f>
        <v>59.273098241810544</v>
      </c>
      <c r="G4" s="3"/>
      <c r="H4" s="3"/>
      <c r="I4" s="3"/>
      <c r="K4" s="38">
        <f t="shared" ref="K4:K17" si="1">C4/$C$18</f>
        <v>0.95691343093748082</v>
      </c>
    </row>
    <row r="5" spans="1:12" ht="15" customHeight="1">
      <c r="A5" s="23">
        <v>3</v>
      </c>
      <c r="B5" s="24" t="s">
        <v>32</v>
      </c>
      <c r="C5" s="34">
        <v>9242423045</v>
      </c>
      <c r="D5" s="27" t="e">
        <f>+IF(C5=$C$29,$C$27,((1-ABS(($C$29-C5)/$C$29))*$C$27))</f>
        <v>#DIV/0!</v>
      </c>
      <c r="E5" s="28">
        <f>+IF(C5=$C$21,$C$27,((1-(ABS($C$21-C5)/$C$21))*$C$27))</f>
        <v>59.799847999609085</v>
      </c>
      <c r="F5" s="32">
        <f t="shared" si="0"/>
        <v>59.635045097657688</v>
      </c>
      <c r="G5" s="30">
        <f>IF(C5&lt;=$C$23,(($C$27*((1-($C$23-C5)/$C$23)))),$C$27*((1-(ABS($C$23-C5)/$C$23))))</f>
        <v>59.8754155485219</v>
      </c>
      <c r="H5" s="29">
        <f>+($C$27*$C$24)/C5</f>
        <v>59.945546610715652</v>
      </c>
      <c r="I5" s="18">
        <f>($C$27*((1-(ABS((C5/$C$25)-1)))))</f>
        <v>59.69739317281941</v>
      </c>
      <c r="K5" s="38">
        <f t="shared" si="1"/>
        <v>0.96275675308394171</v>
      </c>
    </row>
    <row r="6" spans="1:12" ht="15" customHeight="1">
      <c r="A6" s="36">
        <v>4</v>
      </c>
      <c r="B6" s="24" t="s">
        <v>35</v>
      </c>
      <c r="C6" s="34"/>
      <c r="D6" s="27"/>
      <c r="E6" s="28"/>
      <c r="F6" s="32">
        <f t="shared" si="0"/>
        <v>0</v>
      </c>
      <c r="G6" s="30"/>
      <c r="H6" s="29"/>
      <c r="I6" s="18"/>
      <c r="K6" s="38">
        <f t="shared" si="1"/>
        <v>0</v>
      </c>
    </row>
    <row r="7" spans="1:12" ht="15" customHeight="1">
      <c r="A7" s="23">
        <v>5</v>
      </c>
      <c r="B7" s="24" t="s">
        <v>22</v>
      </c>
      <c r="C7" s="34">
        <v>9274804679</v>
      </c>
      <c r="D7" s="27" t="e">
        <f>+IF(C7=$C$29,$C$27,((1-ABS(($C$29-C7)/$C$29))*$C$27))</f>
        <v>#DIV/0!</v>
      </c>
      <c r="E7" s="28">
        <f>+IF(C7=$C$21,$C$27,((1-(ABS($C$21-C7)/$C$21))*$C$27))</f>
        <v>59.990638025348773</v>
      </c>
      <c r="F7" s="32">
        <f t="shared" si="0"/>
        <v>59.843981671381236</v>
      </c>
      <c r="G7" s="30">
        <f>IF(C7&lt;=$C$23,(($C$27*((1-($C$23-C7)/$C$23)))),$C$27*((1-(ABS($C$23-C7)/$C$23))))</f>
        <v>59.914805718947669</v>
      </c>
      <c r="H7" s="29">
        <f>+($C$27*$C$24)/C7</f>
        <v>59.736255437751844</v>
      </c>
      <c r="I7" s="18">
        <f>($C$27*((1-(ABS((C7/$C$25)-1)))))</f>
        <v>59.906548188453769</v>
      </c>
      <c r="K7" s="38">
        <f t="shared" si="1"/>
        <v>0.96612985520852557</v>
      </c>
      <c r="L7" s="39"/>
    </row>
    <row r="8" spans="1:12" ht="15" customHeight="1">
      <c r="A8" s="37">
        <v>6</v>
      </c>
      <c r="B8" s="24" t="s">
        <v>23</v>
      </c>
      <c r="C8" s="34">
        <v>9302236856</v>
      </c>
      <c r="D8" s="27" t="e">
        <f>+IF(C8=$C$29,$C$27,((1-ABS(($C$29-C8)/$C$29))*$C$27))</f>
        <v>#DIV/0!</v>
      </c>
      <c r="E8" s="28">
        <f>+IF(C8=$C$21,$C$27,((1-(ABS($C$21-C8)/$C$21))*$C$27))</f>
        <v>59.813147771233453</v>
      </c>
      <c r="F8" s="32">
        <f t="shared" si="0"/>
        <v>59.979017221381312</v>
      </c>
      <c r="G8" s="30">
        <f>IF(C8&lt;=$C$23,(($C$27*((1-($C$23-C8)/$C$23)))),$C$27*((1-(ABS($C$23-C8)/$C$23))))</f>
        <v>59.73709117490673</v>
      </c>
      <c r="H8" s="29">
        <f>+($C$27*$C$24)/C8</f>
        <v>59.560093987785251</v>
      </c>
      <c r="I8" s="18">
        <f>($C$27*((1-(ABS((C8/$C$25)-1)))))</f>
        <v>59.916265650732996</v>
      </c>
      <c r="K8" s="38">
        <f t="shared" si="1"/>
        <v>0.96898738656474626</v>
      </c>
    </row>
    <row r="9" spans="1:12" ht="15" customHeight="1">
      <c r="A9" s="22">
        <v>7</v>
      </c>
      <c r="B9" s="24" t="s">
        <v>24</v>
      </c>
      <c r="C9" s="34">
        <v>9410227628</v>
      </c>
      <c r="D9" s="27" t="e">
        <f>+IF(C9=$C$29,$C$27,((1-ABS(($C$29-C9)/$C$29))*$C$27))</f>
        <v>#DIV/0!</v>
      </c>
      <c r="E9" s="28">
        <f>+IF(C9=$C$21,$C$27,((1-(ABS($C$21-C9)/$C$21))*$C$27))</f>
        <v>59.114431458474535</v>
      </c>
      <c r="F9" s="32">
        <f t="shared" si="0"/>
        <v>59.282226506760772</v>
      </c>
      <c r="G9" s="30">
        <f>IF(C9&lt;=$C$23,(($C$27*((1-($C$23-C9)/$C$23)))),$C$27*((1-(ABS($C$23-C9)/$C$23))))</f>
        <v>59.037491912091809</v>
      </c>
      <c r="H9" s="29">
        <f>+($C$27*$C$24)/C9</f>
        <v>58.876588680113912</v>
      </c>
      <c r="I9" s="18">
        <f>($C$27*((1-(ABS((C9/$C$25)-1)))))</f>
        <v>59.218746445679088</v>
      </c>
      <c r="K9" s="38">
        <f t="shared" si="1"/>
        <v>0.98023647617117737</v>
      </c>
    </row>
    <row r="10" spans="1:12" ht="15" customHeight="1">
      <c r="A10" s="23">
        <v>8</v>
      </c>
      <c r="B10" s="24" t="s">
        <v>25</v>
      </c>
      <c r="C10" s="34">
        <v>9234035024</v>
      </c>
      <c r="D10" s="27" t="e">
        <f>+IF(C10=$C$29,$C$27,((1-ABS(($C$29-C10)/$C$29))*$C$27))</f>
        <v>#DIV/0!</v>
      </c>
      <c r="E10" s="28">
        <f>+IF(C10=$C$21,$C$27,((1-(ABS($C$21-C10)/$C$21))*$C$27))</f>
        <v>59.745576259571301</v>
      </c>
      <c r="F10" s="32">
        <f t="shared" si="0"/>
        <v>59.580922925562817</v>
      </c>
      <c r="G10" s="30">
        <f>IF(C10&lt;=$C$23,(($C$27*((1-($C$23-C10)/$C$23)))),$C$27*((1-(ABS($C$23-C10)/$C$23))))</f>
        <v>59.821075226664803</v>
      </c>
      <c r="H10" s="29">
        <f>+($C$27*$C$24)/C10</f>
        <v>60</v>
      </c>
      <c r="I10" s="18">
        <f>($C$27*((1-(ABS((C10/$C$25)-1)))))</f>
        <v>59.643214416324412</v>
      </c>
      <c r="K10" s="38">
        <f t="shared" si="1"/>
        <v>0.96188299694624479</v>
      </c>
    </row>
    <row r="11" spans="1:12" ht="15" customHeight="1">
      <c r="A11" s="23">
        <v>9</v>
      </c>
      <c r="B11" s="24" t="s">
        <v>26</v>
      </c>
      <c r="C11" s="34">
        <v>9271910781</v>
      </c>
      <c r="D11" s="27" t="e">
        <f>+IF(C11=$C$29,$C$27,((1-ABS(($C$29-C11)/$C$29))*$C$27))</f>
        <v>#DIV/0!</v>
      </c>
      <c r="E11" s="28">
        <f>+IF(C11=$C$21,$C$27,((1-(ABS($C$21-C11)/$C$21))*$C$27))</f>
        <v>59.990638025348773</v>
      </c>
      <c r="F11" s="32">
        <f t="shared" si="0"/>
        <v>59.825309323567495</v>
      </c>
      <c r="G11" s="30">
        <f>IF(C11&lt;=$C$23,(($C$27*((1-($C$23-C11)/$C$23)))),$C$27*((1-(ABS($C$23-C11)/$C$23))))</f>
        <v>59.933553329229234</v>
      </c>
      <c r="H11" s="29">
        <f>+($C$27*$C$24)/C11</f>
        <v>59.754899990554598</v>
      </c>
      <c r="I11" s="18">
        <f>($C$27*((1-(ABS((C11/$C$25)-1)))))</f>
        <v>59.887856318814507</v>
      </c>
      <c r="K11" s="38">
        <f t="shared" si="1"/>
        <v>0.96582840613735987</v>
      </c>
    </row>
    <row r="12" spans="1:12" ht="15" customHeight="1">
      <c r="A12" s="36">
        <v>10</v>
      </c>
      <c r="B12" s="24" t="s">
        <v>36</v>
      </c>
      <c r="C12" s="34"/>
      <c r="D12" s="27"/>
      <c r="E12" s="28"/>
      <c r="F12" s="32">
        <f t="shared" si="0"/>
        <v>0</v>
      </c>
      <c r="G12" s="30"/>
      <c r="H12" s="29"/>
      <c r="I12" s="18"/>
      <c r="K12" s="38">
        <f t="shared" si="1"/>
        <v>0</v>
      </c>
    </row>
    <row r="13" spans="1:12" ht="15" customHeight="1">
      <c r="A13" s="23">
        <v>12</v>
      </c>
      <c r="B13" s="24" t="s">
        <v>27</v>
      </c>
      <c r="C13" s="34">
        <v>9339540413</v>
      </c>
      <c r="D13" s="27" t="e">
        <f>+IF(C13=$C$29,$C$27,((1-ABS(($C$29-C13)/$C$29))*$C$27))</f>
        <v>#DIV/0!</v>
      </c>
      <c r="E13" s="28">
        <f>+IF(C13=$C$21,$C$27,((1-(ABS($C$21-C13)/$C$21))*$C$27))</f>
        <v>59.571788224328536</v>
      </c>
      <c r="F13" s="32">
        <f t="shared" si="0"/>
        <v>59.738322839273202</v>
      </c>
      <c r="G13" s="30">
        <f>IF(C13&lt;=$C$23,(($C$27*((1-($C$23-C13)/$C$23)))),$C$27*((1-(ABS($C$23-C13)/$C$23))))</f>
        <v>59.495426628073282</v>
      </c>
      <c r="H13" s="29">
        <f>+($C$27*$C$24)/C13</f>
        <v>59.32220183648559</v>
      </c>
      <c r="I13" s="18">
        <f>($C$27*((1-(ABS((C13/$C$25)-1)))))</f>
        <v>59.67531962411951</v>
      </c>
      <c r="K13" s="38">
        <f t="shared" si="1"/>
        <v>0.97287319131972672</v>
      </c>
    </row>
    <row r="14" spans="1:12" ht="15" customHeight="1">
      <c r="A14" s="23">
        <v>14</v>
      </c>
      <c r="B14" s="24" t="s">
        <v>28</v>
      </c>
      <c r="C14" s="34">
        <v>9363759591</v>
      </c>
      <c r="D14" s="27" t="e">
        <f>+IF(C14=$C$29,$C$27,((1-ABS(($C$29-C14)/$C$29))*$C$27))</f>
        <v>#DIV/0!</v>
      </c>
      <c r="E14" s="28">
        <f>+IF(C14=$C$21,$C$27,((1-(ABS($C$21-C14)/$C$21))*$C$27))</f>
        <v>59.415086550316872</v>
      </c>
      <c r="F14" s="32">
        <f t="shared" si="0"/>
        <v>59.582053020717389</v>
      </c>
      <c r="G14" s="30">
        <f>IF(C14&lt;=$C$23,(($C$27*((1-($C$23-C14)/$C$23)))),$C$27*((1-(ABS($C$23-C14)/$C$23))))</f>
        <v>59.338526934136624</v>
      </c>
      <c r="H14" s="29">
        <f>+($C$27*$C$24)/C14</f>
        <v>59.168766140954631</v>
      </c>
      <c r="I14" s="18">
        <f>($C$27*((1-(ABS((C14/$C$25)-1)))))</f>
        <v>59.518886426423506</v>
      </c>
      <c r="K14" s="38">
        <f t="shared" si="1"/>
        <v>0.97539603376700645</v>
      </c>
    </row>
    <row r="15" spans="1:12" ht="15" customHeight="1">
      <c r="A15" s="23">
        <v>15</v>
      </c>
      <c r="B15" s="24" t="s">
        <v>29</v>
      </c>
      <c r="C15" s="34">
        <v>9242573869</v>
      </c>
      <c r="D15" s="27" t="e">
        <f>+IF(C15=$C$29,$C$27,((1-ABS(($C$29-C15)/$C$29))*$C$27))</f>
        <v>#DIV/0!</v>
      </c>
      <c r="E15" s="28">
        <f>+IF(C15=$C$21,$C$27,((1-(ABS($C$21-C15)/$C$21))*$C$27))</f>
        <v>59.800823853260319</v>
      </c>
      <c r="F15" s="32">
        <f t="shared" si="0"/>
        <v>59.636018261945679</v>
      </c>
      <c r="G15" s="30">
        <f>IF(C15&lt;=$C$23,(($C$27*((1-($C$23-C15)/$C$23)))),$C$27*((1-(ABS($C$23-C15)/$C$23))))</f>
        <v>59.876392635334604</v>
      </c>
      <c r="H15" s="29">
        <f>+($C$27*$C$24)/C15</f>
        <v>59.944568395420852</v>
      </c>
      <c r="I15" s="18">
        <f>($C$27*((1-(ABS((C15/$C$25)-1)))))</f>
        <v>59.698367354544708</v>
      </c>
      <c r="K15" s="38">
        <f t="shared" si="1"/>
        <v>0.96277246398830307</v>
      </c>
    </row>
    <row r="16" spans="1:12" ht="15" customHeight="1">
      <c r="A16" s="23">
        <v>17</v>
      </c>
      <c r="B16" s="24" t="s">
        <v>30</v>
      </c>
      <c r="C16" s="34">
        <v>9184250677</v>
      </c>
      <c r="D16" s="27" t="e">
        <f>+IF(C16=$C$29,$C$27,((1-ABS(($C$29-C16)/$C$29))*$C$27))</f>
        <v>#DIV/0!</v>
      </c>
      <c r="E16" s="28">
        <f>+IF(C16=$C$21,$C$27,((1-(ABS($C$21-C16)/$C$21))*$C$27))</f>
        <v>59.423464150131522</v>
      </c>
      <c r="F16" s="32">
        <f t="shared" si="0"/>
        <v>59.259698527583268</v>
      </c>
      <c r="G16" s="30">
        <f>IF(C16&lt;=$C$23,(($C$27*((1-($C$23-C16)/$C$23)))),$C$27*((1-(ABS($C$23-C16)/$C$23))))</f>
        <v>59.498556072334445</v>
      </c>
      <c r="H16" s="29">
        <f>+($C$27*$C$24)/C16</f>
        <v>60.325237292083116</v>
      </c>
      <c r="I16" s="18">
        <f>($C$27*((1-(ABS((C16/$C$25)-1)))))</f>
        <v>59.321654180200085</v>
      </c>
      <c r="K16" s="38">
        <f t="shared" si="1"/>
        <v>0.95669710402198038</v>
      </c>
    </row>
    <row r="17" spans="1:11" ht="15" customHeight="1">
      <c r="A17" s="22">
        <v>19</v>
      </c>
      <c r="B17" s="24" t="s">
        <v>31</v>
      </c>
      <c r="C17" s="34">
        <v>9242714362</v>
      </c>
      <c r="D17" s="27" t="e">
        <f>+IF(C17=$C$29,$C$27,((1-ABS(($C$29-C17)/$C$29))*$C$27))</f>
        <v>#DIV/0!</v>
      </c>
      <c r="E17" s="28">
        <f>+IF(C17=$C$21,$C$27,((1-(ABS($C$21-C17)/$C$21))*$C$27))</f>
        <v>59.801732863809193</v>
      </c>
      <c r="F17" s="32">
        <f t="shared" si="0"/>
        <v>59.636924767344752</v>
      </c>
      <c r="G17" s="30">
        <f>IF(C17&lt;=$C$23,(($C$27*((1-($C$23-C17)/$C$23)))),$C$27*((1-(ABS($C$23-C17)/$C$23))))</f>
        <v>59.877302794577012</v>
      </c>
      <c r="H17" s="29">
        <f>+($C$27*$C$24)/C17</f>
        <v>59.943657213714076</v>
      </c>
      <c r="I17" s="18">
        <f>($C$27*((1-(ABS((C17/$C$25)-1)))))</f>
        <v>59.699274807689648</v>
      </c>
      <c r="K17" s="38">
        <f t="shared" si="1"/>
        <v>0.96278709874196589</v>
      </c>
    </row>
    <row r="18" spans="1:11">
      <c r="B18" s="4" t="s">
        <v>14</v>
      </c>
      <c r="C18" s="33">
        <v>9599956599</v>
      </c>
      <c r="D18" s="6" t="e">
        <f>MAX(D5:D11)</f>
        <v>#DIV/0!</v>
      </c>
      <c r="E18" s="7">
        <f>MAX(E5:E11)</f>
        <v>59.990638025348773</v>
      </c>
      <c r="F18" s="12">
        <f>MAX(F3:F17)</f>
        <v>59.979017221381312</v>
      </c>
      <c r="G18" s="8">
        <f>MAX(G5:G11)</f>
        <v>59.933553329229234</v>
      </c>
      <c r="H18" s="8">
        <f>MAX(H5:H11)</f>
        <v>60</v>
      </c>
      <c r="I18" s="8">
        <f>MAX(I5:I11)</f>
        <v>59.916265650732996</v>
      </c>
    </row>
    <row r="19" spans="1:11">
      <c r="B19" s="14" t="s">
        <v>5</v>
      </c>
      <c r="C19" s="33">
        <f>GEOMEAN(C3:C18)</f>
        <v>9298984880.3146305</v>
      </c>
    </row>
    <row r="21" spans="1:11" ht="24" hidden="1" customHeight="1">
      <c r="B21" s="14" t="s">
        <v>4</v>
      </c>
      <c r="C21" s="16">
        <f>MEDIAN(C5:C11)</f>
        <v>9273357730</v>
      </c>
      <c r="D21" s="15"/>
      <c r="E21" s="14"/>
      <c r="F21" s="10"/>
      <c r="G21" s="11"/>
      <c r="H21" s="12"/>
    </row>
    <row r="22" spans="1:11" ht="24.75" customHeight="1">
      <c r="D22" s="15"/>
      <c r="E22" s="14"/>
      <c r="F22" s="10"/>
      <c r="G22" s="11"/>
      <c r="H22" s="12"/>
    </row>
    <row r="23" spans="1:11" ht="27" hidden="1" customHeight="1">
      <c r="B23" s="14" t="s">
        <v>6</v>
      </c>
      <c r="C23" s="16">
        <f>(C25+C24)/2</f>
        <v>9261654013.0833321</v>
      </c>
      <c r="D23" s="15"/>
      <c r="E23" s="14"/>
      <c r="F23" s="10"/>
      <c r="G23" s="11"/>
      <c r="H23" s="12"/>
    </row>
    <row r="24" spans="1:11" ht="23.25" hidden="1" customHeight="1">
      <c r="B24" s="14" t="s">
        <v>7</v>
      </c>
      <c r="C24" s="16">
        <f>MIN(C5:C11)</f>
        <v>9234035024</v>
      </c>
      <c r="D24" s="15"/>
      <c r="E24" s="14"/>
      <c r="F24" s="10"/>
      <c r="G24" s="11"/>
      <c r="H24" s="12"/>
    </row>
    <row r="25" spans="1:11" ht="23.25" hidden="1" customHeight="1">
      <c r="B25" s="14" t="s">
        <v>12</v>
      </c>
      <c r="C25" s="16">
        <f>AVERAGE(C5:C11)</f>
        <v>9289273002.166666</v>
      </c>
      <c r="D25" s="15"/>
      <c r="E25" s="19"/>
    </row>
    <row r="26" spans="1:11" ht="14.25" customHeight="1">
      <c r="B26" s="14"/>
      <c r="C26" s="16"/>
      <c r="D26" s="15"/>
      <c r="E26" s="14"/>
    </row>
    <row r="27" spans="1:11">
      <c r="B27" s="14" t="s">
        <v>8</v>
      </c>
      <c r="C27" s="17">
        <v>60</v>
      </c>
      <c r="D27" s="15"/>
      <c r="E27" s="14"/>
    </row>
    <row r="28" spans="1:11">
      <c r="B28" s="14"/>
      <c r="C28" s="16"/>
      <c r="D28" s="15"/>
      <c r="E28" s="14"/>
    </row>
    <row r="29" spans="1:11" hidden="1">
      <c r="B29" s="14" t="s">
        <v>13</v>
      </c>
      <c r="C29" s="20"/>
      <c r="D29" s="15"/>
      <c r="E29" s="14"/>
    </row>
    <row r="30" spans="1:11">
      <c r="B30" s="14"/>
      <c r="C30" s="16"/>
      <c r="D30" s="15"/>
      <c r="E30" s="14"/>
    </row>
    <row r="31" spans="1:11">
      <c r="B31" s="14"/>
      <c r="C31" s="16"/>
      <c r="D31" s="15"/>
      <c r="E31" s="14"/>
    </row>
  </sheetData>
  <mergeCells count="1">
    <mergeCell ref="A1:H1"/>
  </mergeCells>
  <conditionalFormatting sqref="B5:B6">
    <cfRule type="cellIs" dxfId="33" priority="13" stopIfTrue="1" operator="equal">
      <formula>"NO ADMISIBLE"</formula>
    </cfRule>
  </conditionalFormatting>
  <conditionalFormatting sqref="B7">
    <cfRule type="cellIs" dxfId="32" priority="12" stopIfTrue="1" operator="equal">
      <formula>"NO ADMISIBLE"</formula>
    </cfRule>
  </conditionalFormatting>
  <conditionalFormatting sqref="B8">
    <cfRule type="cellIs" dxfId="31" priority="11" stopIfTrue="1" operator="equal">
      <formula>"NO ADMISIBLE"</formula>
    </cfRule>
  </conditionalFormatting>
  <conditionalFormatting sqref="B9">
    <cfRule type="cellIs" dxfId="30" priority="10" stopIfTrue="1" operator="equal">
      <formula>"NO ADMISIBLE"</formula>
    </cfRule>
  </conditionalFormatting>
  <conditionalFormatting sqref="B10">
    <cfRule type="cellIs" dxfId="29" priority="9" stopIfTrue="1" operator="equal">
      <formula>"NO ADMISIBLE"</formula>
    </cfRule>
  </conditionalFormatting>
  <conditionalFormatting sqref="B11:B12">
    <cfRule type="cellIs" dxfId="28" priority="8" stopIfTrue="1" operator="equal">
      <formula>"NO ADMISIBLE"</formula>
    </cfRule>
  </conditionalFormatting>
  <conditionalFormatting sqref="B13">
    <cfRule type="cellIs" dxfId="27" priority="7" stopIfTrue="1" operator="equal">
      <formula>"NO ADMISIBLE"</formula>
    </cfRule>
  </conditionalFormatting>
  <conditionalFormatting sqref="B14">
    <cfRule type="cellIs" dxfId="26" priority="6" stopIfTrue="1" operator="equal">
      <formula>"NO ADMISIBLE"</formula>
    </cfRule>
  </conditionalFormatting>
  <conditionalFormatting sqref="B15">
    <cfRule type="cellIs" dxfId="25" priority="5" stopIfTrue="1" operator="equal">
      <formula>"NO ADMISIBLE"</formula>
    </cfRule>
  </conditionalFormatting>
  <conditionalFormatting sqref="B16">
    <cfRule type="cellIs" dxfId="24" priority="4" stopIfTrue="1" operator="equal">
      <formula>"NO ADMISIBLE"</formula>
    </cfRule>
  </conditionalFormatting>
  <conditionalFormatting sqref="B17">
    <cfRule type="cellIs" dxfId="23" priority="3" stopIfTrue="1" operator="equal">
      <formula>"NO ADMISIBLE"</formula>
    </cfRule>
  </conditionalFormatting>
  <conditionalFormatting sqref="D5:D17">
    <cfRule type="cellIs" dxfId="22" priority="14" operator="equal">
      <formula>$D$18</formula>
    </cfRule>
  </conditionalFormatting>
  <conditionalFormatting sqref="E5:E17">
    <cfRule type="cellIs" dxfId="21" priority="15" operator="equal">
      <formula>$E$18</formula>
    </cfRule>
  </conditionalFormatting>
  <conditionalFormatting sqref="G5:G17">
    <cfRule type="cellIs" dxfId="20" priority="17" operator="equal">
      <formula>$G$18</formula>
    </cfRule>
  </conditionalFormatting>
  <conditionalFormatting sqref="H5:H17">
    <cfRule type="cellIs" dxfId="19" priority="18" operator="equal">
      <formula>$H$18</formula>
    </cfRule>
  </conditionalFormatting>
  <conditionalFormatting sqref="B3:B4">
    <cfRule type="cellIs" dxfId="18" priority="2" stopIfTrue="1" operator="equal">
      <formula>"NO ADMISIBLE"</formula>
    </cfRule>
  </conditionalFormatting>
  <conditionalFormatting sqref="F3:F17">
    <cfRule type="cellIs" dxfId="17" priority="1" operator="equal">
      <formula>$F$18</formula>
    </cfRule>
  </conditionalFormatting>
  <dataValidations count="1">
    <dataValidation type="list" allowBlank="1" showInputMessage="1" showErrorMessage="1" sqref="B5:B17">
      <formula1>prueba</formula1>
    </dataValidation>
  </dataValidation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L15" sqref="L15"/>
    </sheetView>
  </sheetViews>
  <sheetFormatPr baseColWidth="10" defaultRowHeight="15"/>
  <cols>
    <col min="1" max="1" width="12.85546875" style="4" customWidth="1"/>
    <col min="2" max="2" width="60.5703125" style="4" bestFit="1" customWidth="1"/>
    <col min="3" max="3" width="20.42578125" style="5" bestFit="1" customWidth="1"/>
    <col min="4" max="4" width="23.42578125" style="9" hidden="1" customWidth="1"/>
    <col min="5" max="5" width="20.5703125" style="4" hidden="1" customWidth="1"/>
    <col min="6" max="6" width="22.5703125" style="4" customWidth="1"/>
    <col min="7" max="7" width="17" style="4" hidden="1" customWidth="1"/>
    <col min="8" max="8" width="17.140625" style="4" hidden="1" customWidth="1"/>
    <col min="9" max="9" width="15.28515625" style="4" hidden="1" customWidth="1"/>
    <col min="10" max="11" width="11.42578125" style="4"/>
    <col min="12" max="12" width="18.28515625" style="4" bestFit="1" customWidth="1"/>
    <col min="13" max="16384" width="11.42578125" style="4"/>
  </cols>
  <sheetData>
    <row r="1" spans="1:12" ht="42" customHeight="1">
      <c r="A1" s="95" t="s">
        <v>21</v>
      </c>
      <c r="B1" s="96"/>
      <c r="C1" s="96"/>
      <c r="D1" s="96"/>
      <c r="E1" s="96"/>
      <c r="F1" s="96"/>
      <c r="G1" s="96"/>
      <c r="H1" s="96"/>
    </row>
    <row r="2" spans="1:12" ht="60.75" customHeight="1">
      <c r="A2" s="21" t="s">
        <v>19</v>
      </c>
      <c r="B2" s="13" t="s">
        <v>0</v>
      </c>
      <c r="C2" s="1" t="s">
        <v>1</v>
      </c>
      <c r="D2" s="2" t="s">
        <v>2</v>
      </c>
      <c r="E2" s="3" t="s">
        <v>9</v>
      </c>
      <c r="F2" s="3" t="s">
        <v>3</v>
      </c>
      <c r="G2" s="3" t="s">
        <v>10</v>
      </c>
      <c r="H2" s="3" t="s">
        <v>20</v>
      </c>
      <c r="I2" s="3" t="s">
        <v>11</v>
      </c>
    </row>
    <row r="3" spans="1:12">
      <c r="A3" s="35">
        <v>1</v>
      </c>
      <c r="B3" s="24" t="s">
        <v>33</v>
      </c>
      <c r="C3" s="44"/>
      <c r="D3" s="2"/>
      <c r="E3" s="3"/>
      <c r="F3" s="32">
        <f>$C$27*((1-(ABS($C$19-C3)/$C$19)))</f>
        <v>0</v>
      </c>
      <c r="G3" s="3"/>
      <c r="H3" s="3"/>
      <c r="I3" s="3"/>
      <c r="K3" s="38"/>
    </row>
    <row r="4" spans="1:12">
      <c r="A4" s="35">
        <v>2</v>
      </c>
      <c r="B4" s="24" t="s">
        <v>34</v>
      </c>
      <c r="C4" s="44">
        <v>9186327406</v>
      </c>
      <c r="D4" s="2"/>
      <c r="E4" s="3"/>
      <c r="F4" s="32">
        <f t="shared" ref="F4:F17" si="0">$C$27*((1-(ABS($C$19-C4)/$C$19)))</f>
        <v>59.273102698978178</v>
      </c>
      <c r="G4" s="3"/>
      <c r="H4" s="3"/>
      <c r="I4" s="3"/>
      <c r="K4" s="38"/>
    </row>
    <row r="5" spans="1:12" ht="15" customHeight="1">
      <c r="A5" s="23">
        <v>3</v>
      </c>
      <c r="B5" s="24" t="s">
        <v>32</v>
      </c>
      <c r="C5" s="44">
        <v>9242413998</v>
      </c>
      <c r="D5" s="27" t="e">
        <f>+IF(C5=$C$29,$C$27,((1-ABS(($C$29-C5)/$C$29))*$C$27))</f>
        <v>#DIV/0!</v>
      </c>
      <c r="E5" s="28">
        <f>+IF(C5=$C$21,$C$27,((1-(ABS($C$21-C5)/$C$21))*$C$27))</f>
        <v>59.799789428710113</v>
      </c>
      <c r="F5" s="32">
        <f t="shared" si="0"/>
        <v>59.634991207924671</v>
      </c>
      <c r="G5" s="30">
        <f>IF(C5&lt;=$C$23,(($C$27*((1-($C$23-C5)/$C$23)))),$C$27*((1-(ABS($C$23-C5)/$C$23))))</f>
        <v>59.875361807165135</v>
      </c>
      <c r="H5" s="29">
        <f>+($C$27*$C$24)/C5</f>
        <v>59.945605288822939</v>
      </c>
      <c r="I5" s="18">
        <f>($C$27*((1-(ABS((C5/$C$25)-1)))))</f>
        <v>59.697344415957687</v>
      </c>
      <c r="K5" s="38"/>
    </row>
    <row r="6" spans="1:12" ht="15" customHeight="1">
      <c r="A6" s="36">
        <v>4</v>
      </c>
      <c r="B6" s="24" t="s">
        <v>35</v>
      </c>
      <c r="C6" s="44"/>
      <c r="D6" s="27"/>
      <c r="E6" s="28"/>
      <c r="F6" s="32">
        <f t="shared" si="0"/>
        <v>0</v>
      </c>
      <c r="G6" s="30"/>
      <c r="H6" s="29"/>
      <c r="I6" s="18"/>
      <c r="K6" s="38"/>
    </row>
    <row r="7" spans="1:12" ht="15" customHeight="1">
      <c r="A7" s="23">
        <v>5</v>
      </c>
      <c r="B7" s="24" t="s">
        <v>22</v>
      </c>
      <c r="C7" s="44">
        <v>9274804689</v>
      </c>
      <c r="D7" s="27" t="e">
        <f>+IF(C7=$C$29,$C$27,((1-ABS(($C$29-C7)/$C$29))*$C$27))</f>
        <v>#DIV/0!</v>
      </c>
      <c r="E7" s="28">
        <f>+IF(C7=$C$21,$C$27,((1-(ABS($C$21-C7)/$C$21))*$C$27))</f>
        <v>59.990637996238661</v>
      </c>
      <c r="F7" s="32">
        <f t="shared" si="0"/>
        <v>59.843986236000845</v>
      </c>
      <c r="G7" s="30">
        <f>IF(C7&lt;=$C$23,(($C$27*((1-($C$23-C7)/$C$23)))),$C$27*((1-(ABS($C$23-C7)/$C$23))))</f>
        <v>59.914800769059134</v>
      </c>
      <c r="H7" s="29">
        <f>+($C$27*$C$24)/C7</f>
        <v>59.736255373344825</v>
      </c>
      <c r="I7" s="18">
        <f>($C$27*((1-(ABS((C7/$C$25)-1)))))</f>
        <v>59.906557965244296</v>
      </c>
      <c r="K7" s="38"/>
      <c r="L7" s="39"/>
    </row>
    <row r="8" spans="1:12" ht="15" customHeight="1">
      <c r="A8" s="37">
        <v>6</v>
      </c>
      <c r="B8" s="24" t="s">
        <v>23</v>
      </c>
      <c r="C8" s="44">
        <v>9302236856</v>
      </c>
      <c r="D8" s="27" t="e">
        <f>+IF(C8=$C$29,$C$27,((1-ABS(($C$29-C8)/$C$29))*$C$27))</f>
        <v>#DIV/0!</v>
      </c>
      <c r="E8" s="28">
        <f>+IF(C8=$C$21,$C$27,((1-(ABS($C$21-C8)/$C$21))*$C$27))</f>
        <v>59.81314780693009</v>
      </c>
      <c r="F8" s="32">
        <f t="shared" si="0"/>
        <v>59.97901270797491</v>
      </c>
      <c r="G8" s="30">
        <f>IF(C8&lt;=$C$23,(($C$27*((1-($C$23-C8)/$C$23)))),$C$27*((1-(ABS($C$23-C8)/$C$23))))</f>
        <v>59.737086275352723</v>
      </c>
      <c r="H8" s="29">
        <f>+($C$27*$C$24)/C8</f>
        <v>59.560093987785251</v>
      </c>
      <c r="I8" s="18">
        <f>($C$27*((1-(ABS((C8/$C$25)-1)))))</f>
        <v>59.916255909807234</v>
      </c>
      <c r="K8" s="38"/>
    </row>
    <row r="9" spans="1:12" ht="15" customHeight="1">
      <c r="A9" s="22">
        <v>7</v>
      </c>
      <c r="B9" s="24" t="s">
        <v>24</v>
      </c>
      <c r="C9" s="44">
        <v>9410227628</v>
      </c>
      <c r="D9" s="27" t="e">
        <f>+IF(C9=$C$29,$C$27,((1-ABS(($C$29-C9)/$C$29))*$C$27))</f>
        <v>#DIV/0!</v>
      </c>
      <c r="E9" s="28">
        <f>+IF(C9=$C$21,$C$27,((1-(ABS($C$21-C9)/$C$21))*$C$27))</f>
        <v>59.114431494585581</v>
      </c>
      <c r="F9" s="32">
        <f t="shared" si="0"/>
        <v>59.282221940957697</v>
      </c>
      <c r="G9" s="30">
        <f>IF(C9&lt;=$C$23,(($C$27*((1-($C$23-C9)/$C$23)))),$C$27*((1-(ABS($C$23-C9)/$C$23))))</f>
        <v>59.037486955658295</v>
      </c>
      <c r="H9" s="29">
        <f>+($C$27*$C$24)/C9</f>
        <v>58.876588680113912</v>
      </c>
      <c r="I9" s="18">
        <f>($C$27*((1-(ABS((C9/$C$25)-1)))))</f>
        <v>59.218736591669774</v>
      </c>
      <c r="K9" s="38"/>
    </row>
    <row r="10" spans="1:12" ht="15" customHeight="1">
      <c r="A10" s="23">
        <v>8</v>
      </c>
      <c r="B10" s="24" t="s">
        <v>25</v>
      </c>
      <c r="C10" s="44">
        <v>9234035024</v>
      </c>
      <c r="D10" s="27" t="e">
        <f>+IF(C10=$C$29,$C$27,((1-ABS(($C$29-C10)/$C$29))*$C$27))</f>
        <v>#DIV/0!</v>
      </c>
      <c r="E10" s="28">
        <f>+IF(C10=$C$21,$C$27,((1-(ABS($C$21-C10)/$C$21))*$C$27))</f>
        <v>59.745576224136379</v>
      </c>
      <c r="F10" s="32">
        <f t="shared" si="0"/>
        <v>59.580927405877979</v>
      </c>
      <c r="G10" s="30">
        <f>IF(C10&lt;=$C$23,(($C$27*((1-($C$23-C10)/$C$23)))),$C$27*((1-(ABS($C$23-C10)/$C$23))))</f>
        <v>59.821080090296427</v>
      </c>
      <c r="H10" s="29">
        <f>+($C$27*$C$24)/C10</f>
        <v>60</v>
      </c>
      <c r="I10" s="18">
        <f>($C$27*((1-(ABS((C10/$C$25)-1)))))</f>
        <v>59.64322408583196</v>
      </c>
      <c r="K10" s="38"/>
    </row>
    <row r="11" spans="1:12" ht="15" customHeight="1">
      <c r="A11" s="23">
        <v>9</v>
      </c>
      <c r="B11" s="24" t="s">
        <v>26</v>
      </c>
      <c r="C11" s="44">
        <v>9271910782</v>
      </c>
      <c r="D11" s="27" t="e">
        <f>+IF(C11=$C$29,$C$27,((1-ABS(($C$29-C11)/$C$29))*$C$27))</f>
        <v>#DIV/0!</v>
      </c>
      <c r="E11" s="28">
        <f>+IF(C11=$C$21,$C$27,((1-(ABS($C$21-C11)/$C$21))*$C$27))</f>
        <v>59.990637996238661</v>
      </c>
      <c r="F11" s="32">
        <f t="shared" si="0"/>
        <v>59.825313828712133</v>
      </c>
      <c r="G11" s="30">
        <f>IF(C11&lt;=$C$23,(($C$27*((1-($C$23-C11)/$C$23)))),$C$27*((1-(ABS($C$23-C11)/$C$23))))</f>
        <v>59.933548439169861</v>
      </c>
      <c r="H11" s="29">
        <f>+($C$27*$C$24)/C11</f>
        <v>59.754899984109876</v>
      </c>
      <c r="I11" s="18">
        <f>($C$27*((1-(ABS((C11/$C$25)-1)))))</f>
        <v>59.887866034443086</v>
      </c>
      <c r="K11" s="38"/>
    </row>
    <row r="12" spans="1:12" ht="15" customHeight="1">
      <c r="A12" s="36">
        <v>10</v>
      </c>
      <c r="B12" s="24" t="s">
        <v>36</v>
      </c>
      <c r="C12" s="44"/>
      <c r="D12" s="27"/>
      <c r="E12" s="28"/>
      <c r="F12" s="32">
        <f t="shared" si="0"/>
        <v>0</v>
      </c>
      <c r="G12" s="30"/>
      <c r="H12" s="29"/>
      <c r="I12" s="18"/>
      <c r="K12" s="38"/>
    </row>
    <row r="13" spans="1:12" ht="15" customHeight="1">
      <c r="A13" s="23">
        <v>12</v>
      </c>
      <c r="B13" s="24" t="s">
        <v>27</v>
      </c>
      <c r="C13" s="44">
        <v>9339540413</v>
      </c>
      <c r="D13" s="27" t="e">
        <f>+IF(C13=$C$29,$C$27,((1-ABS(($C$29-C13)/$C$29))*$C$27))</f>
        <v>#DIV/0!</v>
      </c>
      <c r="E13" s="28">
        <f>+IF(C13=$C$21,$C$27,((1-(ABS($C$21-C13)/$C$21))*$C$27))</f>
        <v>59.571788260168326</v>
      </c>
      <c r="F13" s="32">
        <f t="shared" si="0"/>
        <v>59.738318307767265</v>
      </c>
      <c r="G13" s="30">
        <f>IF(C13&lt;=$C$23,(($C$27*((1-($C$23-C13)/$C$23)))),$C$27*((1-(ABS($C$23-C13)/$C$23))))</f>
        <v>59.495421708871227</v>
      </c>
      <c r="H13" s="29">
        <f>+($C$27*$C$24)/C13</f>
        <v>59.32220183648559</v>
      </c>
      <c r="I13" s="18">
        <f>($C$27*((1-(ABS((C13/$C$25)-1)))))</f>
        <v>59.675309844130979</v>
      </c>
      <c r="K13" s="38"/>
    </row>
    <row r="14" spans="1:12" ht="15" customHeight="1">
      <c r="A14" s="23">
        <v>14</v>
      </c>
      <c r="B14" s="24" t="s">
        <v>28</v>
      </c>
      <c r="C14" s="44">
        <v>9363759592</v>
      </c>
      <c r="D14" s="27" t="e">
        <f>+IF(C14=$C$29,$C$27,((1-ABS(($C$29-C14)/$C$29))*$C$27))</f>
        <v>#DIV/0!</v>
      </c>
      <c r="E14" s="28">
        <f>+IF(C14=$C$21,$C$27,((1-(ABS($C$21-C14)/$C$21))*$C$27))</f>
        <v>59.415086579779448</v>
      </c>
      <c r="F14" s="32">
        <f t="shared" si="0"/>
        <v>59.582048471008093</v>
      </c>
      <c r="G14" s="30">
        <f>IF(C14&lt;=$C$23,(($C$27*((1-($C$23-C14)/$C$23)))),$C$27*((1-(ABS($C$23-C14)/$C$23))))</f>
        <v>59.338521995699828</v>
      </c>
      <c r="H14" s="29">
        <f>+($C$27*$C$24)/C14</f>
        <v>59.168766134635725</v>
      </c>
      <c r="I14" s="18">
        <f>($C$27*((1-(ABS((C14/$C$25)-1)))))</f>
        <v>59.518876614614577</v>
      </c>
      <c r="K14" s="38"/>
    </row>
    <row r="15" spans="1:12" ht="15" customHeight="1">
      <c r="A15" s="23">
        <v>15</v>
      </c>
      <c r="B15" s="24" t="s">
        <v>29</v>
      </c>
      <c r="C15" s="44">
        <v>9242573870</v>
      </c>
      <c r="D15" s="27" t="e">
        <f>+IF(C15=$C$29,$C$27,((1-ABS(($C$29-C15)/$C$29))*$C$27))</f>
        <v>#DIV/0!</v>
      </c>
      <c r="E15" s="28">
        <f>+IF(C15=$C$21,$C$27,((1-(ABS($C$21-C15)/$C$21))*$C$27))</f>
        <v>59.800823824262785</v>
      </c>
      <c r="F15" s="32">
        <f t="shared" si="0"/>
        <v>59.636022752856164</v>
      </c>
      <c r="G15" s="30">
        <f>IF(C15&lt;=$C$23,(($C$27*((1-($C$23-C15)/$C$23)))),$C$27*((1-(ABS($C$23-C15)/$C$23))))</f>
        <v>59.876397509942016</v>
      </c>
      <c r="H15" s="29">
        <f>+($C$27*$C$24)/C15</f>
        <v>59.944568388935146</v>
      </c>
      <c r="I15" s="18">
        <f>($C$27*((1-(ABS((C15/$C$25)-1)))))</f>
        <v>59.698377039452858</v>
      </c>
      <c r="K15" s="38"/>
    </row>
    <row r="16" spans="1:12" ht="15" customHeight="1">
      <c r="A16" s="23">
        <v>17</v>
      </c>
      <c r="B16" s="24" t="s">
        <v>30</v>
      </c>
      <c r="C16" s="44">
        <v>9184250678</v>
      </c>
      <c r="D16" s="27" t="e">
        <f>+IF(C16=$C$29,$C$27,((1-ABS(($C$29-C16)/$C$29))*$C$27))</f>
        <v>#DIV/0!</v>
      </c>
      <c r="E16" s="28">
        <f>+IF(C16=$C$21,$C$27,((1-(ABS($C$21-C16)/$C$21))*$C$27))</f>
        <v>59.423464121357789</v>
      </c>
      <c r="F16" s="32">
        <f t="shared" si="0"/>
        <v>59.259702990195592</v>
      </c>
      <c r="G16" s="30">
        <f>IF(C16&lt;=$C$23,(($C$27*((1-($C$23-C16)/$C$23)))),$C$27*((1-(ABS($C$23-C16)/$C$23))))</f>
        <v>59.498560916222623</v>
      </c>
      <c r="H16" s="29">
        <f>+($C$27*$C$24)/C16</f>
        <v>60.325237285514781</v>
      </c>
      <c r="I16" s="18">
        <f>($C$27*((1-(ABS((C16/$C$25)-1)))))</f>
        <v>59.321663804034557</v>
      </c>
      <c r="K16" s="38"/>
    </row>
    <row r="17" spans="1:11" ht="15" customHeight="1">
      <c r="A17" s="22">
        <v>19</v>
      </c>
      <c r="B17" s="24" t="s">
        <v>31</v>
      </c>
      <c r="C17" s="44">
        <v>9242714360</v>
      </c>
      <c r="D17" s="27" t="e">
        <f>+IF(C17=$C$29,$C$27,((1-ABS(($C$29-C17)/$C$29))*$C$27))</f>
        <v>#DIV/0!</v>
      </c>
      <c r="E17" s="28">
        <f>+IF(C17=$C$21,$C$27,((1-(ABS($C$21-C17)/$C$21))*$C$27))</f>
        <v>59.801732815400669</v>
      </c>
      <c r="F17" s="32">
        <f t="shared" si="0"/>
        <v>59.636929238966459</v>
      </c>
      <c r="G17" s="30">
        <f>IF(C17&lt;=$C$23,(($C$27*((1-($C$23-C17)/$C$23)))),$C$27*((1-(ABS($C$23-C17)/$C$23))))</f>
        <v>59.87730764982345</v>
      </c>
      <c r="H17" s="29">
        <f>+($C$27*$C$24)/C17</f>
        <v>59.943657226685083</v>
      </c>
      <c r="I17" s="18">
        <f>($C$27*((1-(ABS((C17/$C$25)-1)))))</f>
        <v>59.699284473367719</v>
      </c>
      <c r="K17" s="38"/>
    </row>
    <row r="18" spans="1:11">
      <c r="B18" s="4" t="s">
        <v>14</v>
      </c>
      <c r="C18" s="33">
        <v>9599956599</v>
      </c>
      <c r="D18" s="6" t="e">
        <f>MAX(D5:D11)</f>
        <v>#DIV/0!</v>
      </c>
      <c r="E18" s="7">
        <f>MAX(E5:E11)</f>
        <v>59.990637996238661</v>
      </c>
      <c r="F18" s="12">
        <f>MAX(F3:F17)</f>
        <v>59.97901270797491</v>
      </c>
      <c r="G18" s="8">
        <f>MAX(G5:G11)</f>
        <v>59.933548439169861</v>
      </c>
      <c r="H18" s="8">
        <f>MAX(H5:H11)</f>
        <v>60</v>
      </c>
      <c r="I18" s="8">
        <f>MAX(I5:I11)</f>
        <v>59.916255909807234</v>
      </c>
    </row>
    <row r="19" spans="1:11">
      <c r="B19" s="14" t="s">
        <v>5</v>
      </c>
      <c r="C19" s="33">
        <f>GEOMEAN(C3:C18)</f>
        <v>9298984181.0575905</v>
      </c>
    </row>
    <row r="21" spans="1:11" ht="24" hidden="1" customHeight="1">
      <c r="B21" s="14" t="s">
        <v>4</v>
      </c>
      <c r="C21" s="16">
        <f>MEDIAN(C5:C11)</f>
        <v>9273357735.5</v>
      </c>
      <c r="D21" s="15"/>
      <c r="E21" s="14"/>
      <c r="F21" s="10"/>
      <c r="G21" s="11"/>
      <c r="H21" s="12"/>
    </row>
    <row r="22" spans="1:11" ht="24.75" customHeight="1">
      <c r="D22" s="15"/>
      <c r="E22" s="14"/>
      <c r="F22" s="10"/>
      <c r="G22" s="11"/>
      <c r="H22" s="12"/>
    </row>
    <row r="23" spans="1:11" ht="27" hidden="1" customHeight="1">
      <c r="B23" s="14" t="s">
        <v>6</v>
      </c>
      <c r="C23" s="16">
        <f>(C25+C24)/2</f>
        <v>9261653260.0833321</v>
      </c>
      <c r="D23" s="15"/>
      <c r="E23" s="14"/>
      <c r="F23" s="10"/>
      <c r="G23" s="11"/>
      <c r="H23" s="12"/>
    </row>
    <row r="24" spans="1:11" ht="23.25" hidden="1" customHeight="1">
      <c r="B24" s="14" t="s">
        <v>7</v>
      </c>
      <c r="C24" s="16">
        <f>MIN(C5:C11)</f>
        <v>9234035024</v>
      </c>
      <c r="D24" s="15"/>
      <c r="E24" s="14"/>
      <c r="F24" s="10"/>
      <c r="G24" s="11"/>
      <c r="H24" s="12"/>
    </row>
    <row r="25" spans="1:11" ht="23.25" hidden="1" customHeight="1">
      <c r="B25" s="14" t="s">
        <v>12</v>
      </c>
      <c r="C25" s="16">
        <f>AVERAGE(C5:C11)</f>
        <v>9289271496.166666</v>
      </c>
      <c r="D25" s="15"/>
      <c r="E25" s="19"/>
    </row>
    <row r="26" spans="1:11" ht="14.25" customHeight="1">
      <c r="B26" s="14"/>
      <c r="C26" s="16"/>
      <c r="D26" s="15"/>
      <c r="E26" s="14"/>
    </row>
    <row r="27" spans="1:11">
      <c r="B27" s="14" t="s">
        <v>8</v>
      </c>
      <c r="C27" s="17">
        <v>60</v>
      </c>
      <c r="D27" s="15"/>
      <c r="E27" s="14"/>
    </row>
    <row r="28" spans="1:11">
      <c r="B28" s="14"/>
      <c r="C28" s="16"/>
      <c r="D28" s="15"/>
      <c r="E28" s="14"/>
    </row>
    <row r="29" spans="1:11" hidden="1">
      <c r="B29" s="14" t="s">
        <v>13</v>
      </c>
      <c r="C29" s="20"/>
      <c r="D29" s="15"/>
      <c r="E29" s="14"/>
    </row>
    <row r="30" spans="1:11">
      <c r="B30" s="14"/>
      <c r="C30" s="16"/>
      <c r="D30" s="15"/>
      <c r="E30" s="14"/>
    </row>
    <row r="31" spans="1:11">
      <c r="B31" s="14"/>
      <c r="C31" s="16"/>
      <c r="D31" s="15"/>
      <c r="E31" s="14"/>
    </row>
  </sheetData>
  <mergeCells count="1">
    <mergeCell ref="A1:H1"/>
  </mergeCells>
  <conditionalFormatting sqref="F3:F17">
    <cfRule type="cellIs" dxfId="16" priority="1" operator="equal">
      <formula>$F$18</formula>
    </cfRule>
  </conditionalFormatting>
  <conditionalFormatting sqref="B5:B6">
    <cfRule type="cellIs" dxfId="15" priority="13" stopIfTrue="1" operator="equal">
      <formula>"NO ADMISIBLE"</formula>
    </cfRule>
  </conditionalFormatting>
  <conditionalFormatting sqref="B7">
    <cfRule type="cellIs" dxfId="14" priority="12" stopIfTrue="1" operator="equal">
      <formula>"NO ADMISIBLE"</formula>
    </cfRule>
  </conditionalFormatting>
  <conditionalFormatting sqref="B8">
    <cfRule type="cellIs" dxfId="13" priority="11" stopIfTrue="1" operator="equal">
      <formula>"NO ADMISIBLE"</formula>
    </cfRule>
  </conditionalFormatting>
  <conditionalFormatting sqref="B9">
    <cfRule type="cellIs" dxfId="12" priority="10" stopIfTrue="1" operator="equal">
      <formula>"NO ADMISIBLE"</formula>
    </cfRule>
  </conditionalFormatting>
  <conditionalFormatting sqref="B10">
    <cfRule type="cellIs" dxfId="11" priority="9" stopIfTrue="1" operator="equal">
      <formula>"NO ADMISIBLE"</formula>
    </cfRule>
  </conditionalFormatting>
  <conditionalFormatting sqref="B11:B12">
    <cfRule type="cellIs" dxfId="10" priority="8" stopIfTrue="1" operator="equal">
      <formula>"NO ADMISIBLE"</formula>
    </cfRule>
  </conditionalFormatting>
  <conditionalFormatting sqref="B13">
    <cfRule type="cellIs" dxfId="9" priority="7" stopIfTrue="1" operator="equal">
      <formula>"NO ADMISIBLE"</formula>
    </cfRule>
  </conditionalFormatting>
  <conditionalFormatting sqref="B14">
    <cfRule type="cellIs" dxfId="8" priority="6" stopIfTrue="1" operator="equal">
      <formula>"NO ADMISIBLE"</formula>
    </cfRule>
  </conditionalFormatting>
  <conditionalFormatting sqref="B15">
    <cfRule type="cellIs" dxfId="7" priority="5" stopIfTrue="1" operator="equal">
      <formula>"NO ADMISIBLE"</formula>
    </cfRule>
  </conditionalFormatting>
  <conditionalFormatting sqref="B16">
    <cfRule type="cellIs" dxfId="6" priority="4" stopIfTrue="1" operator="equal">
      <formula>"NO ADMISIBLE"</formula>
    </cfRule>
  </conditionalFormatting>
  <conditionalFormatting sqref="B17">
    <cfRule type="cellIs" dxfId="5" priority="3" stopIfTrue="1" operator="equal">
      <formula>"NO ADMISIBLE"</formula>
    </cfRule>
  </conditionalFormatting>
  <conditionalFormatting sqref="D5:D17">
    <cfRule type="cellIs" dxfId="4" priority="14" operator="equal">
      <formula>$D$18</formula>
    </cfRule>
  </conditionalFormatting>
  <conditionalFormatting sqref="E5:E17">
    <cfRule type="cellIs" dxfId="3" priority="15" operator="equal">
      <formula>$E$18</formula>
    </cfRule>
  </conditionalFormatting>
  <conditionalFormatting sqref="G5:G17">
    <cfRule type="cellIs" dxfId="2" priority="16" operator="equal">
      <formula>$G$18</formula>
    </cfRule>
  </conditionalFormatting>
  <conditionalFormatting sqref="H5:H17">
    <cfRule type="cellIs" dxfId="1" priority="17" operator="equal">
      <formula>$H$18</formula>
    </cfRule>
  </conditionalFormatting>
  <conditionalFormatting sqref="B3:B4">
    <cfRule type="cellIs" dxfId="0" priority="2" stopIfTrue="1" operator="equal">
      <formula>"NO ADMISIBLE"</formula>
    </cfRule>
  </conditionalFormatting>
  <dataValidations count="1">
    <dataValidation type="list" allowBlank="1" showInputMessage="1" showErrorMessage="1" sqref="B5:B17">
      <formula1>prueba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PUNTAJE MET EVA</vt:lpstr>
      <vt:lpstr>correcion Aritmetica</vt:lpstr>
      <vt:lpstr>ORDEN ELIGIBILIDAD</vt:lpstr>
      <vt:lpstr>Hoja4</vt:lpstr>
      <vt:lpstr>Hoja3</vt:lpstr>
      <vt:lpstr>Hoja2</vt:lpstr>
      <vt:lpstr>Hoja1</vt:lpstr>
      <vt:lpstr>'PUNTAJE MET EVA'!Área_de_impresión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Alberto Martínez Mora</dc:creator>
  <cp:lastModifiedBy>Juan Alberto Martínez Mora</cp:lastModifiedBy>
  <cp:lastPrinted>2023-05-17T14:04:34Z</cp:lastPrinted>
  <dcterms:created xsi:type="dcterms:W3CDTF">2020-10-28T16:14:21Z</dcterms:created>
  <dcterms:modified xsi:type="dcterms:W3CDTF">2023-07-07T21:49:17Z</dcterms:modified>
</cp:coreProperties>
</file>