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5022B3EB-BCE5-7840-4BB8-8062D341818C}"/>
  <workbookPr codeName="EsteLibro"/>
  <mc:AlternateContent xmlns:mc="http://schemas.openxmlformats.org/markup-compatibility/2006">
    <mc:Choice Requires="x15">
      <x15ac:absPath xmlns:x15ac="http://schemas.microsoft.com/office/spreadsheetml/2010/11/ac" url="C:\1. DT-VALLE-2023\12. MONTO AGOTABLE\SA-MC-DT-VAL-001-2023\5. Evaluacion\Publicar\"/>
    </mc:Choice>
  </mc:AlternateContent>
  <xr:revisionPtr revIDLastSave="0" documentId="13_ncr:1_{772C684F-4D83-47FD-ADFA-2779B84349EA}" xr6:coauthVersionLast="47" xr6:coauthVersionMax="47" xr10:uidLastSave="{00000000-0000-0000-0000-000000000000}"/>
  <bookViews>
    <workbookView xWindow="-120" yWindow="-120" windowWidth="29040" windowHeight="15720" tabRatio="692" firstSheet="3" activeTab="3" xr2:uid="{00000000-000D-0000-FFFF-FFFF00000000}"/>
  </bookViews>
  <sheets>
    <sheet name="Verificaciones" sheetId="1" state="hidden" r:id="rId1"/>
    <sheet name="POA" sheetId="6" state="hidden" r:id="rId2"/>
    <sheet name="Puntajes" sheetId="14" state="hidden" r:id="rId3"/>
    <sheet name="Capacidad Financiera" sheetId="4" r:id="rId4"/>
    <sheet name="Puntaje Exp" sheetId="17" r:id="rId5"/>
    <sheet name="Puntaje CT" sheetId="16" r:id="rId6"/>
    <sheet name="Puntaje CF" sheetId="18" r:id="rId7"/>
    <sheet name="Saldo CtosEjecución" sheetId="19" r:id="rId8"/>
    <sheet name="Cap Organización" sheetId="20" r:id="rId9"/>
    <sheet name="Capacidad Residual" sheetId="5" r:id="rId10"/>
    <sheet name="PO" sheetId="7" state="hidden" r:id="rId11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Financiera'!$B$1:$AC$11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Financiera'!$B$1:$AC$11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20" l="1"/>
  <c r="I10" i="5"/>
  <c r="Q19" i="5" l="1"/>
  <c r="K19" i="5"/>
  <c r="M19" i="5"/>
  <c r="N19" i="5" s="1"/>
  <c r="Q15" i="5"/>
  <c r="O15" i="5"/>
  <c r="M15" i="5"/>
  <c r="N15" i="5" s="1"/>
  <c r="N14" i="5" s="1"/>
  <c r="K15" i="5"/>
  <c r="O14" i="5"/>
  <c r="P14" i="5" s="1"/>
  <c r="O10" i="5"/>
  <c r="P10" i="5" s="1"/>
  <c r="O11" i="5"/>
  <c r="Q11" i="5"/>
  <c r="K11" i="5"/>
  <c r="E9" i="20"/>
  <c r="M18" i="4"/>
  <c r="L18" i="4"/>
  <c r="H18" i="4"/>
  <c r="G18" i="4"/>
  <c r="F15" i="4"/>
  <c r="F18" i="4"/>
  <c r="E18" i="4"/>
  <c r="T18" i="4" s="1"/>
  <c r="K16" i="4"/>
  <c r="K19" i="4"/>
  <c r="F12" i="16"/>
  <c r="F9" i="16"/>
  <c r="E12" i="20"/>
  <c r="K18" i="4" l="1"/>
  <c r="AH18" i="4" s="1"/>
  <c r="L15" i="4"/>
  <c r="H17" i="4"/>
  <c r="G17" i="4"/>
  <c r="F17" i="4"/>
  <c r="K17" i="4" s="1"/>
  <c r="E17" i="4"/>
  <c r="C18" i="4"/>
  <c r="D15" i="4"/>
  <c r="L20" i="4"/>
  <c r="K20" i="4"/>
  <c r="J20" i="4"/>
  <c r="J19" i="4"/>
  <c r="I20" i="4"/>
  <c r="I19" i="4"/>
  <c r="J16" i="4"/>
  <c r="M15" i="4"/>
  <c r="E15" i="4"/>
  <c r="AD15" i="4"/>
  <c r="AE15" i="4" s="1"/>
  <c r="G15" i="4"/>
  <c r="H15" i="4"/>
  <c r="K15" i="4" s="1"/>
  <c r="I16" i="4"/>
  <c r="I15" i="4" s="1"/>
  <c r="C15" i="4"/>
  <c r="L12" i="4"/>
  <c r="H12" i="4"/>
  <c r="G12" i="4"/>
  <c r="F12" i="4"/>
  <c r="E12" i="4"/>
  <c r="M14" i="4"/>
  <c r="M13" i="4"/>
  <c r="M12" i="4" s="1"/>
  <c r="L14" i="4"/>
  <c r="K14" i="4"/>
  <c r="K13" i="4"/>
  <c r="K12" i="4" s="1"/>
  <c r="J14" i="4"/>
  <c r="J13" i="4"/>
  <c r="J12" i="4" s="1"/>
  <c r="I14" i="4"/>
  <c r="I13" i="4"/>
  <c r="I12" i="4" s="1"/>
  <c r="J17" i="4" l="1"/>
  <c r="I17" i="4"/>
  <c r="J15" i="4"/>
  <c r="Z18" i="4"/>
  <c r="R18" i="4"/>
  <c r="O18" i="4"/>
  <c r="S18" i="4" l="1"/>
  <c r="U18" i="4"/>
  <c r="V12" i="4"/>
  <c r="Z15" i="4"/>
  <c r="R15" i="4"/>
  <c r="S15" i="4" s="1"/>
  <c r="O15" i="4"/>
  <c r="H2" i="6"/>
  <c r="D18" i="4"/>
  <c r="M20" i="5"/>
  <c r="N20" i="5" s="1"/>
  <c r="F20" i="5"/>
  <c r="G20" i="5" s="1"/>
  <c r="F19" i="5"/>
  <c r="I19" i="5" s="1"/>
  <c r="J19" i="5" s="1"/>
  <c r="O18" i="5"/>
  <c r="P18" i="5" s="1"/>
  <c r="F18" i="5"/>
  <c r="G18" i="5" s="1"/>
  <c r="F15" i="5"/>
  <c r="I15" i="5" s="1"/>
  <c r="J15" i="5" s="1"/>
  <c r="F14" i="5"/>
  <c r="G14" i="5" s="1"/>
  <c r="F13" i="16"/>
  <c r="O19" i="5" s="1"/>
  <c r="Q18" i="4" l="1"/>
  <c r="Q15" i="4"/>
  <c r="AA15" i="4"/>
  <c r="AJ15" i="4"/>
  <c r="I14" i="5"/>
  <c r="H20" i="5"/>
  <c r="H18" i="5"/>
  <c r="H14" i="5"/>
  <c r="I18" i="5"/>
  <c r="G19" i="5"/>
  <c r="I20" i="5"/>
  <c r="J20" i="5" s="1"/>
  <c r="H19" i="5"/>
  <c r="AJ18" i="4"/>
  <c r="AK18" i="4" s="1"/>
  <c r="G15" i="5"/>
  <c r="H15" i="5"/>
  <c r="N18" i="5"/>
  <c r="F11" i="16"/>
  <c r="F12" i="5"/>
  <c r="G12" i="5" s="1"/>
  <c r="M12" i="5"/>
  <c r="N12" i="5" s="1"/>
  <c r="AA18" i="4" l="1"/>
  <c r="I18" i="4"/>
  <c r="V18" i="4"/>
  <c r="W18" i="4" s="1"/>
  <c r="X18" i="4"/>
  <c r="Y18" i="4" s="1"/>
  <c r="AH15" i="4"/>
  <c r="AI15" i="4" s="1"/>
  <c r="AF15" i="4"/>
  <c r="AK15" i="4"/>
  <c r="T15" i="4"/>
  <c r="V15" i="4"/>
  <c r="X15" i="4"/>
  <c r="J14" i="5"/>
  <c r="J18" i="5"/>
  <c r="J18" i="4"/>
  <c r="H12" i="5"/>
  <c r="I12" i="5"/>
  <c r="J12" i="5" s="1"/>
  <c r="AC18" i="4" l="1"/>
  <c r="AI18" i="4"/>
  <c r="AL18" i="4" s="1"/>
  <c r="AF18" i="4"/>
  <c r="AG18" i="4" s="1"/>
  <c r="U15" i="4"/>
  <c r="Y15" i="4"/>
  <c r="AG15" i="4"/>
  <c r="W15" i="4"/>
  <c r="AL15" i="4"/>
  <c r="AC15" i="4" l="1"/>
  <c r="H5" i="6" l="1"/>
  <c r="H4" i="6"/>
  <c r="H3" i="6"/>
  <c r="R12" i="4"/>
  <c r="W12" i="4" l="1"/>
  <c r="S12" i="4"/>
  <c r="O12" i="4"/>
  <c r="D12" i="19" l="1"/>
  <c r="D13" i="16"/>
  <c r="D11" i="16"/>
  <c r="D15" i="19"/>
  <c r="D14" i="20"/>
  <c r="D12" i="18"/>
  <c r="D15" i="18"/>
  <c r="E15" i="18" s="1"/>
  <c r="E13" i="17"/>
  <c r="D13" i="17"/>
  <c r="D11" i="17"/>
  <c r="G11" i="17" s="1"/>
  <c r="E11" i="17"/>
  <c r="E15" i="5"/>
  <c r="F14" i="16"/>
  <c r="D15" i="5"/>
  <c r="D13" i="18"/>
  <c r="D16" i="18"/>
  <c r="D12" i="20"/>
  <c r="E18" i="5"/>
  <c r="D18" i="5"/>
  <c r="E14" i="5"/>
  <c r="D14" i="5"/>
  <c r="T12" i="4"/>
  <c r="U12" i="4" s="1"/>
  <c r="Z12" i="4"/>
  <c r="Q12" i="4"/>
  <c r="F12" i="18" l="1"/>
  <c r="E12" i="18"/>
  <c r="F15" i="18"/>
  <c r="G13" i="17"/>
  <c r="H13" i="17" s="1"/>
  <c r="I13" i="17" s="1"/>
  <c r="L19" i="5" s="1"/>
  <c r="AJ12" i="4"/>
  <c r="AK12" i="4" s="1"/>
  <c r="G14" i="17"/>
  <c r="H11" i="17"/>
  <c r="I11" i="17" s="1"/>
  <c r="L15" i="5" s="1"/>
  <c r="F13" i="18"/>
  <c r="E13" i="18"/>
  <c r="E16" i="18"/>
  <c r="F16" i="18"/>
  <c r="AA12" i="4"/>
  <c r="AF12" i="4"/>
  <c r="X12" i="4"/>
  <c r="Y12" i="4" s="1"/>
  <c r="G15" i="18" l="1"/>
  <c r="H15" i="18" s="1"/>
  <c r="G12" i="18"/>
  <c r="H12" i="18" s="1"/>
  <c r="AH12" i="4"/>
  <c r="AI12" i="4" s="1"/>
  <c r="AL12" i="4" s="1"/>
  <c r="I14" i="17"/>
  <c r="G13" i="18"/>
  <c r="H13" i="18" s="1"/>
  <c r="G16" i="18"/>
  <c r="H16" i="18" s="1"/>
  <c r="AG12" i="4"/>
  <c r="P19" i="5" l="1"/>
  <c r="R19" i="5" s="1"/>
  <c r="P15" i="5"/>
  <c r="R15" i="5" s="1"/>
  <c r="R14" i="5" s="1"/>
  <c r="S14" i="5" s="1"/>
  <c r="AC12" i="4"/>
  <c r="F11" i="5"/>
  <c r="G11" i="5" s="1"/>
  <c r="H11" i="5" l="1"/>
  <c r="C9" i="20" l="1"/>
  <c r="D9" i="20" s="1"/>
  <c r="C4" i="20"/>
  <c r="C9" i="19" l="1"/>
  <c r="D9" i="19" s="1"/>
  <c r="C4" i="19"/>
  <c r="C9" i="18" l="1"/>
  <c r="D9" i="18" s="1"/>
  <c r="C4" i="18"/>
  <c r="E9" i="18" l="1"/>
  <c r="F9" i="18"/>
  <c r="C9" i="17"/>
  <c r="D9" i="17" s="1"/>
  <c r="C4" i="17"/>
  <c r="E9" i="17" l="1"/>
  <c r="G9" i="17" s="1"/>
  <c r="C4" i="16"/>
  <c r="C4" i="5"/>
  <c r="H9" i="17" l="1"/>
  <c r="C9" i="16"/>
  <c r="D9" i="16" s="1"/>
  <c r="I11" i="5" l="1"/>
  <c r="F10" i="5"/>
  <c r="G10" i="5" l="1"/>
  <c r="H10" i="5"/>
  <c r="J11" i="5"/>
  <c r="J10" i="5" l="1"/>
  <c r="Q20" i="5" l="1"/>
  <c r="D10" i="19"/>
  <c r="G9" i="18"/>
  <c r="D10" i="18"/>
  <c r="E10" i="18" s="1"/>
  <c r="F10" i="16"/>
  <c r="I9" i="17"/>
  <c r="L11" i="5" s="1"/>
  <c r="F10" i="18" l="1"/>
  <c r="G10" i="18" s="1"/>
  <c r="H10" i="18" s="1"/>
  <c r="H9" i="18"/>
  <c r="P11" i="5" s="1"/>
  <c r="R11" i="5" s="1"/>
  <c r="R10" i="5" s="1"/>
  <c r="S10" i="5" s="1"/>
  <c r="P20" i="5" l="1"/>
  <c r="P12" i="5"/>
  <c r="M11" i="5" l="1"/>
  <c r="N11" i="5" s="1"/>
  <c r="C10" i="5"/>
  <c r="D10" i="5" s="1"/>
  <c r="B101" i="7"/>
  <c r="H8" i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M19" i="1"/>
  <c r="V19" i="1"/>
  <c r="W19" i="1"/>
  <c r="H20" i="1"/>
  <c r="T20" i="1" s="1"/>
  <c r="K20" i="1"/>
  <c r="M20" i="1" s="1"/>
  <c r="R20" i="1"/>
  <c r="V20" i="1" s="1"/>
  <c r="W20" i="1"/>
  <c r="H21" i="1"/>
  <c r="T21" i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21" i="1"/>
  <c r="U11" i="1"/>
  <c r="U9" i="1"/>
  <c r="U18" i="1"/>
  <c r="L8" i="1" l="1"/>
  <c r="U25" i="1"/>
  <c r="U12" i="1"/>
  <c r="U20" i="1"/>
  <c r="U16" i="1"/>
  <c r="U24" i="1"/>
  <c r="M17" i="1"/>
  <c r="M14" i="1"/>
  <c r="U23" i="1"/>
  <c r="M30" i="1"/>
  <c r="E10" i="5"/>
  <c r="T8" i="1"/>
  <c r="D11" i="20"/>
  <c r="N10" i="5"/>
  <c r="V8" i="1"/>
  <c r="M8" i="1"/>
  <c r="U29" i="1"/>
  <c r="M28" i="1"/>
  <c r="U13" i="1"/>
  <c r="U26" i="1"/>
  <c r="O12" i="5" l="1"/>
  <c r="K12" i="5"/>
  <c r="K20" i="5"/>
  <c r="O20" i="5"/>
  <c r="F11" i="18"/>
  <c r="E11" i="18"/>
  <c r="G11" i="18" l="1"/>
  <c r="H11" i="18"/>
  <c r="L20" i="5" l="1"/>
  <c r="R20" i="5" s="1"/>
  <c r="R18" i="5" s="1"/>
  <c r="S18" i="5" s="1"/>
  <c r="L12" i="5"/>
  <c r="R12" i="5" s="1"/>
</calcChain>
</file>

<file path=xl/sharedStrings.xml><?xml version="1.0" encoding="utf-8"?>
<sst xmlns="http://schemas.openxmlformats.org/spreadsheetml/2006/main" count="324" uniqueCount="258">
  <si>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</si>
  <si>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</si>
  <si>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</si>
  <si>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</si>
  <si>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</si>
  <si>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</si>
  <si>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</si>
  <si>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</si>
  <si>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</si>
  <si>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</si>
  <si>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</si>
  <si>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</si>
  <si>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</si>
  <si>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</si>
  <si>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</si>
  <si>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</si>
  <si>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</si>
  <si>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</si>
  <si>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</si>
  <si>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</si>
  <si>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</si>
  <si>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</si>
  <si>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</si>
  <si>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</si>
  <si>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</si>
  <si>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</si>
  <si>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</si>
  <si>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</si>
  <si>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</si>
  <si>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</si>
  <si>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</si>
  <si>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</si>
  <si>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</si>
  <si>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</si>
  <si>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</si>
  <si>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</si>
  <si>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</si>
  <si>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</si>
  <si>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</si>
  <si>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</si>
  <si>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</si>
  <si>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</si>
  <si>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</si>
  <si>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</si>
  <si>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</si>
  <si>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</si>
  <si>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</si>
  <si>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</si>
  <si>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</si>
  <si>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</si>
  <si>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</si>
  <si>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</si>
  <si>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</si>
  <si>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</si>
  <si>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</si>
  <si>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</si>
  <si>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</si>
  <si>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</si>
  <si>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</si>
  <si>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</si>
  <si>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</si>
  <si>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</si>
  <si>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</si>
  <si>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</si>
  <si>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</si>
  <si>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</si>
  <si>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</si>
  <si>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</si>
  <si>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</si>
  <si>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</si>
  <si>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</si>
  <si>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</si>
  <si>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</si>
  <si>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</si>
  <si>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</si>
  <si>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</si>
  <si>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</si>
  <si>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</si>
  <si>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</si>
  <si>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</si>
  <si>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</si>
  <si>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</si>
  <si>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</si>
  <si>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</si>
  <si>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</si>
  <si>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</si>
  <si>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</si>
  <si>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</si>
  <si>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</si>
  <si>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</si>
  <si>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</si>
  <si>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</si>
  <si>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</si>
  <si>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</si>
  <si>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</si>
  <si>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</si>
  <si>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</si>
  <si>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</si>
  <si>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</si>
  <si>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</si>
  <si>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</si>
  <si>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</si>
  <si>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</si>
  <si>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</si>
  <si>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</si>
  <si>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</si>
  <si>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</si>
  <si>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</si>
  <si>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</si>
  <si>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</si>
  <si>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</si>
  <si>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</si>
  <si>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</si>
  <si>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</si>
  <si>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</si>
  <si>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</si>
  <si>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</si>
  <si>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</si>
  <si>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</si>
  <si>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</si>
  <si>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</si>
  <si>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</si>
  <si>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</si>
  <si>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</si>
  <si>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</si>
  <si>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</si>
  <si>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</si>
  <si>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</si>
  <si>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</si>
  <si>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</si>
  <si>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</si>
  <si>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</si>
  <si>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</si>
  <si>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</si>
  <si>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</si>
  <si>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</si>
  <si>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</si>
  <si>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</si>
  <si>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</si>
  <si>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</si>
  <si>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</si>
  <si>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</si>
  <si>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</si>
  <si>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</si>
  <si>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</si>
  <si>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</si>
  <si>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</si>
  <si>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</si>
  <si>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</si>
  <si>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</si>
  <si>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</si>
  <si>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</si>
  <si>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</si>
  <si>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</si>
  <si>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</si>
  <si>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</si>
  <si>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</si>
  <si>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</si>
  <si>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</si>
  <si>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</si>
  <si>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</si>
  <si>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</si>
  <si>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</si>
  <si>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</si>
  <si>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</si>
  <si>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</si>
  <si>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</si>
  <si>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</si>
  <si>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</si>
  <si>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</si>
  <si>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</si>
  <si>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</si>
  <si>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</si>
  <si>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</si>
  <si>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</si>
  <si>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</si>
  <si>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</si>
  <si>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</si>
  <si>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</si>
  <si>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</si>
  <si>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</si>
  <si>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</si>
  <si>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</si>
  <si>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</si>
  <si>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</si>
  <si>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</si>
  <si>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</si>
  <si>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</si>
  <si>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</si>
  <si>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</si>
  <si>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</si>
  <si>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</si>
  <si>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</si>
  <si>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</si>
  <si>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</si>
  <si>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</si>
  <si>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</si>
  <si>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</si>
  <si>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</si>
  <si>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</si>
  <si>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</si>
  <si>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</si>
  <si>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</si>
  <si>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</si>
  <si>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</si>
  <si>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</si>
  <si>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</si>
  <si>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</si>
  <si>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</si>
  <si>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</si>
  <si>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</si>
  <si>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</si>
  <si>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</si>
  <si>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</si>
  <si>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</si>
  <si>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</si>
  <si>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</si>
  <si>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</si>
  <si>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</si>
  <si>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</si>
  <si>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</si>
  <si>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</si>
  <si>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</si>
  <si>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</si>
  <si>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</si>
  <si>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</si>
  <si>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</si>
  <si>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CAPACIDAD RESIDUAL DE CONTRATACIÓN 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</si>
  <si>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</si>
  <si>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>CAPITAL DE TRABAJO
(Activo Corriente - Pasivo Corriente)</t>
  </si>
  <si>
    <t>PATRIMONIO
(Activo Total - Pasivo Total)</t>
  </si>
  <si>
    <t>PLAZO (P)</t>
  </si>
  <si>
    <t>PATRIMONIO ROE
(Activo Total - Pasivo Total)</t>
  </si>
  <si>
    <t>Fórmula:                        ROE=UO/Pat.ROE&gt;=0,00</t>
  </si>
  <si>
    <t>Capital de Trabajo Demandado</t>
  </si>
  <si>
    <t>CUMPLE  / NO COMPLE</t>
  </si>
  <si>
    <t>CUMPLE/NO CUMPLE</t>
  </si>
  <si>
    <t>CUMPLE</t>
  </si>
  <si>
    <t>CTd= 10% X (PO)</t>
  </si>
  <si>
    <t xml:space="preserve">INDICE-CAPITAL DE TRABAJO </t>
  </si>
  <si>
    <t>Fórmula: CT=AC-PC&gt;=CTd</t>
  </si>
  <si>
    <t>Req. Min. CT: &gt; =CTd</t>
  </si>
  <si>
    <t>(CTd)</t>
  </si>
  <si>
    <t>EVALUACIÓN FINANCIERA Y ORGANIZACIONAL</t>
  </si>
  <si>
    <t>CAPITAL DE TRABAJO DEMANDADO</t>
  </si>
  <si>
    <t>SMMLV 2023</t>
  </si>
  <si>
    <t>Fórmula: Endeudamiento = Pas.T/Act.Tot. &lt;= 0,75</t>
  </si>
  <si>
    <t>Fórmula: Liquidez=AC/PC&gt;=1,11</t>
  </si>
  <si>
    <t>Fórmula: Razón Cobertura Intereses = UO/GI &gt;= 0</t>
  </si>
  <si>
    <t>Fórmula:                        ROE=UO/Pat.ROE&gt;= 0</t>
  </si>
  <si>
    <t>Fórmula:                        ROE=UO/Act.Tot.&gt;= 0</t>
  </si>
  <si>
    <t>*</t>
  </si>
  <si>
    <t>SA-MC-DT-VAL-001-2023</t>
  </si>
  <si>
    <t>CCC DE LA SABANA SAS</t>
  </si>
  <si>
    <t>TULCAN L J EIVAR</t>
  </si>
  <si>
    <t>CARLOS ALBERTO DEL RIO RESTREPO</t>
  </si>
  <si>
    <t>PRESUPUESTO OFICIAL ESTIMADO (POE) 
(C)</t>
  </si>
  <si>
    <t xml:space="preserve">VALOR TOTAL DE LOS CONTRATOS EJECUTADOS 
(B)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</si>
</sst>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8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35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Font="1" applyFill="1" applyBorder="1" applyAlignment="1">
      <alignment horizontal="center" vertical="center" wrapText="1"/>
    </xf>
    <xf numFmtId="0" fontId="27" fillId="6" borderId="11" xfId="4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Border="1"/>
    <xf numFmtId="0" fontId="6" fillId="12" borderId="17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Border="1"/>
    <xf numFmtId="0" fontId="24" fillId="5" borderId="27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6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1" xfId="3" applyFont="1" applyFill="1" applyBorder="1" applyAlignment="1">
      <alignment horizontal="center" vertical="center" wrapText="1"/>
    </xf>
    <xf numFmtId="169" fontId="26" fillId="7" borderId="41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1" xfId="3" applyFont="1" applyFill="1" applyBorder="1" applyAlignment="1">
      <alignment horizontal="center" vertical="center" wrapText="1"/>
    </xf>
    <xf numFmtId="169" fontId="27" fillId="0" borderId="45" xfId="1" applyFont="1" applyFill="1" applyBorder="1" applyAlignment="1">
      <alignment horizontal="center" vertical="center" wrapText="1"/>
    </xf>
    <xf numFmtId="169" fontId="26" fillId="7" borderId="45" xfId="1" applyFont="1" applyFill="1" applyBorder="1" applyAlignment="1">
      <alignment horizontal="center" vertical="center" wrapText="1"/>
    </xf>
    <xf numFmtId="171" fontId="26" fillId="7" borderId="45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Alignment="1">
      <alignment vertical="center"/>
    </xf>
    <xf numFmtId="0" fontId="5" fillId="10" borderId="1" xfId="0" applyFont="1" applyFill="1" applyBorder="1"/>
    <xf numFmtId="0" fontId="5" fillId="10" borderId="8" xfId="0" applyFont="1" applyFill="1" applyBorder="1"/>
    <xf numFmtId="172" fontId="5" fillId="10" borderId="0" xfId="6" applyNumberFormat="1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Font="1" applyFill="1" applyAlignment="1">
      <alignment horizontal="center" vertical="center" wrapText="1"/>
    </xf>
    <xf numFmtId="10" fontId="26" fillId="10" borderId="0" xfId="3" applyNumberFormat="1" applyFont="1" applyFill="1" applyAlignment="1">
      <alignment horizontal="center" vertical="center" wrapText="1"/>
    </xf>
    <xf numFmtId="169" fontId="26" fillId="10" borderId="0" xfId="3" applyNumberFormat="1" applyFont="1" applyFill="1" applyAlignment="1">
      <alignment horizontal="center" vertical="center" wrapText="1"/>
    </xf>
    <xf numFmtId="4" fontId="26" fillId="10" borderId="0" xfId="3" applyNumberFormat="1" applyFont="1" applyFill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5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5" xfId="3" applyNumberFormat="1" applyFont="1" applyFill="1" applyBorder="1" applyAlignment="1">
      <alignment horizontal="center" vertical="center" wrapText="1"/>
    </xf>
    <xf numFmtId="0" fontId="0" fillId="10" borderId="46" xfId="0" applyFill="1" applyBorder="1" applyAlignment="1">
      <alignment horizontal="center" vertical="center"/>
    </xf>
    <xf numFmtId="0" fontId="0" fillId="10" borderId="47" xfId="0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3" fillId="10" borderId="48" xfId="0" applyFont="1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3" fillId="10" borderId="49" xfId="0" applyFont="1" applyFill="1" applyBorder="1" applyAlignment="1">
      <alignment horizontal="center" vertical="center"/>
    </xf>
    <xf numFmtId="2" fontId="0" fillId="10" borderId="49" xfId="0" applyNumberFormat="1" applyFill="1" applyBorder="1" applyAlignment="1">
      <alignment horizontal="center" vertical="center"/>
    </xf>
    <xf numFmtId="2" fontId="0" fillId="10" borderId="47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7" fontId="5" fillId="10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169" fontId="26" fillId="7" borderId="16" xfId="1" applyFont="1" applyFill="1" applyBorder="1" applyAlignment="1">
      <alignment horizontal="center" vertical="center" wrapText="1"/>
    </xf>
    <xf numFmtId="169" fontId="26" fillId="6" borderId="17" xfId="1" applyFont="1" applyFill="1" applyBorder="1" applyAlignment="1">
      <alignment horizontal="center" vertical="center" wrapText="1"/>
    </xf>
    <xf numFmtId="169" fontId="26" fillId="6" borderId="13" xfId="1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/>
    </xf>
    <xf numFmtId="4" fontId="37" fillId="7" borderId="41" xfId="1" applyNumberFormat="1" applyFont="1" applyFill="1" applyBorder="1" applyAlignment="1">
      <alignment horizontal="center" vertical="center" wrapText="1"/>
    </xf>
    <xf numFmtId="0" fontId="20" fillId="14" borderId="15" xfId="3" applyFont="1" applyFill="1" applyBorder="1" applyAlignment="1">
      <alignment horizontal="center" vertical="center" wrapText="1"/>
    </xf>
    <xf numFmtId="0" fontId="20" fillId="14" borderId="16" xfId="3" applyFont="1" applyFill="1" applyBorder="1" applyAlignment="1">
      <alignment horizontal="center" vertical="center" wrapText="1"/>
    </xf>
    <xf numFmtId="0" fontId="20" fillId="14" borderId="44" xfId="3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5" xfId="1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4" fontId="26" fillId="6" borderId="42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13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8" fontId="26" fillId="6" borderId="45" xfId="2" applyFont="1" applyFill="1" applyBorder="1" applyAlignment="1">
      <alignment horizontal="center" vertical="center" wrapText="1"/>
    </xf>
    <xf numFmtId="168" fontId="26" fillId="6" borderId="13" xfId="2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5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Font="1" applyFill="1" applyBorder="1" applyAlignment="1">
      <alignment horizontal="center" vertical="center"/>
    </xf>
    <xf numFmtId="169" fontId="23" fillId="7" borderId="23" xfId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39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4" fontId="20" fillId="5" borderId="9" xfId="6" applyNumberFormat="1" applyFont="1" applyFill="1" applyBorder="1" applyAlignment="1">
      <alignment horizontal="center" vertical="center"/>
    </xf>
    <xf numFmtId="9" fontId="22" fillId="6" borderId="45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5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5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5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9" fontId="22" fillId="0" borderId="45" xfId="6" applyFont="1" applyFill="1" applyBorder="1" applyAlignment="1">
      <alignment horizontal="center" vertical="center" wrapText="1"/>
    </xf>
    <xf numFmtId="169" fontId="14" fillId="0" borderId="45" xfId="1" applyFont="1" applyFill="1" applyBorder="1" applyAlignment="1">
      <alignment horizontal="center" vertical="center" wrapText="1"/>
    </xf>
    <xf numFmtId="167" fontId="17" fillId="4" borderId="33" xfId="0" applyNumberFormat="1" applyFont="1" applyFill="1" applyBorder="1" applyAlignment="1">
      <alignment horizontal="center" vertical="center" wrapText="1"/>
    </xf>
    <xf numFmtId="0" fontId="3" fillId="0" borderId="45" xfId="0" applyFont="1" applyBorder="1"/>
    <xf numFmtId="0" fontId="17" fillId="3" borderId="8" xfId="0" applyFont="1" applyFill="1" applyBorder="1" applyAlignment="1">
      <alignment horizontal="center" vertical="center" wrapText="1"/>
    </xf>
    <xf numFmtId="0" fontId="24" fillId="16" borderId="45" xfId="0" applyFont="1" applyFill="1" applyBorder="1" applyAlignment="1">
      <alignment horizontal="center" vertical="center" wrapText="1"/>
    </xf>
    <xf numFmtId="0" fontId="24" fillId="5" borderId="45" xfId="0" applyFont="1" applyFill="1" applyBorder="1" applyAlignment="1">
      <alignment horizontal="center" vertical="center" wrapText="1"/>
    </xf>
    <xf numFmtId="169" fontId="17" fillId="0" borderId="45" xfId="1" applyFont="1" applyFill="1" applyBorder="1" applyAlignment="1">
      <alignment horizontal="center" vertical="center" wrapText="1"/>
    </xf>
    <xf numFmtId="169" fontId="14" fillId="0" borderId="6" xfId="1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left"/>
    </xf>
    <xf numFmtId="168" fontId="27" fillId="6" borderId="17" xfId="2" applyFont="1" applyFill="1" applyBorder="1" applyAlignment="1">
      <alignment horizontal="center" vertical="center" wrapText="1"/>
    </xf>
    <xf numFmtId="168" fontId="27" fillId="17" borderId="17" xfId="2" applyFont="1" applyFill="1" applyBorder="1" applyAlignment="1">
      <alignment horizontal="center" vertical="center" wrapText="1"/>
    </xf>
    <xf numFmtId="169" fontId="3" fillId="10" borderId="0" xfId="1" applyFont="1" applyFill="1"/>
    <xf numFmtId="168" fontId="0" fillId="10" borderId="0" xfId="2" applyFont="1" applyFill="1"/>
    <xf numFmtId="0" fontId="27" fillId="0" borderId="14" xfId="4" applyFont="1" applyFill="1" applyBorder="1" applyAlignment="1">
      <alignment horizontal="center" vertical="center" wrapText="1"/>
    </xf>
    <xf numFmtId="3" fontId="26" fillId="0" borderId="45" xfId="1" applyNumberFormat="1" applyFont="1" applyFill="1" applyBorder="1" applyAlignment="1">
      <alignment horizontal="center" vertical="center" wrapText="1"/>
    </xf>
    <xf numFmtId="4" fontId="26" fillId="0" borderId="17" xfId="1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20" fillId="3" borderId="2" xfId="0" quotePrefix="1" applyFont="1" applyFill="1" applyBorder="1" applyAlignment="1">
      <alignment horizontal="center" vertical="center" wrapText="1"/>
    </xf>
    <xf numFmtId="0" fontId="20" fillId="3" borderId="3" xfId="0" quotePrefix="1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2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20" fillId="14" borderId="41" xfId="3" applyFont="1" applyFill="1" applyBorder="1" applyAlignment="1">
      <alignment horizontal="center" vertical="center" wrapText="1"/>
    </xf>
    <xf numFmtId="0" fontId="20" fillId="14" borderId="30" xfId="3" applyFont="1" applyFill="1" applyBorder="1" applyAlignment="1">
      <alignment horizontal="center" vertical="center" wrapText="1"/>
    </xf>
    <xf numFmtId="0" fontId="31" fillId="10" borderId="0" xfId="0" applyFont="1" applyFill="1" applyAlignment="1">
      <alignment horizontal="center" vertical="center" wrapText="1"/>
    </xf>
    <xf numFmtId="0" fontId="34" fillId="10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20" fillId="14" borderId="35" xfId="4" applyFont="1" applyFill="1" applyBorder="1" applyAlignment="1">
      <alignment horizontal="center" vertical="center" textRotation="90" wrapText="1"/>
    </xf>
    <xf numFmtId="0" fontId="20" fillId="14" borderId="43" xfId="4" applyFont="1" applyFill="1" applyBorder="1" applyAlignment="1">
      <alignment horizontal="center" vertical="center" textRotation="90" wrapText="1"/>
    </xf>
    <xf numFmtId="9" fontId="17" fillId="14" borderId="22" xfId="6" applyFont="1" applyFill="1" applyBorder="1" applyAlignment="1">
      <alignment horizontal="center" vertical="center" wrapText="1"/>
    </xf>
    <xf numFmtId="9" fontId="17" fillId="14" borderId="44" xfId="6" applyFont="1" applyFill="1" applyBorder="1" applyAlignment="1">
      <alignment horizontal="center" vertical="center" wrapText="1"/>
    </xf>
    <xf numFmtId="4" fontId="20" fillId="14" borderId="22" xfId="3" applyNumberFormat="1" applyFont="1" applyFill="1" applyBorder="1" applyAlignment="1">
      <alignment horizontal="center" vertical="center" wrapText="1"/>
    </xf>
    <xf numFmtId="4" fontId="20" fillId="14" borderId="44" xfId="3" applyNumberFormat="1" applyFont="1" applyFill="1" applyBorder="1" applyAlignment="1">
      <alignment horizontal="center" vertical="center" wrapText="1"/>
    </xf>
    <xf numFmtId="0" fontId="20" fillId="14" borderId="22" xfId="3" applyFont="1" applyFill="1" applyBorder="1" applyAlignment="1">
      <alignment horizontal="center" vertical="center" wrapText="1"/>
    </xf>
    <xf numFmtId="0" fontId="20" fillId="14" borderId="44" xfId="3" applyFont="1" applyFill="1" applyBorder="1" applyAlignment="1">
      <alignment horizontal="center" vertical="center" wrapText="1"/>
    </xf>
    <xf numFmtId="0" fontId="20" fillId="14" borderId="39" xfId="3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0" fontId="4" fillId="15" borderId="27" xfId="3" applyFont="1" applyFill="1" applyBorder="1" applyAlignment="1">
      <alignment horizontal="center" vertical="center" wrapText="1"/>
    </xf>
    <xf numFmtId="0" fontId="4" fillId="15" borderId="40" xfId="3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4" xfId="3" applyNumberFormat="1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4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4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3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4" xfId="6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4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4" xfId="0" applyFont="1" applyFill="1" applyBorder="1" applyAlignment="1">
      <alignment horizontal="center" vertical="center" textRotation="90" wrapText="1"/>
    </xf>
  </cellXfs>
  <cellStyles count="33">
    <cellStyle name="Millares" xfId="1" builtinId="3"/>
    <cellStyle name="Millares 12" xfId="30" xr:uid="{00000000-0005-0000-0000-000001000000}"/>
    <cellStyle name="Millares 16 8" xfId="21" xr:uid="{00000000-0005-0000-0000-000002000000}"/>
    <cellStyle name="Millares 2" xfId="11" xr:uid="{00000000-0005-0000-0000-000003000000}"/>
    <cellStyle name="Millares 2 2" xfId="14" xr:uid="{00000000-0005-0000-0000-000004000000}"/>
    <cellStyle name="Millares 3" xfId="13" xr:uid="{00000000-0005-0000-0000-000005000000}"/>
    <cellStyle name="Millares 4" xfId="28" xr:uid="{00000000-0005-0000-0000-000006000000}"/>
    <cellStyle name="Millares 43" xfId="24" xr:uid="{00000000-0005-0000-0000-000007000000}"/>
    <cellStyle name="Millares 5" xfId="22" xr:uid="{00000000-0005-0000-0000-000008000000}"/>
    <cellStyle name="Millares 66" xfId="23" xr:uid="{00000000-0005-0000-0000-000009000000}"/>
    <cellStyle name="Moneda" xfId="2" builtinId="4"/>
    <cellStyle name="Moneda 2" xfId="9" xr:uid="{00000000-0005-0000-0000-00000B000000}"/>
    <cellStyle name="Normal" xfId="0" builtinId="0"/>
    <cellStyle name="Normal 10" xfId="20" xr:uid="{00000000-0005-0000-0000-00000D000000}"/>
    <cellStyle name="Normal 11 45 9" xfId="27" xr:uid="{00000000-0005-0000-0000-00000E000000}"/>
    <cellStyle name="Normal 12 2" xfId="26" xr:uid="{00000000-0005-0000-0000-00000F000000}"/>
    <cellStyle name="Normal 2" xfId="7" xr:uid="{00000000-0005-0000-0000-000010000000}"/>
    <cellStyle name="Normal 2 2" xfId="3" xr:uid="{00000000-0005-0000-0000-000011000000}"/>
    <cellStyle name="Normal 3" xfId="4" xr:uid="{00000000-0005-0000-0000-000012000000}"/>
    <cellStyle name="Normal 4" xfId="8" xr:uid="{00000000-0005-0000-0000-000013000000}"/>
    <cellStyle name="Normal 4 3 2" xfId="16" xr:uid="{00000000-0005-0000-0000-000014000000}"/>
    <cellStyle name="Normal 5" xfId="10" xr:uid="{00000000-0005-0000-0000-000015000000}"/>
    <cellStyle name="Normal 68 2 2" xfId="31" xr:uid="{00000000-0005-0000-0000-000016000000}"/>
    <cellStyle name="Normal 73" xfId="18" xr:uid="{00000000-0005-0000-0000-000017000000}"/>
    <cellStyle name="Normal_Los 100 Grupos Tramos - 4 ABR 2005" xfId="5" xr:uid="{00000000-0005-0000-0000-000018000000}"/>
    <cellStyle name="Porcentaje" xfId="6" builtinId="5"/>
    <cellStyle name="Porcentaje 2" xfId="19" xr:uid="{00000000-0005-0000-0000-00001A000000}"/>
    <cellStyle name="Porcentaje 3" xfId="15" xr:uid="{00000000-0005-0000-0000-00001B000000}"/>
    <cellStyle name="Porcentaje 3 2 2" xfId="17" xr:uid="{00000000-0005-0000-0000-00001C000000}"/>
    <cellStyle name="Porcentaje 8" xfId="25" xr:uid="{00000000-0005-0000-0000-00001D000000}"/>
    <cellStyle name="Porcentaje 8 2" xfId="29" xr:uid="{00000000-0005-0000-0000-00001E000000}"/>
    <cellStyle name="Porcentual 2" xfId="12" xr:uid="{00000000-0005-0000-0000-00001F000000}"/>
    <cellStyle name="Porcentual 2 2" xfId="32" xr:uid="{00000000-0005-0000-0000-000020000000}"/>
  </cellStyles>
  <dxfs count="186"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4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7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8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243" t="s">
        <v>5</v>
      </c>
      <c r="C4" s="244"/>
      <c r="D4" s="247" t="s">
        <v>6</v>
      </c>
      <c r="E4" s="249" t="s">
        <v>108</v>
      </c>
      <c r="F4" s="250"/>
      <c r="G4" s="250"/>
      <c r="H4" s="250"/>
      <c r="I4" s="250"/>
      <c r="J4" s="250"/>
      <c r="K4" s="250"/>
      <c r="L4" s="250"/>
      <c r="M4" s="250"/>
      <c r="N4" s="250"/>
      <c r="O4" s="251"/>
      <c r="P4" s="240" t="s">
        <v>112</v>
      </c>
      <c r="Q4" s="241"/>
      <c r="R4" s="241"/>
      <c r="S4" s="242"/>
      <c r="T4" s="240" t="s">
        <v>113</v>
      </c>
      <c r="U4" s="241"/>
      <c r="V4" s="241"/>
      <c r="W4" s="242"/>
    </row>
    <row r="5" spans="2:32" ht="39" thickBot="1" x14ac:dyDescent="0.25">
      <c r="B5" s="245"/>
      <c r="C5" s="246"/>
      <c r="D5" s="248"/>
      <c r="E5" s="30" t="s">
        <v>97</v>
      </c>
      <c r="F5" s="31" t="s">
        <v>98</v>
      </c>
      <c r="G5" s="31" t="s">
        <v>99</v>
      </c>
      <c r="H5" s="31" t="s">
        <v>100</v>
      </c>
      <c r="I5" s="31" t="s">
        <v>101</v>
      </c>
      <c r="J5" s="31" t="s">
        <v>102</v>
      </c>
      <c r="K5" s="31" t="s">
        <v>103</v>
      </c>
      <c r="L5" s="31" t="s">
        <v>104</v>
      </c>
      <c r="M5" s="31" t="s">
        <v>105</v>
      </c>
      <c r="N5" s="31" t="s">
        <v>106</v>
      </c>
      <c r="O5" s="32" t="s">
        <v>107</v>
      </c>
      <c r="P5" s="33" t="s">
        <v>109</v>
      </c>
      <c r="Q5" s="34" t="s">
        <v>103</v>
      </c>
      <c r="R5" s="34" t="s">
        <v>110</v>
      </c>
      <c r="S5" s="35" t="s">
        <v>111</v>
      </c>
      <c r="T5" s="33" t="s">
        <v>109</v>
      </c>
      <c r="U5" s="34" t="s">
        <v>103</v>
      </c>
      <c r="V5" s="34" t="s">
        <v>110</v>
      </c>
      <c r="W5" s="35" t="s">
        <v>111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25">
      <c r="B6" s="10"/>
      <c r="C6" s="10"/>
      <c r="D6" s="11"/>
      <c r="L6" s="58"/>
      <c r="T6" s="22"/>
      <c r="U6" s="22"/>
      <c r="V6" s="22"/>
      <c r="W6" s="22"/>
    </row>
    <row r="7" spans="2:32" ht="15" x14ac:dyDescent="0.2">
      <c r="B7" s="252">
        <v>1</v>
      </c>
      <c r="C7" s="46"/>
      <c r="D7" s="65" t="s">
        <v>123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.25" x14ac:dyDescent="0.2">
      <c r="B8" s="253"/>
      <c r="C8" s="63">
        <v>1.1000000000000001</v>
      </c>
      <c r="D8" s="57" t="s">
        <v>124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.25" x14ac:dyDescent="0.2">
      <c r="B9" s="253"/>
      <c r="C9" s="63">
        <v>1.2</v>
      </c>
      <c r="D9" s="57" t="s">
        <v>125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.25" x14ac:dyDescent="0.2">
      <c r="B10" s="253"/>
      <c r="C10" s="63">
        <v>1.3</v>
      </c>
      <c r="D10" s="57" t="s">
        <v>126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.25" x14ac:dyDescent="0.2">
      <c r="B11" s="253"/>
      <c r="C11" s="63">
        <v>1.4</v>
      </c>
      <c r="D11" s="57" t="s">
        <v>127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.25" x14ac:dyDescent="0.2">
      <c r="B12" s="253"/>
      <c r="C12" s="63">
        <v>1.5</v>
      </c>
      <c r="D12" s="57" t="s">
        <v>128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.25" x14ac:dyDescent="0.2">
      <c r="B13" s="253"/>
      <c r="C13" s="63">
        <v>1.6</v>
      </c>
      <c r="D13" s="57" t="s">
        <v>129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5" x14ac:dyDescent="0.2">
      <c r="B14" s="45">
        <v>2</v>
      </c>
      <c r="C14" s="63"/>
      <c r="D14" s="59" t="s">
        <v>130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.25" x14ac:dyDescent="0.2">
      <c r="B15" s="253">
        <v>3</v>
      </c>
      <c r="C15" s="63"/>
      <c r="D15" s="59" t="s">
        <v>131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.25" x14ac:dyDescent="0.2">
      <c r="B16" s="253"/>
      <c r="C16" s="63">
        <v>3.1</v>
      </c>
      <c r="D16" s="57" t="s">
        <v>132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.25" x14ac:dyDescent="0.2">
      <c r="B17" s="253"/>
      <c r="C17" s="63">
        <v>3.2</v>
      </c>
      <c r="D17" s="57" t="s">
        <v>133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.25" x14ac:dyDescent="0.2">
      <c r="B18" s="253"/>
      <c r="C18" s="63">
        <v>3.3</v>
      </c>
      <c r="D18" s="57" t="s">
        <v>134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.25" x14ac:dyDescent="0.2">
      <c r="B19" s="253"/>
      <c r="C19" s="63">
        <v>3.4</v>
      </c>
      <c r="D19" s="57" t="s">
        <v>135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.25" x14ac:dyDescent="0.2">
      <c r="B20" s="253"/>
      <c r="C20" s="63">
        <v>3.5</v>
      </c>
      <c r="D20" s="57" t="s">
        <v>136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.25" x14ac:dyDescent="0.2">
      <c r="B21" s="253"/>
      <c r="C21" s="63">
        <v>3.6</v>
      </c>
      <c r="D21" s="57" t="s">
        <v>137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.25" x14ac:dyDescent="0.2">
      <c r="B22" s="253">
        <v>4</v>
      </c>
      <c r="C22" s="63"/>
      <c r="D22" s="59" t="s">
        <v>138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.25" x14ac:dyDescent="0.2">
      <c r="B23" s="253"/>
      <c r="C23" s="63">
        <v>4.0999999999999996</v>
      </c>
      <c r="D23" s="57" t="s">
        <v>139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.25" x14ac:dyDescent="0.2">
      <c r="B24" s="253"/>
      <c r="C24" s="63">
        <v>4.2</v>
      </c>
      <c r="D24" s="57" t="s">
        <v>140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.25" x14ac:dyDescent="0.2">
      <c r="B25" s="253"/>
      <c r="C25" s="63">
        <v>4.3</v>
      </c>
      <c r="D25" s="57" t="s">
        <v>141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.25" x14ac:dyDescent="0.2">
      <c r="B26" s="253"/>
      <c r="C26" s="63">
        <v>4.4000000000000004</v>
      </c>
      <c r="D26" s="57" t="s">
        <v>142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.25" x14ac:dyDescent="0.2">
      <c r="B27" s="253">
        <v>5</v>
      </c>
      <c r="C27" s="63"/>
      <c r="D27" s="59" t="s">
        <v>143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.25" x14ac:dyDescent="0.2">
      <c r="B28" s="253"/>
      <c r="C28" s="63">
        <v>5.0999999999999996</v>
      </c>
      <c r="D28" s="57" t="s">
        <v>144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.25" x14ac:dyDescent="0.2">
      <c r="B29" s="253"/>
      <c r="C29" s="63">
        <v>5.2</v>
      </c>
      <c r="D29" s="57" t="s">
        <v>145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.25" x14ac:dyDescent="0.2">
      <c r="B30" s="253"/>
      <c r="C30" s="63">
        <v>5.3</v>
      </c>
      <c r="D30" s="57" t="s">
        <v>146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.25" x14ac:dyDescent="0.2">
      <c r="B31" s="253"/>
      <c r="C31" s="63">
        <v>5.4</v>
      </c>
      <c r="D31" s="57" t="s">
        <v>147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5.75" thickBot="1" x14ac:dyDescent="0.25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5" thickBot="1" x14ac:dyDescent="0.25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">
      <c r="B34" s="9" t="s">
        <v>4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">
      <c r="B35" s="2"/>
      <c r="C35" s="238" t="s">
        <v>148</v>
      </c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39"/>
      <c r="T35" s="239"/>
      <c r="U35" s="239"/>
      <c r="V35" s="239"/>
      <c r="W35" s="29"/>
    </row>
    <row r="36" spans="2:23" x14ac:dyDescent="0.2">
      <c r="B36" s="2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9"/>
    </row>
    <row r="37" spans="2:23" x14ac:dyDescent="0.2">
      <c r="B37" s="2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9"/>
    </row>
    <row r="38" spans="2:23" x14ac:dyDescent="0.2">
      <c r="B38" s="2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9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85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J7"/>
  <sheetViews>
    <sheetView workbookViewId="0">
      <selection activeCell="C3" sqref="C3"/>
    </sheetView>
  </sheetViews>
  <sheetFormatPr baseColWidth="10" defaultRowHeight="12.75" x14ac:dyDescent="0.2"/>
  <cols>
    <col min="1" max="1" width="11.42578125" style="216"/>
    <col min="2" max="2" width="18.5703125" style="216" bestFit="1" customWidth="1"/>
    <col min="3" max="3" width="11.42578125" style="216"/>
    <col min="4" max="4" width="18.140625" style="216" customWidth="1"/>
    <col min="5" max="5" width="4.7109375" style="216" customWidth="1"/>
    <col min="6" max="6" width="14.42578125" style="216" bestFit="1" customWidth="1"/>
    <col min="7" max="7" width="4.7109375" style="210" customWidth="1"/>
    <col min="8" max="8" width="17.42578125" style="210" customWidth="1"/>
    <col min="9" max="9" width="12.85546875" style="220" bestFit="1" customWidth="1"/>
    <col min="10" max="10" width="13.85546875" style="220" bestFit="1" customWidth="1"/>
    <col min="11" max="16384" width="11.42578125" style="210"/>
  </cols>
  <sheetData>
    <row r="1" spans="1:8" ht="41.25" customHeight="1" x14ac:dyDescent="0.2">
      <c r="A1" s="207" t="s">
        <v>164</v>
      </c>
      <c r="B1" s="207" t="s">
        <v>165</v>
      </c>
      <c r="C1" s="207" t="s">
        <v>0</v>
      </c>
      <c r="D1" s="207" t="s">
        <v>187</v>
      </c>
      <c r="E1" s="208"/>
      <c r="F1" s="209" t="s">
        <v>245</v>
      </c>
      <c r="H1" s="209" t="s">
        <v>234</v>
      </c>
    </row>
    <row r="2" spans="1:8" x14ac:dyDescent="0.2">
      <c r="A2" s="211">
        <v>1</v>
      </c>
      <c r="B2" s="212">
        <v>222239000</v>
      </c>
      <c r="C2" s="213">
        <v>5</v>
      </c>
      <c r="D2" s="212">
        <v>0</v>
      </c>
      <c r="E2" s="214"/>
      <c r="F2" s="215">
        <v>1160000</v>
      </c>
      <c r="H2" s="219">
        <f>+B2*10%</f>
        <v>22223900</v>
      </c>
    </row>
    <row r="3" spans="1:8" x14ac:dyDescent="0.2">
      <c r="A3" s="211"/>
      <c r="B3" s="212"/>
      <c r="C3" s="213"/>
      <c r="D3" s="212"/>
      <c r="H3" s="219" t="str">
        <f>+IF(OR(B3="",PlazoM2=""),"",B3/PlazoM2)</f>
        <v/>
      </c>
    </row>
    <row r="4" spans="1:8" x14ac:dyDescent="0.2">
      <c r="A4" s="211"/>
      <c r="B4" s="212"/>
      <c r="C4" s="213"/>
      <c r="D4" s="212"/>
      <c r="H4" s="219" t="str">
        <f>+IF(OR(B4="",PlazoM3=""),"",B4/PlazoM3)</f>
        <v/>
      </c>
    </row>
    <row r="5" spans="1:8" x14ac:dyDescent="0.2">
      <c r="A5" s="211"/>
      <c r="B5" s="212"/>
      <c r="C5" s="213"/>
      <c r="D5" s="212"/>
      <c r="H5" s="219" t="str">
        <f>+IF(OR(B5="",PlazoM4=""),"",B5/PlazoM4)</f>
        <v/>
      </c>
    </row>
    <row r="6" spans="1:8" x14ac:dyDescent="0.2">
      <c r="E6" s="217"/>
    </row>
    <row r="7" spans="1:8" x14ac:dyDescent="0.2">
      <c r="D7" s="218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H16"/>
  <sheetViews>
    <sheetView workbookViewId="0">
      <selection activeCell="H27" sqref="H27"/>
    </sheetView>
  </sheetViews>
  <sheetFormatPr baseColWidth="10" defaultRowHeight="12.75" x14ac:dyDescent="0.2"/>
  <cols>
    <col min="1" max="2" width="11.42578125" style="141"/>
    <col min="3" max="3" width="15.28515625" style="141" bestFit="1" customWidth="1"/>
    <col min="4" max="6" width="11.42578125" style="141"/>
    <col min="7" max="7" width="11.42578125" style="141" customWidth="1"/>
    <col min="8" max="16384" width="11.42578125" style="141"/>
  </cols>
  <sheetData>
    <row r="1" spans="2:8" ht="13.5" thickBot="1" x14ac:dyDescent="0.25"/>
    <row r="2" spans="2:8" ht="13.5" thickBot="1" x14ac:dyDescent="0.25">
      <c r="B2" s="254" t="s">
        <v>197</v>
      </c>
      <c r="C2" s="255"/>
      <c r="D2" s="256"/>
      <c r="F2" s="254" t="s">
        <v>205</v>
      </c>
      <c r="G2" s="255"/>
      <c r="H2" s="256"/>
    </row>
    <row r="3" spans="2:8" ht="13.5" thickBot="1" x14ac:dyDescent="0.25">
      <c r="B3" s="169" t="s">
        <v>201</v>
      </c>
      <c r="C3" s="171" t="s">
        <v>203</v>
      </c>
      <c r="D3" s="170" t="s">
        <v>202</v>
      </c>
      <c r="F3" s="169" t="s">
        <v>206</v>
      </c>
      <c r="G3" s="171" t="s">
        <v>207</v>
      </c>
      <c r="H3" s="170" t="s">
        <v>202</v>
      </c>
    </row>
    <row r="4" spans="2:8" x14ac:dyDescent="0.2">
      <c r="B4" s="161">
        <v>0</v>
      </c>
      <c r="C4" s="161">
        <v>3</v>
      </c>
      <c r="D4" s="161">
        <v>60</v>
      </c>
      <c r="F4" s="161">
        <v>1</v>
      </c>
      <c r="G4" s="161">
        <v>5</v>
      </c>
      <c r="H4" s="161">
        <v>20</v>
      </c>
    </row>
    <row r="5" spans="2:8" x14ac:dyDescent="0.2">
      <c r="B5" s="162">
        <v>3</v>
      </c>
      <c r="C5" s="162">
        <v>6</v>
      </c>
      <c r="D5" s="162">
        <v>80</v>
      </c>
      <c r="F5" s="162">
        <v>6</v>
      </c>
      <c r="G5" s="162">
        <v>10</v>
      </c>
      <c r="H5" s="162">
        <v>30</v>
      </c>
    </row>
    <row r="6" spans="2:8" ht="13.5" thickBot="1" x14ac:dyDescent="0.25">
      <c r="B6" s="162">
        <v>6</v>
      </c>
      <c r="C6" s="162">
        <v>10</v>
      </c>
      <c r="D6" s="162">
        <v>100</v>
      </c>
      <c r="F6" s="163">
        <v>11</v>
      </c>
      <c r="G6" s="164" t="s">
        <v>204</v>
      </c>
      <c r="H6" s="163">
        <v>40</v>
      </c>
    </row>
    <row r="7" spans="2:8" ht="13.5" thickBot="1" x14ac:dyDescent="0.25">
      <c r="B7" s="163">
        <v>10</v>
      </c>
      <c r="C7" s="164" t="s">
        <v>204</v>
      </c>
      <c r="D7" s="163">
        <v>120</v>
      </c>
      <c r="F7" s="172"/>
      <c r="G7" s="173"/>
      <c r="H7" s="172"/>
    </row>
    <row r="9" spans="2:8" ht="13.5" thickBot="1" x14ac:dyDescent="0.25"/>
    <row r="10" spans="2:8" ht="13.5" thickBot="1" x14ac:dyDescent="0.25">
      <c r="B10" s="254" t="s">
        <v>191</v>
      </c>
      <c r="C10" s="255"/>
      <c r="D10" s="256"/>
    </row>
    <row r="11" spans="2:8" ht="13.5" thickBot="1" x14ac:dyDescent="0.25">
      <c r="B11" s="169" t="s">
        <v>201</v>
      </c>
      <c r="C11" s="171" t="s">
        <v>203</v>
      </c>
      <c r="D11" s="170" t="s">
        <v>202</v>
      </c>
    </row>
    <row r="12" spans="2:8" x14ac:dyDescent="0.2">
      <c r="B12" s="161">
        <v>0</v>
      </c>
      <c r="C12" s="161">
        <v>0.5</v>
      </c>
      <c r="D12" s="161">
        <v>20</v>
      </c>
    </row>
    <row r="13" spans="2:8" x14ac:dyDescent="0.2">
      <c r="B13" s="162">
        <v>0.5</v>
      </c>
      <c r="C13" s="162">
        <v>0.75</v>
      </c>
      <c r="D13" s="162">
        <v>25</v>
      </c>
    </row>
    <row r="14" spans="2:8" x14ac:dyDescent="0.2">
      <c r="B14" s="162">
        <v>0.75</v>
      </c>
      <c r="C14" s="168">
        <v>1</v>
      </c>
      <c r="D14" s="162">
        <v>30</v>
      </c>
    </row>
    <row r="15" spans="2:8" x14ac:dyDescent="0.2">
      <c r="B15" s="167">
        <v>1</v>
      </c>
      <c r="C15" s="166">
        <v>1.5</v>
      </c>
      <c r="D15" s="165">
        <v>35</v>
      </c>
    </row>
    <row r="16" spans="2:8" ht="13.5" thickBot="1" x14ac:dyDescent="0.25">
      <c r="B16" s="163">
        <v>1.5</v>
      </c>
      <c r="C16" s="164" t="s">
        <v>204</v>
      </c>
      <c r="D16" s="163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L20"/>
  <sheetViews>
    <sheetView tabSelected="1" zoomScale="86" zoomScaleNormal="86" zoomScaleSheetLayoutView="100" workbookViewId="0">
      <selection activeCell="D26" sqref="D26"/>
    </sheetView>
  </sheetViews>
  <sheetFormatPr baseColWidth="10" defaultRowHeight="18" customHeight="1" x14ac:dyDescent="0.2"/>
  <cols>
    <col min="1" max="1" width="19.85546875" style="126" customWidth="1"/>
    <col min="2" max="2" width="8.85546875" style="126" bestFit="1" customWidth="1"/>
    <col min="3" max="3" width="44.5703125" style="126" customWidth="1"/>
    <col min="4" max="4" width="17.42578125" style="126" customWidth="1"/>
    <col min="5" max="5" width="25" style="126" customWidth="1"/>
    <col min="6" max="6" width="26.7109375" style="129" customWidth="1"/>
    <col min="7" max="7" width="25" style="129" bestFit="1" customWidth="1"/>
    <col min="8" max="9" width="23.140625" style="129" customWidth="1"/>
    <col min="10" max="10" width="28.7109375" style="130" customWidth="1"/>
    <col min="11" max="11" width="28.28515625" style="130" customWidth="1"/>
    <col min="12" max="12" width="23" style="130" customWidth="1"/>
    <col min="13" max="13" width="20.85546875" style="130" customWidth="1"/>
    <col min="14" max="14" width="4.140625" style="131" bestFit="1" customWidth="1"/>
    <col min="15" max="15" width="8" style="131" bestFit="1" customWidth="1"/>
    <col min="16" max="16" width="8" style="131" hidden="1" customWidth="1"/>
    <col min="17" max="17" width="19.5703125" style="131" hidden="1" customWidth="1"/>
    <col min="18" max="18" width="21.7109375" style="131" bestFit="1" customWidth="1"/>
    <col min="19" max="19" width="24.85546875" style="131" customWidth="1"/>
    <col min="20" max="20" width="27.85546875" style="131" customWidth="1"/>
    <col min="21" max="21" width="17.85546875" style="131" customWidth="1"/>
    <col min="22" max="23" width="14.7109375" style="131" customWidth="1"/>
    <col min="24" max="24" width="17.5703125" style="131" customWidth="1"/>
    <col min="25" max="25" width="21.7109375" style="131" customWidth="1"/>
    <col min="26" max="26" width="20.42578125" style="131" hidden="1" customWidth="1"/>
    <col min="27" max="28" width="14.7109375" style="131" customWidth="1"/>
    <col min="29" max="29" width="15.85546875" style="129" customWidth="1"/>
    <col min="30" max="30" width="15.5703125" style="126" hidden="1" customWidth="1"/>
    <col min="31" max="31" width="15.85546875" style="126" hidden="1" customWidth="1"/>
    <col min="32" max="32" width="14.5703125" style="132" hidden="1" customWidth="1"/>
    <col min="33" max="33" width="14.5703125" style="126" hidden="1" customWidth="1"/>
    <col min="34" max="35" width="14.5703125" style="126" customWidth="1"/>
    <col min="36" max="36" width="14.5703125" style="132" customWidth="1"/>
    <col min="37" max="37" width="14.5703125" style="126" customWidth="1"/>
    <col min="38" max="38" width="17.42578125" style="126" customWidth="1"/>
    <col min="39" max="16384" width="11.42578125" style="126"/>
  </cols>
  <sheetData>
    <row r="1" spans="1:38" ht="18" customHeight="1" x14ac:dyDescent="0.2"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</row>
    <row r="2" spans="1:38" s="127" customFormat="1" ht="23.25" x14ac:dyDescent="0.35">
      <c r="B2" s="283" t="s">
        <v>149</v>
      </c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  <c r="S2" s="283"/>
      <c r="T2" s="283"/>
      <c r="U2" s="283"/>
      <c r="V2" s="283"/>
      <c r="W2" s="283"/>
      <c r="X2" s="283"/>
      <c r="Y2" s="283"/>
      <c r="Z2" s="283"/>
      <c r="AA2" s="283"/>
      <c r="AB2" s="283"/>
      <c r="AC2" s="283"/>
      <c r="AD2" s="283"/>
      <c r="AE2" s="283"/>
      <c r="AF2" s="283"/>
      <c r="AG2" s="283"/>
      <c r="AH2" s="283"/>
      <c r="AI2" s="283"/>
      <c r="AJ2" s="283"/>
      <c r="AK2" s="283"/>
      <c r="AL2" s="283"/>
    </row>
    <row r="3" spans="1:38" s="127" customFormat="1" x14ac:dyDescent="0.25">
      <c r="B3" s="282" t="s">
        <v>209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  <c r="AA3" s="282"/>
      <c r="AB3" s="282"/>
      <c r="AC3" s="282"/>
      <c r="AD3" s="282"/>
      <c r="AE3" s="282"/>
      <c r="AF3" s="282"/>
      <c r="AG3" s="282"/>
      <c r="AH3" s="282"/>
      <c r="AI3" s="282"/>
      <c r="AJ3" s="282"/>
      <c r="AK3" s="282"/>
      <c r="AL3" s="282"/>
    </row>
    <row r="4" spans="1:38" ht="18" customHeight="1" x14ac:dyDescent="0.25">
      <c r="B4" s="281" t="s">
        <v>252</v>
      </c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  <c r="AH4" s="281"/>
      <c r="AI4" s="281"/>
      <c r="AJ4" s="281"/>
      <c r="AK4" s="281"/>
      <c r="AL4" s="281"/>
    </row>
    <row r="5" spans="1:38" ht="18" customHeight="1" x14ac:dyDescent="0.2">
      <c r="B5" s="299" t="s">
        <v>243</v>
      </c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  <c r="R5" s="299"/>
      <c r="S5" s="299"/>
      <c r="T5" s="299"/>
      <c r="U5" s="299"/>
      <c r="V5" s="299"/>
      <c r="W5" s="299"/>
      <c r="X5" s="299"/>
      <c r="Y5" s="299"/>
      <c r="Z5" s="299"/>
      <c r="AA5" s="299"/>
      <c r="AB5" s="299"/>
      <c r="AC5" s="299"/>
      <c r="AD5" s="299"/>
      <c r="AE5" s="299"/>
      <c r="AF5" s="299"/>
      <c r="AG5" s="299"/>
      <c r="AH5" s="299"/>
      <c r="AI5" s="299"/>
      <c r="AJ5" s="299"/>
      <c r="AK5" s="299"/>
      <c r="AL5" s="299"/>
    </row>
    <row r="6" spans="1:38" ht="18" customHeight="1" thickBot="1" x14ac:dyDescent="0.25"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</row>
    <row r="7" spans="1:38" ht="44.25" customHeight="1" thickBot="1" x14ac:dyDescent="0.25">
      <c r="B7" s="294" t="s">
        <v>151</v>
      </c>
      <c r="C7" s="295"/>
      <c r="D7" s="296"/>
      <c r="E7" s="297" t="s">
        <v>161</v>
      </c>
      <c r="F7" s="298"/>
      <c r="G7" s="298"/>
      <c r="H7" s="298"/>
      <c r="I7" s="298"/>
      <c r="J7" s="298"/>
      <c r="K7" s="104"/>
      <c r="L7" s="104"/>
      <c r="M7" s="104"/>
      <c r="N7" s="104"/>
      <c r="O7" s="104"/>
      <c r="P7" s="104"/>
      <c r="Q7" s="104"/>
      <c r="R7" s="105"/>
      <c r="S7" s="223" t="s">
        <v>244</v>
      </c>
      <c r="T7" s="257" t="s">
        <v>239</v>
      </c>
      <c r="U7" s="258"/>
      <c r="V7" s="257" t="s">
        <v>163</v>
      </c>
      <c r="W7" s="258"/>
      <c r="X7" s="257" t="s">
        <v>150</v>
      </c>
      <c r="Y7" s="258"/>
      <c r="Z7" s="106"/>
      <c r="AA7" s="257" t="s">
        <v>177</v>
      </c>
      <c r="AB7" s="258"/>
      <c r="AC7" s="107" t="s">
        <v>179</v>
      </c>
      <c r="AD7" s="265" t="s">
        <v>171</v>
      </c>
      <c r="AE7" s="266"/>
      <c r="AF7" s="257" t="s">
        <v>181</v>
      </c>
      <c r="AG7" s="258"/>
      <c r="AH7" s="257" t="s">
        <v>181</v>
      </c>
      <c r="AI7" s="258"/>
      <c r="AJ7" s="257" t="s">
        <v>183</v>
      </c>
      <c r="AK7" s="258"/>
      <c r="AL7" s="107" t="s">
        <v>180</v>
      </c>
    </row>
    <row r="8" spans="1:38" ht="56.25" customHeight="1" x14ac:dyDescent="0.2">
      <c r="B8" s="267" t="s">
        <v>157</v>
      </c>
      <c r="C8" s="291" t="s">
        <v>156</v>
      </c>
      <c r="D8" s="276" t="s">
        <v>167</v>
      </c>
      <c r="E8" s="292" t="s">
        <v>159</v>
      </c>
      <c r="F8" s="272" t="s">
        <v>154</v>
      </c>
      <c r="G8" s="272" t="s">
        <v>158</v>
      </c>
      <c r="H8" s="263" t="s">
        <v>155</v>
      </c>
      <c r="I8" s="279" t="s">
        <v>229</v>
      </c>
      <c r="J8" s="279" t="s">
        <v>230</v>
      </c>
      <c r="K8" s="279" t="s">
        <v>232</v>
      </c>
      <c r="L8" s="108"/>
      <c r="M8" s="108"/>
      <c r="N8" s="288" t="s">
        <v>162</v>
      </c>
      <c r="O8" s="285" t="s">
        <v>231</v>
      </c>
      <c r="P8" s="269" t="s">
        <v>168</v>
      </c>
      <c r="Q8" s="274" t="s">
        <v>169</v>
      </c>
      <c r="R8" s="284" t="s">
        <v>166</v>
      </c>
      <c r="S8" s="259" t="s">
        <v>238</v>
      </c>
      <c r="T8" s="259" t="s">
        <v>240</v>
      </c>
      <c r="U8" s="260"/>
      <c r="V8" s="259" t="s">
        <v>247</v>
      </c>
      <c r="W8" s="260"/>
      <c r="X8" s="259" t="s">
        <v>246</v>
      </c>
      <c r="Y8" s="260"/>
      <c r="Z8" s="273" t="s">
        <v>170</v>
      </c>
      <c r="AA8" s="259" t="s">
        <v>248</v>
      </c>
      <c r="AB8" s="260"/>
      <c r="AC8" s="263" t="s">
        <v>236</v>
      </c>
      <c r="AD8" s="96" t="s">
        <v>172</v>
      </c>
      <c r="AE8" s="97">
        <v>535600</v>
      </c>
      <c r="AF8" s="259" t="s">
        <v>233</v>
      </c>
      <c r="AG8" s="260"/>
      <c r="AH8" s="259" t="s">
        <v>249</v>
      </c>
      <c r="AI8" s="260"/>
      <c r="AJ8" s="259" t="s">
        <v>250</v>
      </c>
      <c r="AK8" s="260"/>
      <c r="AL8" s="263" t="s">
        <v>236</v>
      </c>
    </row>
    <row r="9" spans="1:38" ht="54" customHeight="1" thickBot="1" x14ac:dyDescent="0.25">
      <c r="B9" s="268"/>
      <c r="C9" s="291"/>
      <c r="D9" s="277"/>
      <c r="E9" s="293"/>
      <c r="F9" s="278"/>
      <c r="G9" s="263"/>
      <c r="H9" s="278"/>
      <c r="I9" s="279"/>
      <c r="J9" s="279"/>
      <c r="K9" s="279"/>
      <c r="L9" s="108" t="s">
        <v>175</v>
      </c>
      <c r="M9" s="108" t="s">
        <v>176</v>
      </c>
      <c r="N9" s="289"/>
      <c r="O9" s="286"/>
      <c r="P9" s="270"/>
      <c r="Q9" s="274"/>
      <c r="R9" s="284"/>
      <c r="S9" s="261"/>
      <c r="T9" s="67" t="s">
        <v>241</v>
      </c>
      <c r="U9" s="199" t="s">
        <v>242</v>
      </c>
      <c r="V9" s="67" t="s">
        <v>160</v>
      </c>
      <c r="W9" s="66">
        <v>1.1100000000000001</v>
      </c>
      <c r="X9" s="67" t="s">
        <v>185</v>
      </c>
      <c r="Y9" s="66">
        <v>0.75</v>
      </c>
      <c r="Z9" s="274"/>
      <c r="AA9" s="67" t="s">
        <v>178</v>
      </c>
      <c r="AB9" s="66">
        <v>0</v>
      </c>
      <c r="AC9" s="263"/>
      <c r="AD9" s="98" t="s">
        <v>173</v>
      </c>
      <c r="AE9" s="99">
        <v>566700</v>
      </c>
      <c r="AF9" s="115" t="s">
        <v>182</v>
      </c>
      <c r="AG9" s="205">
        <v>0</v>
      </c>
      <c r="AH9" s="115" t="s">
        <v>182</v>
      </c>
      <c r="AI9" s="205">
        <v>0</v>
      </c>
      <c r="AJ9" s="115" t="s">
        <v>184</v>
      </c>
      <c r="AK9" s="205">
        <v>0</v>
      </c>
      <c r="AL9" s="263"/>
    </row>
    <row r="10" spans="1:38" ht="44.25" customHeight="1" thickBot="1" x14ac:dyDescent="0.25">
      <c r="B10" s="268"/>
      <c r="C10" s="291"/>
      <c r="D10" s="277"/>
      <c r="E10" s="293"/>
      <c r="F10" s="278"/>
      <c r="G10" s="263"/>
      <c r="H10" s="278"/>
      <c r="I10" s="279"/>
      <c r="J10" s="279"/>
      <c r="K10" s="279"/>
      <c r="L10" s="108"/>
      <c r="M10" s="108"/>
      <c r="N10" s="290"/>
      <c r="O10" s="287"/>
      <c r="P10" s="271"/>
      <c r="Q10" s="274"/>
      <c r="R10" s="284"/>
      <c r="S10" s="262"/>
      <c r="T10" s="68" t="s">
        <v>153</v>
      </c>
      <c r="U10" s="225" t="s">
        <v>152</v>
      </c>
      <c r="V10" s="68" t="s">
        <v>153</v>
      </c>
      <c r="W10" s="69" t="s">
        <v>152</v>
      </c>
      <c r="X10" s="68" t="s">
        <v>153</v>
      </c>
      <c r="Y10" s="69" t="s">
        <v>152</v>
      </c>
      <c r="Z10" s="275"/>
      <c r="AA10" s="68" t="s">
        <v>153</v>
      </c>
      <c r="AB10" s="69" t="s">
        <v>152</v>
      </c>
      <c r="AC10" s="264"/>
      <c r="AD10" s="100" t="s">
        <v>174</v>
      </c>
      <c r="AE10" s="101">
        <v>30000</v>
      </c>
      <c r="AF10" s="116" t="s">
        <v>153</v>
      </c>
      <c r="AG10" s="114" t="s">
        <v>152</v>
      </c>
      <c r="AH10" s="116" t="s">
        <v>153</v>
      </c>
      <c r="AI10" s="114" t="s">
        <v>152</v>
      </c>
      <c r="AJ10" s="116" t="s">
        <v>153</v>
      </c>
      <c r="AK10" s="114" t="s">
        <v>152</v>
      </c>
      <c r="AL10" s="264"/>
    </row>
    <row r="11" spans="1:38" ht="18" customHeight="1" thickBot="1" x14ac:dyDescent="0.25">
      <c r="B11" s="133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57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5"/>
      <c r="AD11" s="136"/>
      <c r="AE11" s="137"/>
      <c r="AF11" s="138"/>
      <c r="AJ11" s="138"/>
      <c r="AL11" s="139"/>
    </row>
    <row r="12" spans="1:38" ht="36" customHeight="1" x14ac:dyDescent="0.25">
      <c r="B12" s="78">
        <v>1</v>
      </c>
      <c r="C12" s="79" t="s">
        <v>253</v>
      </c>
      <c r="D12" s="94">
        <v>1</v>
      </c>
      <c r="E12" s="80">
        <f t="shared" ref="E12:M12" si="0">+E13</f>
        <v>381856755</v>
      </c>
      <c r="F12" s="80">
        <f t="shared" si="0"/>
        <v>381856755</v>
      </c>
      <c r="G12" s="80">
        <f t="shared" si="0"/>
        <v>54112500</v>
      </c>
      <c r="H12" s="80">
        <f t="shared" si="0"/>
        <v>54112500</v>
      </c>
      <c r="I12" s="80">
        <f t="shared" si="0"/>
        <v>327744255</v>
      </c>
      <c r="J12" s="80">
        <f t="shared" si="0"/>
        <v>327744255</v>
      </c>
      <c r="K12" s="80">
        <f t="shared" si="0"/>
        <v>327744255</v>
      </c>
      <c r="L12" s="80">
        <f t="shared" si="0"/>
        <v>98677602</v>
      </c>
      <c r="M12" s="80">
        <f t="shared" si="0"/>
        <v>0</v>
      </c>
      <c r="N12" s="74">
        <v>1</v>
      </c>
      <c r="O12" s="200">
        <f>IF(ISERROR(VLOOKUP(N12,POA!$A$2:$C$16,3,0)),"",VLOOKUP(N12,POA!$A$2:$C$16,3,0))</f>
        <v>5</v>
      </c>
      <c r="P12" s="95"/>
      <c r="Q12" s="74">
        <f>+SUM(Q13:Q14)</f>
        <v>0</v>
      </c>
      <c r="R12" s="75">
        <f>IF(ISERROR(VLOOKUP(N12,POA!$A$2:$C$16,2,0)),"",VLOOKUP(N12,POA!$A$2:$C$16,2,0))</f>
        <v>222239000</v>
      </c>
      <c r="S12" s="80">
        <f>+R12*10%</f>
        <v>22223900</v>
      </c>
      <c r="T12" s="80">
        <f>+E12-G12</f>
        <v>327744255</v>
      </c>
      <c r="U12" s="226" t="str">
        <f>IF(OR(T12=0,N12="",R12=""),"",IF(T12&gt;=S12,"CUMPLE","NO HABIL"))</f>
        <v>CUMPLE</v>
      </c>
      <c r="V12" s="80">
        <f>IF(ISERROR(SUM(E12/G12)),0,SUM(E12/G12))</f>
        <v>7.056719889119889</v>
      </c>
      <c r="W12" s="226" t="str">
        <f>IF(OR(V12=0,N12="",R12=""),"",IF(V12&gt;=$W$9,"CUMPLE","NO CUMPLE"))</f>
        <v>CUMPLE</v>
      </c>
      <c r="X12" s="204">
        <f>IF(ISERROR(SUM(H12/F12)),0,SUM(H12/F12))</f>
        <v>0.14170889814427926</v>
      </c>
      <c r="Y12" s="226" t="str">
        <f>IF(OR(X12=0,N12="",R12=""),"",IF(X12&lt;=$Y$9,"CUMPLE","NO CUMPLE"))</f>
        <v>CUMPLE</v>
      </c>
      <c r="Z12" s="74">
        <f>+SUM(Z13:Z14)</f>
        <v>0</v>
      </c>
      <c r="AA12" s="204">
        <f>IF(ISERROR(SUM(L12/M12)),0,SUM(L12/M12))</f>
        <v>0</v>
      </c>
      <c r="AB12" s="226" t="s">
        <v>237</v>
      </c>
      <c r="AC12" s="226" t="str">
        <f>IF(OR(U12="",W12="",Y12="",AB12=""),"NO HABIL",IF(U12="NO HABIL","NO HABIL",IF(W12="NO HABIL","NO HABIL",IF(Y12="NO HABIL","NO HABIL",IF(AB12="NO HABIL","NO HABIL",IF(AB12="NO HABIL","NO HABIL","CUMPLE"))))))</f>
        <v>CUMPLE</v>
      </c>
      <c r="AD12" s="111"/>
      <c r="AE12" s="102"/>
      <c r="AF12" s="204">
        <f>IF(ISERROR(SUM(L12/K12)),0,SUM(L12/K12))</f>
        <v>0.30108110361842955</v>
      </c>
      <c r="AG12" s="81" t="str">
        <f>IF(OR(AF12=0,N12="",R12=""),"",IF(AF12&gt;=$AG$9,"HABIL","NO HABIL"))</f>
        <v>HABIL</v>
      </c>
      <c r="AH12" s="204">
        <f>L12/K12</f>
        <v>0.30108110361842955</v>
      </c>
      <c r="AI12" s="226" t="str">
        <f>IF(OR(AH12=0,O12="",S12=""),"",IF(AH12&gt;=$AI$9,"CUMPLE","NO HABIL"))</f>
        <v>CUMPLE</v>
      </c>
      <c r="AJ12" s="204">
        <f>IF(ISERROR(SUM(L12/F12)),0,SUM(L12/F12))</f>
        <v>0.25841523217259832</v>
      </c>
      <c r="AK12" s="226" t="str">
        <f>IF(OR(AJ12=0,N12="",R12=""),"",IF(AJ12&gt;=$AK$9,"CUMPLE","NO CUMPLE"))</f>
        <v>CUMPLE</v>
      </c>
      <c r="AL12" s="226" t="str">
        <f>IF(OR(AI12="",AK12=""),"",IF(AI12="NO CUMPLE","NO CUMPLE",IF(AK12="NO CUMPLE","NO CUMPLE",IF(AK12="NO CUMPLE","NO CUMPLE","CUMPLE"))))</f>
        <v>CUMPLE</v>
      </c>
    </row>
    <row r="13" spans="1:38" ht="16.5" x14ac:dyDescent="0.25">
      <c r="A13" s="128"/>
      <c r="B13" s="71"/>
      <c r="C13" s="224" t="s">
        <v>253</v>
      </c>
      <c r="D13" s="221">
        <v>1</v>
      </c>
      <c r="E13" s="228">
        <v>381856755</v>
      </c>
      <c r="F13" s="228">
        <v>381856755</v>
      </c>
      <c r="G13" s="228">
        <v>54112500</v>
      </c>
      <c r="H13" s="228">
        <v>54112500</v>
      </c>
      <c r="I13" s="222">
        <f t="shared" ref="I13:J17" si="1">IF(ISERROR(E13-G13),"",E13-G13)</f>
        <v>327744255</v>
      </c>
      <c r="J13" s="229">
        <f t="shared" si="1"/>
        <v>327744255</v>
      </c>
      <c r="K13" s="222">
        <f t="shared" ref="K13:K17" si="2">IF(ISERROR(F13-H13),"",F13-H13)</f>
        <v>327744255</v>
      </c>
      <c r="L13" s="222">
        <v>98677602</v>
      </c>
      <c r="M13" s="222">
        <f>IF(ISERROR(VLOOKUP(C13,#REF!,7,0)),0,VLOOKUP(C13,#REF!,7,0))</f>
        <v>0</v>
      </c>
      <c r="N13" s="159"/>
      <c r="O13" s="201"/>
      <c r="P13" s="72"/>
      <c r="Q13" s="72"/>
      <c r="R13" s="73"/>
      <c r="S13" s="77"/>
      <c r="T13" s="77"/>
      <c r="U13" s="76"/>
      <c r="V13" s="77"/>
      <c r="W13" s="76"/>
      <c r="X13" s="109"/>
      <c r="Y13" s="76"/>
      <c r="Z13" s="72"/>
      <c r="AA13" s="72"/>
      <c r="AB13" s="76"/>
      <c r="AC13" s="76"/>
      <c r="AD13" s="110"/>
      <c r="AE13" s="103"/>
      <c r="AF13" s="117"/>
      <c r="AG13" s="76"/>
      <c r="AH13" s="227"/>
      <c r="AI13" s="227"/>
      <c r="AJ13" s="117"/>
      <c r="AK13" s="76"/>
      <c r="AL13" s="112"/>
    </row>
    <row r="14" spans="1:38" ht="17.25" thickBot="1" x14ac:dyDescent="0.3">
      <c r="A14" s="128"/>
      <c r="B14" s="71"/>
      <c r="C14" s="224"/>
      <c r="D14" s="221"/>
      <c r="E14" s="228"/>
      <c r="F14" s="228"/>
      <c r="G14" s="228"/>
      <c r="H14" s="228"/>
      <c r="I14" s="222">
        <f t="shared" si="1"/>
        <v>0</v>
      </c>
      <c r="J14" s="229">
        <f t="shared" si="1"/>
        <v>0</v>
      </c>
      <c r="K14" s="222">
        <f t="shared" si="2"/>
        <v>0</v>
      </c>
      <c r="L14" s="222">
        <f>IF(ISERROR(VLOOKUP(C14,#REF!,6,0)),0,VLOOKUP(C14,#REF!,6,0))</f>
        <v>0</v>
      </c>
      <c r="M14" s="222">
        <f>IF(ISERROR(VLOOKUP(C14,#REF!,7,0)),0,VLOOKUP(C14,#REF!,7,0))</f>
        <v>0</v>
      </c>
      <c r="N14" s="158"/>
      <c r="O14" s="158"/>
      <c r="P14" s="72"/>
      <c r="Q14" s="72"/>
      <c r="R14" s="73"/>
      <c r="S14" s="77"/>
      <c r="T14" s="77"/>
      <c r="U14" s="76"/>
      <c r="V14" s="77"/>
      <c r="W14" s="76"/>
      <c r="X14" s="109"/>
      <c r="Y14" s="76"/>
      <c r="Z14" s="72"/>
      <c r="AA14" s="72"/>
      <c r="AB14" s="76"/>
      <c r="AC14" s="76"/>
      <c r="AD14" s="110"/>
      <c r="AE14" s="103"/>
      <c r="AF14" s="117"/>
      <c r="AG14" s="76"/>
      <c r="AH14" s="227"/>
      <c r="AI14" s="227"/>
      <c r="AJ14" s="117"/>
      <c r="AK14" s="76"/>
      <c r="AL14" s="113"/>
    </row>
    <row r="15" spans="1:38" ht="18" customHeight="1" x14ac:dyDescent="0.25">
      <c r="B15" s="78">
        <v>2</v>
      </c>
      <c r="C15" s="79" t="str">
        <f t="shared" ref="C15:I15" si="3">+C16</f>
        <v>TULCAN L J EIVAR</v>
      </c>
      <c r="D15" s="94">
        <f t="shared" si="3"/>
        <v>1</v>
      </c>
      <c r="E15" s="80">
        <f t="shared" si="3"/>
        <v>942946787</v>
      </c>
      <c r="F15" s="80">
        <f>+F16</f>
        <v>1708885519</v>
      </c>
      <c r="G15" s="80">
        <f t="shared" si="3"/>
        <v>205911825</v>
      </c>
      <c r="H15" s="80">
        <f t="shared" si="3"/>
        <v>1133731556</v>
      </c>
      <c r="I15" s="80">
        <f t="shared" si="3"/>
        <v>737034962</v>
      </c>
      <c r="J15" s="80">
        <f t="shared" si="1"/>
        <v>575153963</v>
      </c>
      <c r="K15" s="80">
        <f>IF(ISERROR(F15-H15),"",F15-H15)</f>
        <v>575153963</v>
      </c>
      <c r="L15" s="80">
        <f>+L16</f>
        <v>69204578</v>
      </c>
      <c r="M15" s="80">
        <f>+M16</f>
        <v>49234499</v>
      </c>
      <c r="N15" s="74">
        <v>1</v>
      </c>
      <c r="O15" s="200">
        <f>IF(ISERROR(VLOOKUP(N15,POA!$A$2:$C$16,3,0)),"",VLOOKUP(N15,POA!$A$2:$C$16,3,0))</f>
        <v>5</v>
      </c>
      <c r="P15" s="95"/>
      <c r="Q15" s="74">
        <f>+SUM(Q16:Q17)</f>
        <v>0</v>
      </c>
      <c r="R15" s="75">
        <f>IF(ISERROR(VLOOKUP(N15,POA!$A$2:$C$16,2,0)),"",VLOOKUP(N15,POA!$A$2:$C$16,2,0))</f>
        <v>222239000</v>
      </c>
      <c r="S15" s="80">
        <f>+R15*10%</f>
        <v>22223900</v>
      </c>
      <c r="T15" s="80">
        <f>+E15-G15</f>
        <v>737034962</v>
      </c>
      <c r="U15" s="226" t="str">
        <f>IF(OR(T15=0,N15="",R15=""),"",IF(T15&gt;=S15,"CUMPLE","NO HABIL"))</f>
        <v>CUMPLE</v>
      </c>
      <c r="V15" s="80">
        <f>IF(ISERROR(SUM(E15/G15)),0,SUM(E15/G15))</f>
        <v>4.5793717140819865</v>
      </c>
      <c r="W15" s="226" t="str">
        <f>IF(OR(V15=0,N15="",R15=""),"",IF(V15&gt;=$W$9,"CUMPLE","NO CUMPLE"))</f>
        <v>CUMPLE</v>
      </c>
      <c r="X15" s="204">
        <f>IF(ISERROR(SUM(H15/F15)),0,SUM(H15/F15))</f>
        <v>0.663433298131892</v>
      </c>
      <c r="Y15" s="226" t="str">
        <f>IF(OR(X15=0,N15="",R15=""),"",IF(X15&lt;=$Y$9,"CUMPLE","NO CUMPLE"))</f>
        <v>CUMPLE</v>
      </c>
      <c r="Z15" s="74">
        <f>+SUM(Z16:Z17)</f>
        <v>0</v>
      </c>
      <c r="AA15" s="204">
        <f>IF(ISERROR(SUM(L15/M15)),0,SUM(L15/M15))</f>
        <v>1.4056115001799856</v>
      </c>
      <c r="AB15" s="226" t="s">
        <v>237</v>
      </c>
      <c r="AC15" s="226" t="str">
        <f>IF(OR(U15="",W15="",Y15="",AB15=""),"NO HABIL",IF(U15="NO HABIL","NO HABIL",IF(W15="NO HABIL","NO HABIL",IF(Y15="NO HABIL","NO HABIL",IF(AB15="NO HABIL","NO HABIL",IF(AB15="NO HABIL","NO HABIL","CUMPLE"))))))</f>
        <v>CUMPLE</v>
      </c>
      <c r="AD15" s="111">
        <f t="shared" ref="AD15" si="4">IF(ISERROR(F15/$AE$9),"",F15/$AE$9)</f>
        <v>3015.5029451208752</v>
      </c>
      <c r="AE15" s="102" t="str">
        <f t="shared" ref="AE15" si="5">+IF(AD15&lt;$AE$10,"MIPYME","NO CUMPLE")</f>
        <v>MIPYME</v>
      </c>
      <c r="AF15" s="204">
        <f>IF(ISERROR(SUM(L15/K15)),0,SUM(L15/K15))</f>
        <v>0.12032356977778487</v>
      </c>
      <c r="AG15" s="81" t="str">
        <f>IF(OR(AF15=0,N15="",R15=""),"",IF(AF15&gt;=$AG$9,"HABIL","NO HABIL"))</f>
        <v>HABIL</v>
      </c>
      <c r="AH15" s="204">
        <f>L15/K15</f>
        <v>0.12032356977778487</v>
      </c>
      <c r="AI15" s="226" t="str">
        <f>IF(OR(AH15=0,O15="",S15=""),"",IF(AH15&gt;=$AI$9,"CUMPLE","NO HABIL"))</f>
        <v>CUMPLE</v>
      </c>
      <c r="AJ15" s="204">
        <f>IF(ISERROR(SUM(L15/F15)),0,SUM(L15/F15))</f>
        <v>4.0496907037106213E-2</v>
      </c>
      <c r="AK15" s="226" t="str">
        <f>IF(OR(AJ15=0,N15="",R15=""),"",IF(AJ15&gt;=$AK$9,"CUMPLE","NO CUMPLE"))</f>
        <v>CUMPLE</v>
      </c>
      <c r="AL15" s="226" t="str">
        <f>IF(OR(AI15="",AK15=""),"",IF(AI15="NO CUMPLE","NO CUMPLE",IF(AK15="NO CUMPLE","NO CUMPLE",IF(AK15="NO CUMPLE","NO CUMPLE","CUMPLE"))))</f>
        <v>CUMPLE</v>
      </c>
    </row>
    <row r="16" spans="1:38" ht="18" customHeight="1" x14ac:dyDescent="0.25">
      <c r="B16" s="71"/>
      <c r="C16" s="230" t="s">
        <v>254</v>
      </c>
      <c r="D16" s="221">
        <v>1</v>
      </c>
      <c r="E16" s="228">
        <v>942946787</v>
      </c>
      <c r="F16" s="228">
        <v>1708885519</v>
      </c>
      <c r="G16" s="228">
        <v>205911825</v>
      </c>
      <c r="H16" s="228">
        <v>1133731556</v>
      </c>
      <c r="I16" s="198">
        <f t="shared" ref="I16:I17" si="6">IF(ISERROR(E16-G16),"",E16-G16)</f>
        <v>737034962</v>
      </c>
      <c r="J16" s="70">
        <f t="shared" si="1"/>
        <v>575153963</v>
      </c>
      <c r="K16" s="198">
        <f>IF(ISERROR(F16-H16),"",F16-H16)</f>
        <v>575153963</v>
      </c>
      <c r="L16" s="228">
        <v>69204578</v>
      </c>
      <c r="M16" s="228">
        <v>49234499</v>
      </c>
      <c r="N16" s="159"/>
      <c r="O16" s="201"/>
      <c r="P16" s="72"/>
      <c r="Q16" s="72"/>
      <c r="R16" s="73"/>
      <c r="S16" s="77"/>
      <c r="T16" s="77"/>
      <c r="U16" s="76"/>
      <c r="V16" s="77"/>
      <c r="W16" s="76"/>
      <c r="X16" s="109"/>
      <c r="Y16" s="76"/>
      <c r="Z16" s="72"/>
      <c r="AA16" s="72"/>
      <c r="AB16" s="76"/>
      <c r="AC16" s="76"/>
      <c r="AD16" s="110"/>
      <c r="AE16" s="103"/>
      <c r="AF16" s="117"/>
      <c r="AG16" s="76"/>
      <c r="AH16" s="227"/>
      <c r="AI16" s="227"/>
      <c r="AJ16" s="117"/>
      <c r="AK16" s="76"/>
      <c r="AL16" s="112"/>
    </row>
    <row r="17" spans="2:38" ht="18" customHeight="1" thickBot="1" x14ac:dyDescent="0.3">
      <c r="B17" s="71"/>
      <c r="C17" s="230"/>
      <c r="D17" s="221"/>
      <c r="E17" s="70">
        <f>IF(ISERROR(VLOOKUP(C17,#REF!,2,0)),0,VLOOKUP(C17,#REF!,2,0))</f>
        <v>0</v>
      </c>
      <c r="F17" s="70">
        <f>IF(ISERROR(VLOOKUP(C17,#REF!,3,0)),0,VLOOKUP(C17,#REF!,3,0))</f>
        <v>0</v>
      </c>
      <c r="G17" s="70">
        <f>IF(ISERROR(VLOOKUP(C17,#REF!,4,0)),0,VLOOKUP(C17,#REF!,4,0))</f>
        <v>0</v>
      </c>
      <c r="H17" s="70">
        <f>IF(ISERROR(VLOOKUP(C17,#REF!,5,0)),0,VLOOKUP(C17,#REF!,5,0))</f>
        <v>0</v>
      </c>
      <c r="I17" s="198">
        <f t="shared" si="6"/>
        <v>0</v>
      </c>
      <c r="J17" s="70">
        <f t="shared" si="1"/>
        <v>0</v>
      </c>
      <c r="K17" s="198">
        <f t="shared" si="2"/>
        <v>0</v>
      </c>
      <c r="L17" s="228"/>
      <c r="M17" s="228"/>
      <c r="N17" s="158"/>
      <c r="O17" s="158"/>
      <c r="P17" s="72"/>
      <c r="Q17" s="72"/>
      <c r="R17" s="73"/>
      <c r="S17" s="77"/>
      <c r="T17" s="77"/>
      <c r="U17" s="76"/>
      <c r="V17" s="77"/>
      <c r="W17" s="76"/>
      <c r="X17" s="109"/>
      <c r="Y17" s="76"/>
      <c r="Z17" s="72"/>
      <c r="AA17" s="72"/>
      <c r="AB17" s="76"/>
      <c r="AC17" s="76"/>
      <c r="AD17" s="110"/>
      <c r="AE17" s="103"/>
      <c r="AF17" s="117"/>
      <c r="AG17" s="76"/>
      <c r="AH17" s="227"/>
      <c r="AI17" s="227"/>
      <c r="AJ17" s="117"/>
      <c r="AK17" s="76"/>
      <c r="AL17" s="113"/>
    </row>
    <row r="18" spans="2:38" ht="18" customHeight="1" x14ac:dyDescent="0.25">
      <c r="B18" s="78">
        <v>3</v>
      </c>
      <c r="C18" s="79" t="str">
        <f>+C19</f>
        <v>CARLOS ALBERTO DEL RIO RESTREPO</v>
      </c>
      <c r="D18" s="94">
        <f>IF(SUM(D19:D20)=0,"",SUM(D19:D20))</f>
        <v>1</v>
      </c>
      <c r="E18" s="80">
        <f t="shared" ref="E18:H18" si="7">+E19</f>
        <v>237910633</v>
      </c>
      <c r="F18" s="80">
        <f t="shared" si="7"/>
        <v>733910633</v>
      </c>
      <c r="G18" s="80">
        <f t="shared" si="7"/>
        <v>29265000</v>
      </c>
      <c r="H18" s="80">
        <f t="shared" si="7"/>
        <v>74265000</v>
      </c>
      <c r="I18" s="80">
        <f>IF(ISERROR(SUM(I19:I20)),"",SUM(I19:I20))</f>
        <v>208645633</v>
      </c>
      <c r="J18" s="80">
        <f>IF(ISERROR(SUM(J19:J20)),"",SUM(J19:J20))</f>
        <v>659645633</v>
      </c>
      <c r="K18" s="80">
        <f>IF(ISERROR(F18-H18),"",F18-H18)</f>
        <v>659645633</v>
      </c>
      <c r="L18" s="80">
        <f>+L19</f>
        <v>158805313</v>
      </c>
      <c r="M18" s="80">
        <f>+M19</f>
        <v>860000</v>
      </c>
      <c r="N18" s="74">
        <v>1</v>
      </c>
      <c r="O18" s="200">
        <f>IF(ISERROR(VLOOKUP(N18,POA!$A$2:$C$16,3,0)),"",VLOOKUP(N18,POA!$A$2:$C$16,3,0))</f>
        <v>5</v>
      </c>
      <c r="P18" s="95"/>
      <c r="Q18" s="74">
        <f>+SUM(Q19:Q20)</f>
        <v>0</v>
      </c>
      <c r="R18" s="75">
        <f>IF(ISERROR(VLOOKUP(N18,POA!$A$2:$C$16,2,0)),"",VLOOKUP(N18,POA!$A$2:$C$16,2,0))</f>
        <v>222239000</v>
      </c>
      <c r="S18" s="80">
        <f>+R18*10%</f>
        <v>22223900</v>
      </c>
      <c r="T18" s="80">
        <f>+E18-G18</f>
        <v>208645633</v>
      </c>
      <c r="U18" s="226" t="str">
        <f>IF(OR(T18=0,N18="",R18=""),"",IF(T18&gt;=S18,"CUMPLE","NO HABIL"))</f>
        <v>CUMPLE</v>
      </c>
      <c r="V18" s="80">
        <f>IF(ISERROR(SUM(E18/G18)),0,SUM(E18/G18))</f>
        <v>8.1295278660515979</v>
      </c>
      <c r="W18" s="226" t="str">
        <f>IF(OR(V18=0,N18="",R18=""),"",IF(V18&gt;=$W$9,"CUMPLE","NO CUMPLE"))</f>
        <v>CUMPLE</v>
      </c>
      <c r="X18" s="204">
        <f>IF(ISERROR(SUM(H18/F18)),0,SUM(H18/F18))</f>
        <v>0.10119079443831958</v>
      </c>
      <c r="Y18" s="226" t="str">
        <f>IF(OR(X18=0,N18="",R18=""),"",IF(X18&lt;=$Y$9,"CUMPLE","NO CUMPLE"))</f>
        <v>CUMPLE</v>
      </c>
      <c r="Z18" s="74">
        <f>+SUM(Z19:Z20)</f>
        <v>0</v>
      </c>
      <c r="AA18" s="204">
        <f>IF(ISERROR(SUM(L18/M18)),0,SUM(L18/M18))</f>
        <v>184.65734069767441</v>
      </c>
      <c r="AB18" s="226" t="s">
        <v>237</v>
      </c>
      <c r="AC18" s="226" t="str">
        <f>IF(OR(U18="",W18="",Y18="",AB18=""),"NO HABIL",IF(U18="NO HABIL","NO HABIL",IF(W18="NO HABIL","NO HABIL",IF(Y18="NO HABIL","NO HABIL",IF(AB18="NO HABIL","NO HABIL",IF(AB18="NO HABIL","NO HABIL","CUMPLE"))))))</f>
        <v>CUMPLE</v>
      </c>
      <c r="AD18" s="111"/>
      <c r="AE18" s="102"/>
      <c r="AF18" s="204">
        <f>IF(ISERROR(SUM(L18/K18)),0,SUM(L18/K18))</f>
        <v>0.24074337046357738</v>
      </c>
      <c r="AG18" s="81" t="str">
        <f>IF(OR(AF18=0,N18="",R18=""),"",IF(AF18&gt;=$AG$9,"HABIL","NO HABIL"))</f>
        <v>HABIL</v>
      </c>
      <c r="AH18" s="204">
        <f>L18/K18</f>
        <v>0.24074337046357738</v>
      </c>
      <c r="AI18" s="226" t="str">
        <f>IF(OR(AH18=0,O18="",S18=""),"",IF(AH18&gt;=$AI$9,"CUMPLE","NO HABIL"))</f>
        <v>CUMPLE</v>
      </c>
      <c r="AJ18" s="204">
        <f>IF(ISERROR(SUM(L18/F18)),0,SUM(L18/F18))</f>
        <v>0.21638235755060931</v>
      </c>
      <c r="AK18" s="226" t="str">
        <f>IF(OR(AJ18=0,N18="",R18=""),"",IF(AJ18&gt;=$AK$9,"CUMPLE","NO CUMPLE"))</f>
        <v>CUMPLE</v>
      </c>
      <c r="AL18" s="226" t="str">
        <f>IF(OR(AI18="",AK18=""),"",IF(AI18="NO CUMPLE","NO CUMPLE",IF(AK18="NO CUMPLE","NO CUMPLE",IF(AK18="NO CUMPLE","NO CUMPLE","CUMPLE"))))</f>
        <v>CUMPLE</v>
      </c>
    </row>
    <row r="19" spans="2:38" ht="18" customHeight="1" x14ac:dyDescent="0.25">
      <c r="B19" s="71"/>
      <c r="C19" s="224" t="s">
        <v>255</v>
      </c>
      <c r="D19" s="206">
        <v>1</v>
      </c>
      <c r="E19" s="198">
        <v>237910633</v>
      </c>
      <c r="F19" s="198">
        <v>733910633</v>
      </c>
      <c r="G19" s="198">
        <v>29265000</v>
      </c>
      <c r="H19" s="198">
        <v>74265000</v>
      </c>
      <c r="I19" s="198">
        <f t="shared" ref="I19:I20" si="8">IF(ISERROR(E19-G19),"",E19-G19)</f>
        <v>208645633</v>
      </c>
      <c r="J19" s="70">
        <f t="shared" ref="J19:J20" si="9">IF(ISERROR(F19-H19),"",F19-H19)</f>
        <v>659645633</v>
      </c>
      <c r="K19" s="198">
        <f>IF(ISERROR(F19-H19),"",F19-H19)</f>
        <v>659645633</v>
      </c>
      <c r="L19" s="198">
        <v>158805313</v>
      </c>
      <c r="M19" s="198">
        <v>860000</v>
      </c>
      <c r="N19" s="159"/>
      <c r="O19" s="201"/>
      <c r="P19" s="72"/>
      <c r="Q19" s="72"/>
      <c r="R19" s="73"/>
      <c r="S19" s="77"/>
      <c r="T19" s="77"/>
      <c r="U19" s="76"/>
      <c r="V19" s="77"/>
      <c r="W19" s="76"/>
      <c r="X19" s="109"/>
      <c r="Y19" s="76"/>
      <c r="Z19" s="72"/>
      <c r="AA19" s="72"/>
      <c r="AB19" s="76"/>
      <c r="AC19" s="76"/>
      <c r="AD19" s="110"/>
      <c r="AE19" s="103"/>
      <c r="AF19" s="117"/>
      <c r="AG19" s="76"/>
      <c r="AH19" s="227"/>
      <c r="AI19" s="227"/>
      <c r="AJ19" s="117"/>
      <c r="AK19" s="76"/>
      <c r="AL19" s="112"/>
    </row>
    <row r="20" spans="2:38" ht="18" customHeight="1" x14ac:dyDescent="0.25">
      <c r="B20" s="71"/>
      <c r="C20" s="224"/>
      <c r="D20" s="206"/>
      <c r="E20" s="198"/>
      <c r="F20" s="198"/>
      <c r="G20" s="198"/>
      <c r="H20" s="198"/>
      <c r="I20" s="198">
        <f t="shared" si="8"/>
        <v>0</v>
      </c>
      <c r="J20" s="70">
        <f t="shared" si="9"/>
        <v>0</v>
      </c>
      <c r="K20" s="198">
        <f t="shared" ref="K20" si="10">IF(ISERROR(F20-H20),"",F20-H20)</f>
        <v>0</v>
      </c>
      <c r="L20" s="198">
        <f>IF(ISERROR(VLOOKUP(C20,#REF!,6,0)),0,VLOOKUP(C20,#REF!,6,0))</f>
        <v>0</v>
      </c>
      <c r="M20" s="198"/>
      <c r="N20" s="158"/>
      <c r="O20" s="158"/>
      <c r="P20" s="72"/>
      <c r="Q20" s="72"/>
      <c r="R20" s="73"/>
      <c r="S20" s="77"/>
      <c r="T20" s="77"/>
      <c r="U20" s="76"/>
      <c r="V20" s="77"/>
      <c r="W20" s="76"/>
      <c r="X20" s="109"/>
      <c r="Y20" s="76"/>
      <c r="Z20" s="72"/>
      <c r="AA20" s="72"/>
      <c r="AB20" s="76"/>
      <c r="AC20" s="76"/>
      <c r="AD20" s="110"/>
      <c r="AE20" s="103"/>
      <c r="AF20" s="117"/>
      <c r="AG20" s="76"/>
      <c r="AH20" s="227"/>
      <c r="AI20" s="227"/>
      <c r="AJ20" s="117"/>
      <c r="AK20" s="76"/>
      <c r="AL20" s="113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1">
    <mergeCell ref="B1:AC1"/>
    <mergeCell ref="B4:AL4"/>
    <mergeCell ref="B3:AL3"/>
    <mergeCell ref="B2:AL2"/>
    <mergeCell ref="R8:R10"/>
    <mergeCell ref="O8:O10"/>
    <mergeCell ref="Q8:Q10"/>
    <mergeCell ref="N8:N10"/>
    <mergeCell ref="C8:C10"/>
    <mergeCell ref="J8:J10"/>
    <mergeCell ref="E8:E10"/>
    <mergeCell ref="B7:D7"/>
    <mergeCell ref="V7:W7"/>
    <mergeCell ref="X7:Y7"/>
    <mergeCell ref="E7:J7"/>
    <mergeCell ref="B5:AL5"/>
    <mergeCell ref="B8:B10"/>
    <mergeCell ref="P8:P10"/>
    <mergeCell ref="AC8:AC10"/>
    <mergeCell ref="V8:W8"/>
    <mergeCell ref="X8:Y8"/>
    <mergeCell ref="G8:G10"/>
    <mergeCell ref="Z8:Z10"/>
    <mergeCell ref="D8:D10"/>
    <mergeCell ref="F8:F10"/>
    <mergeCell ref="H8:H10"/>
    <mergeCell ref="I8:I10"/>
    <mergeCell ref="K8:K10"/>
    <mergeCell ref="AL8:AL10"/>
    <mergeCell ref="AA7:AB7"/>
    <mergeCell ref="AA8:AB8"/>
    <mergeCell ref="AF7:AG7"/>
    <mergeCell ref="AF8:AG8"/>
    <mergeCell ref="AD7:AE7"/>
    <mergeCell ref="T7:U7"/>
    <mergeCell ref="T8:U8"/>
    <mergeCell ref="AJ7:AK7"/>
    <mergeCell ref="AJ8:AK8"/>
    <mergeCell ref="S8:S10"/>
    <mergeCell ref="AH7:AI7"/>
    <mergeCell ref="AH8:AI8"/>
  </mergeCells>
  <phoneticPr fontId="0" type="noConversion"/>
  <conditionalFormatting sqref="AC7 AD11 AD7:AD9 AE8:AE9 AD10:AE10 AL7:AL11 AF11:AK11 AM1:JB11 AD1:AL1 Z12:AA12 Z19:AB20 Z16:AB17 Z15:AA15 Z18:AA18 J13:J14 Z13:AB14 AF13:AK14 D18 D15 AD12:AE20 V12:V20 N12:T20">
    <cfRule type="cellIs" dxfId="184" priority="8189" stopIfTrue="1" operator="equal">
      <formula>"NO ADMISIBLE"</formula>
    </cfRule>
  </conditionalFormatting>
  <conditionalFormatting sqref="AA12 X12 W19:Y20 AC19:AC20 AA15 W16:Y17 AC16:AC17 X15 AA18 X18 W13:Y14 AB13:AC14 AG13:AI14 AK13:AL14 U13:U14">
    <cfRule type="cellIs" dxfId="183" priority="8190" stopIfTrue="1" operator="equal">
      <formula>"NO ADMISIBLE"</formula>
    </cfRule>
    <cfRule type="cellIs" dxfId="182" priority="8191" stopIfTrue="1" operator="equal">
      <formula>"ADMISIBLE"</formula>
    </cfRule>
  </conditionalFormatting>
  <conditionalFormatting sqref="AB19:AB20 AB16:AB17">
    <cfRule type="cellIs" dxfId="181" priority="7058" stopIfTrue="1" operator="equal">
      <formula>"NO ADMISIBLE"</formula>
    </cfRule>
    <cfRule type="cellIs" dxfId="180" priority="7059" stopIfTrue="1" operator="equal">
      <formula>"ADMISIBLE"</formula>
    </cfRule>
  </conditionalFormatting>
  <conditionalFormatting sqref="AF12:AG12">
    <cfRule type="cellIs" dxfId="179" priority="7057" stopIfTrue="1" operator="equal">
      <formula>"NO ADMISIBLE"</formula>
    </cfRule>
  </conditionalFormatting>
  <conditionalFormatting sqref="AF12">
    <cfRule type="cellIs" dxfId="178" priority="7055" stopIfTrue="1" operator="equal">
      <formula>"NO ADMISIBLE"</formula>
    </cfRule>
    <cfRule type="cellIs" dxfId="177" priority="7056" stopIfTrue="1" operator="equal">
      <formula>"ADMISIBLE"</formula>
    </cfRule>
  </conditionalFormatting>
  <conditionalFormatting sqref="AG12 AG19:AI20 AG16:AI17 AG15 AG18">
    <cfRule type="cellIs" dxfId="176" priority="7053" stopIfTrue="1" operator="equal">
      <formula>"NO ADMISIBLE"</formula>
    </cfRule>
    <cfRule type="cellIs" dxfId="175" priority="7054" stopIfTrue="1" operator="equal">
      <formula>"ADMISIBLE"</formula>
    </cfRule>
  </conditionalFormatting>
  <conditionalFormatting sqref="AJ12">
    <cfRule type="cellIs" dxfId="174" priority="7052" stopIfTrue="1" operator="equal">
      <formula>"NO ADMISIBLE"</formula>
    </cfRule>
  </conditionalFormatting>
  <conditionalFormatting sqref="AJ12">
    <cfRule type="cellIs" dxfId="173" priority="7050" stopIfTrue="1" operator="equal">
      <formula>"NO ADMISIBLE"</formula>
    </cfRule>
    <cfRule type="cellIs" dxfId="172" priority="7051" stopIfTrue="1" operator="equal">
      <formula>"ADMISIBLE"</formula>
    </cfRule>
  </conditionalFormatting>
  <conditionalFormatting sqref="AK19:AK20 AK16:AK17">
    <cfRule type="cellIs" dxfId="171" priority="7048" stopIfTrue="1" operator="equal">
      <formula>"NO ADMISIBLE"</formula>
    </cfRule>
    <cfRule type="cellIs" dxfId="170" priority="7049" stopIfTrue="1" operator="equal">
      <formula>"ADMISIBLE"</formula>
    </cfRule>
  </conditionalFormatting>
  <conditionalFormatting sqref="AL19:AL20 AL16:AL17">
    <cfRule type="cellIs" dxfId="169" priority="7046" stopIfTrue="1" operator="equal">
      <formula>"NO ADMISIBLE"</formula>
    </cfRule>
    <cfRule type="cellIs" dxfId="168" priority="7047" stopIfTrue="1" operator="equal">
      <formula>"ADMISIBLE"</formula>
    </cfRule>
  </conditionalFormatting>
  <conditionalFormatting sqref="U19:U20 U16:U17">
    <cfRule type="cellIs" dxfId="167" priority="7041" stopIfTrue="1" operator="equal">
      <formula>"NO ADMISIBLE"</formula>
    </cfRule>
    <cfRule type="cellIs" dxfId="166" priority="7042" stopIfTrue="1" operator="equal">
      <formula>"ADMISIBLE"</formula>
    </cfRule>
  </conditionalFormatting>
  <conditionalFormatting sqref="D12">
    <cfRule type="cellIs" dxfId="165" priority="5198" stopIfTrue="1" operator="equal">
      <formula>"NO ADMISIBLE"</formula>
    </cfRule>
  </conditionalFormatting>
  <conditionalFormatting sqref="C12">
    <cfRule type="cellIs" dxfId="164" priority="211" stopIfTrue="1" operator="equal">
      <formula>"NO ADMISIBLE"</formula>
    </cfRule>
  </conditionalFormatting>
  <conditionalFormatting sqref="D14">
    <cfRule type="cellIs" dxfId="163" priority="210" stopIfTrue="1" operator="equal">
      <formula>"NO ADMISIBLE"</formula>
    </cfRule>
  </conditionalFormatting>
  <conditionalFormatting sqref="U12">
    <cfRule type="cellIs" dxfId="162" priority="193" stopIfTrue="1" operator="equal">
      <formula>"NO ADMISIBLE"</formula>
    </cfRule>
    <cfRule type="cellIs" dxfId="161" priority="194" stopIfTrue="1" operator="equal">
      <formula>"ADMISIBLE"</formula>
    </cfRule>
  </conditionalFormatting>
  <conditionalFormatting sqref="AC8:AC10">
    <cfRule type="cellIs" dxfId="160" priority="186" stopIfTrue="1" operator="equal">
      <formula>"NO ADMISIBLE"</formula>
    </cfRule>
  </conditionalFormatting>
  <conditionalFormatting sqref="W12">
    <cfRule type="cellIs" dxfId="159" priority="184" stopIfTrue="1" operator="equal">
      <formula>"NO ADMISIBLE"</formula>
    </cfRule>
    <cfRule type="cellIs" dxfId="158" priority="185" stopIfTrue="1" operator="equal">
      <formula>"ADMISIBLE"</formula>
    </cfRule>
  </conditionalFormatting>
  <conditionalFormatting sqref="Y12">
    <cfRule type="cellIs" dxfId="157" priority="182" stopIfTrue="1" operator="equal">
      <formula>"NO ADMISIBLE"</formula>
    </cfRule>
    <cfRule type="cellIs" dxfId="156" priority="183" stopIfTrue="1" operator="equal">
      <formula>"ADMISIBLE"</formula>
    </cfRule>
  </conditionalFormatting>
  <conditionalFormatting sqref="AB12:AC12">
    <cfRule type="cellIs" dxfId="155" priority="166" stopIfTrue="1" operator="equal">
      <formula>"NO ADMISIBLE"</formula>
    </cfRule>
    <cfRule type="cellIs" dxfId="154" priority="167" stopIfTrue="1" operator="equal">
      <formula>"ADMISIBLE"</formula>
    </cfRule>
  </conditionalFormatting>
  <conditionalFormatting sqref="AK12:AL12">
    <cfRule type="cellIs" dxfId="153" priority="156" stopIfTrue="1" operator="equal">
      <formula>"NO ADMISIBLE"</formula>
    </cfRule>
    <cfRule type="cellIs" dxfId="152" priority="157" stopIfTrue="1" operator="equal">
      <formula>"ADMISIBLE"</formula>
    </cfRule>
  </conditionalFormatting>
  <conditionalFormatting sqref="AI12">
    <cfRule type="cellIs" dxfId="151" priority="150" stopIfTrue="1" operator="equal">
      <formula>"NO ADMISIBLE"</formula>
    </cfRule>
  </conditionalFormatting>
  <conditionalFormatting sqref="AI12">
    <cfRule type="cellIs" dxfId="150" priority="151" stopIfTrue="1" operator="equal">
      <formula>"NO ADMISIBLE"</formula>
    </cfRule>
    <cfRule type="cellIs" dxfId="149" priority="152" stopIfTrue="1" operator="equal">
      <formula>"ADMISIBLE"</formula>
    </cfRule>
  </conditionalFormatting>
  <conditionalFormatting sqref="AH12">
    <cfRule type="cellIs" dxfId="148" priority="147" stopIfTrue="1" operator="equal">
      <formula>"NO ADMISIBLE"</formula>
    </cfRule>
  </conditionalFormatting>
  <conditionalFormatting sqref="AH12">
    <cfRule type="cellIs" dxfId="147" priority="148" stopIfTrue="1" operator="equal">
      <formula>"NO ADMISIBLE"</formula>
    </cfRule>
    <cfRule type="cellIs" dxfId="146" priority="149" stopIfTrue="1" operator="equal">
      <formula>"ADMISIBLE"</formula>
    </cfRule>
  </conditionalFormatting>
  <conditionalFormatting sqref="AL15">
    <cfRule type="cellIs" dxfId="145" priority="127" stopIfTrue="1" operator="equal">
      <formula>"NO ADMISIBLE"</formula>
    </cfRule>
    <cfRule type="cellIs" dxfId="144" priority="128" stopIfTrue="1" operator="equal">
      <formula>"ADMISIBLE"</formula>
    </cfRule>
  </conditionalFormatting>
  <conditionalFormatting sqref="AF19:AI20">
    <cfRule type="cellIs" dxfId="143" priority="95" stopIfTrue="1" operator="equal">
      <formula>"NO ADMISIBLE"</formula>
    </cfRule>
  </conditionalFormatting>
  <conditionalFormatting sqref="AJ19:AK20">
    <cfRule type="cellIs" dxfId="142" priority="92" stopIfTrue="1" operator="equal">
      <formula>"NO ADMISIBLE"</formula>
    </cfRule>
  </conditionalFormatting>
  <conditionalFormatting sqref="J13:J14">
    <cfRule type="cellIs" dxfId="141" priority="68" stopIfTrue="1" operator="equal">
      <formula>"NO ADMISIBLE"</formula>
    </cfRule>
  </conditionalFormatting>
  <conditionalFormatting sqref="D13">
    <cfRule type="cellIs" dxfId="140" priority="67" stopIfTrue="1" operator="equal">
      <formula>"NO ADMISIBLE"</formula>
    </cfRule>
  </conditionalFormatting>
  <conditionalFormatting sqref="D20">
    <cfRule type="cellIs" dxfId="139" priority="61" stopIfTrue="1" operator="equal">
      <formula>"NO ADMISIBLE"</formula>
    </cfRule>
  </conditionalFormatting>
  <conditionalFormatting sqref="D19">
    <cfRule type="cellIs" dxfId="138" priority="59" stopIfTrue="1" operator="equal">
      <formula>"NO ADMISIBLE"</formula>
    </cfRule>
  </conditionalFormatting>
  <conditionalFormatting sqref="C18">
    <cfRule type="cellIs" dxfId="137" priority="57" stopIfTrue="1" operator="equal">
      <formula>"NO ADMISIBLE"</formula>
    </cfRule>
  </conditionalFormatting>
  <conditionalFormatting sqref="AF16:AI17 AF15:AG15">
    <cfRule type="cellIs" dxfId="136" priority="56" stopIfTrue="1" operator="equal">
      <formula>"NO ADMISIBLE"</formula>
    </cfRule>
  </conditionalFormatting>
  <conditionalFormatting sqref="AF15">
    <cfRule type="cellIs" dxfId="135" priority="54" stopIfTrue="1" operator="equal">
      <formula>"NO ADMISIBLE"</formula>
    </cfRule>
    <cfRule type="cellIs" dxfId="134" priority="55" stopIfTrue="1" operator="equal">
      <formula>"ADMISIBLE"</formula>
    </cfRule>
  </conditionalFormatting>
  <conditionalFormatting sqref="AJ16:AK17 AJ15">
    <cfRule type="cellIs" dxfId="133" priority="53" stopIfTrue="1" operator="equal">
      <formula>"NO ADMISIBLE"</formula>
    </cfRule>
  </conditionalFormatting>
  <conditionalFormatting sqref="AJ15">
    <cfRule type="cellIs" dxfId="132" priority="51" stopIfTrue="1" operator="equal">
      <formula>"NO ADMISIBLE"</formula>
    </cfRule>
    <cfRule type="cellIs" dxfId="131" priority="52" stopIfTrue="1" operator="equal">
      <formula>"ADMISIBLE"</formula>
    </cfRule>
  </conditionalFormatting>
  <conditionalFormatting sqref="C15">
    <cfRule type="cellIs" dxfId="130" priority="50" stopIfTrue="1" operator="equal">
      <formula>"NO ADMISIBLE"</formula>
    </cfRule>
  </conditionalFormatting>
  <conditionalFormatting sqref="D17">
    <cfRule type="cellIs" dxfId="129" priority="49" stopIfTrue="1" operator="equal">
      <formula>"NO ADMISIBLE"</formula>
    </cfRule>
  </conditionalFormatting>
  <conditionalFormatting sqref="U15">
    <cfRule type="cellIs" dxfId="128" priority="46" stopIfTrue="1" operator="equal">
      <formula>"NO ADMISIBLE"</formula>
    </cfRule>
    <cfRule type="cellIs" dxfId="127" priority="47" stopIfTrue="1" operator="equal">
      <formula>"ADMISIBLE"</formula>
    </cfRule>
  </conditionalFormatting>
  <conditionalFormatting sqref="W15">
    <cfRule type="cellIs" dxfId="126" priority="44" stopIfTrue="1" operator="equal">
      <formula>"NO ADMISIBLE"</formula>
    </cfRule>
    <cfRule type="cellIs" dxfId="125" priority="45" stopIfTrue="1" operator="equal">
      <formula>"ADMISIBLE"</formula>
    </cfRule>
  </conditionalFormatting>
  <conditionalFormatting sqref="Y15">
    <cfRule type="cellIs" dxfId="124" priority="42" stopIfTrue="1" operator="equal">
      <formula>"NO ADMISIBLE"</formula>
    </cfRule>
    <cfRule type="cellIs" dxfId="123" priority="43" stopIfTrue="1" operator="equal">
      <formula>"ADMISIBLE"</formula>
    </cfRule>
  </conditionalFormatting>
  <conditionalFormatting sqref="AB15:AC15">
    <cfRule type="cellIs" dxfId="122" priority="40" stopIfTrue="1" operator="equal">
      <formula>"NO ADMISIBLE"</formula>
    </cfRule>
    <cfRule type="cellIs" dxfId="121" priority="41" stopIfTrue="1" operator="equal">
      <formula>"ADMISIBLE"</formula>
    </cfRule>
  </conditionalFormatting>
  <conditionalFormatting sqref="AK15">
    <cfRule type="cellIs" dxfId="120" priority="38" stopIfTrue="1" operator="equal">
      <formula>"NO ADMISIBLE"</formula>
    </cfRule>
    <cfRule type="cellIs" dxfId="119" priority="39" stopIfTrue="1" operator="equal">
      <formula>"ADMISIBLE"</formula>
    </cfRule>
  </conditionalFormatting>
  <conditionalFormatting sqref="AI15">
    <cfRule type="cellIs" dxfId="118" priority="35" stopIfTrue="1" operator="equal">
      <formula>"NO ADMISIBLE"</formula>
    </cfRule>
  </conditionalFormatting>
  <conditionalFormatting sqref="AI15">
    <cfRule type="cellIs" dxfId="117" priority="36" stopIfTrue="1" operator="equal">
      <formula>"NO ADMISIBLE"</formula>
    </cfRule>
    <cfRule type="cellIs" dxfId="116" priority="37" stopIfTrue="1" operator="equal">
      <formula>"ADMISIBLE"</formula>
    </cfRule>
  </conditionalFormatting>
  <conditionalFormatting sqref="AH15">
    <cfRule type="cellIs" dxfId="115" priority="32" stopIfTrue="1" operator="equal">
      <formula>"NO ADMISIBLE"</formula>
    </cfRule>
  </conditionalFormatting>
  <conditionalFormatting sqref="AH15">
    <cfRule type="cellIs" dxfId="114" priority="33" stopIfTrue="1" operator="equal">
      <formula>"NO ADMISIBLE"</formula>
    </cfRule>
    <cfRule type="cellIs" dxfId="113" priority="34" stopIfTrue="1" operator="equal">
      <formula>"ADMISIBLE"</formula>
    </cfRule>
  </conditionalFormatting>
  <conditionalFormatting sqref="D16">
    <cfRule type="cellIs" dxfId="112" priority="30" stopIfTrue="1" operator="equal">
      <formula>"NO ADMISIBLE"</formula>
    </cfRule>
  </conditionalFormatting>
  <conditionalFormatting sqref="AL18">
    <cfRule type="cellIs" dxfId="111" priority="28" stopIfTrue="1" operator="equal">
      <formula>"NO ADMISIBLE"</formula>
    </cfRule>
    <cfRule type="cellIs" dxfId="110" priority="29" stopIfTrue="1" operator="equal">
      <formula>"ADMISIBLE"</formula>
    </cfRule>
  </conditionalFormatting>
  <conditionalFormatting sqref="AF18:AG18">
    <cfRule type="cellIs" dxfId="109" priority="27" stopIfTrue="1" operator="equal">
      <formula>"NO ADMISIBLE"</formula>
    </cfRule>
  </conditionalFormatting>
  <conditionalFormatting sqref="AF18">
    <cfRule type="cellIs" dxfId="108" priority="25" stopIfTrue="1" operator="equal">
      <formula>"NO ADMISIBLE"</formula>
    </cfRule>
    <cfRule type="cellIs" dxfId="107" priority="26" stopIfTrue="1" operator="equal">
      <formula>"ADMISIBLE"</formula>
    </cfRule>
  </conditionalFormatting>
  <conditionalFormatting sqref="AJ18">
    <cfRule type="cellIs" dxfId="106" priority="24" stopIfTrue="1" operator="equal">
      <formula>"NO ADMISIBLE"</formula>
    </cfRule>
  </conditionalFormatting>
  <conditionalFormatting sqref="AJ18">
    <cfRule type="cellIs" dxfId="105" priority="22" stopIfTrue="1" operator="equal">
      <formula>"NO ADMISIBLE"</formula>
    </cfRule>
    <cfRule type="cellIs" dxfId="104" priority="23" stopIfTrue="1" operator="equal">
      <formula>"ADMISIBLE"</formula>
    </cfRule>
  </conditionalFormatting>
  <conditionalFormatting sqref="U18">
    <cfRule type="cellIs" dxfId="103" priority="20" stopIfTrue="1" operator="equal">
      <formula>"NO ADMISIBLE"</formula>
    </cfRule>
    <cfRule type="cellIs" dxfId="102" priority="21" stopIfTrue="1" operator="equal">
      <formula>"ADMISIBLE"</formula>
    </cfRule>
  </conditionalFormatting>
  <conditionalFormatting sqref="W18">
    <cfRule type="cellIs" dxfId="101" priority="18" stopIfTrue="1" operator="equal">
      <formula>"NO ADMISIBLE"</formula>
    </cfRule>
    <cfRule type="cellIs" dxfId="100" priority="19" stopIfTrue="1" operator="equal">
      <formula>"ADMISIBLE"</formula>
    </cfRule>
  </conditionalFormatting>
  <conditionalFormatting sqref="Y18">
    <cfRule type="cellIs" dxfId="99" priority="16" stopIfTrue="1" operator="equal">
      <formula>"NO ADMISIBLE"</formula>
    </cfRule>
    <cfRule type="cellIs" dxfId="98" priority="17" stopIfTrue="1" operator="equal">
      <formula>"ADMISIBLE"</formula>
    </cfRule>
  </conditionalFormatting>
  <conditionalFormatting sqref="AB18:AC18">
    <cfRule type="cellIs" dxfId="97" priority="14" stopIfTrue="1" operator="equal">
      <formula>"NO ADMISIBLE"</formula>
    </cfRule>
    <cfRule type="cellIs" dxfId="96" priority="15" stopIfTrue="1" operator="equal">
      <formula>"ADMISIBLE"</formula>
    </cfRule>
  </conditionalFormatting>
  <conditionalFormatting sqref="AK18">
    <cfRule type="cellIs" dxfId="95" priority="12" stopIfTrue="1" operator="equal">
      <formula>"NO ADMISIBLE"</formula>
    </cfRule>
    <cfRule type="cellIs" dxfId="94" priority="13" stopIfTrue="1" operator="equal">
      <formula>"ADMISIBLE"</formula>
    </cfRule>
  </conditionalFormatting>
  <conditionalFormatting sqref="AI18">
    <cfRule type="cellIs" dxfId="93" priority="9" stopIfTrue="1" operator="equal">
      <formula>"NO ADMISIBLE"</formula>
    </cfRule>
  </conditionalFormatting>
  <conditionalFormatting sqref="AI18">
    <cfRule type="cellIs" dxfId="92" priority="10" stopIfTrue="1" operator="equal">
      <formula>"NO ADMISIBLE"</formula>
    </cfRule>
    <cfRule type="cellIs" dxfId="91" priority="11" stopIfTrue="1" operator="equal">
      <formula>"ADMISIBLE"</formula>
    </cfRule>
  </conditionalFormatting>
  <conditionalFormatting sqref="AH18">
    <cfRule type="cellIs" dxfId="90" priority="6" stopIfTrue="1" operator="equal">
      <formula>"NO ADMISIBLE"</formula>
    </cfRule>
  </conditionalFormatting>
  <conditionalFormatting sqref="AH18">
    <cfRule type="cellIs" dxfId="89" priority="7" stopIfTrue="1" operator="equal">
      <formula>"NO ADMISIBLE"</formula>
    </cfRule>
    <cfRule type="cellIs" dxfId="88" priority="8" stopIfTrue="1" operator="equal">
      <formula>"ADMISIBLE"</formula>
    </cfRule>
  </conditionalFormatting>
  <conditionalFormatting sqref="K13:K14">
    <cfRule type="cellIs" dxfId="87" priority="5" stopIfTrue="1" operator="equal">
      <formula>"NO ADMISIBLE"</formula>
    </cfRule>
  </conditionalFormatting>
  <conditionalFormatting sqref="K16:K17">
    <cfRule type="cellIs" dxfId="86" priority="4" stopIfTrue="1" operator="equal">
      <formula>"NO ADMISIBLE"</formula>
    </cfRule>
  </conditionalFormatting>
  <conditionalFormatting sqref="J16:J17">
    <cfRule type="cellIs" dxfId="85" priority="3" stopIfTrue="1" operator="equal">
      <formula>"NO ADMISIBLE"</formula>
    </cfRule>
  </conditionalFormatting>
  <conditionalFormatting sqref="J19:J20">
    <cfRule type="cellIs" dxfId="84" priority="2" stopIfTrue="1" operator="equal">
      <formula>"NO ADMISIBLE"</formula>
    </cfRule>
  </conditionalFormatting>
  <conditionalFormatting sqref="K19:K20">
    <cfRule type="cellIs" dxfId="83" priority="1" stopIfTrue="1" operator="equal">
      <formula>"NO ADMISIBLE"</formula>
    </cfRule>
  </conditionalFormatting>
  <dataValidations count="1">
    <dataValidation type="list" allowBlank="1" showInputMessage="1" showErrorMessage="1" sqref="D12:D20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2:N14"/>
  <sheetViews>
    <sheetView workbookViewId="0">
      <selection activeCell="I12" sqref="I12"/>
    </sheetView>
  </sheetViews>
  <sheetFormatPr baseColWidth="10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29.42578125" style="142" customWidth="1"/>
    <col min="5" max="5" width="15" style="142" customWidth="1"/>
    <col min="6" max="6" width="22.28515625" style="142" customWidth="1"/>
    <col min="7" max="7" width="17" style="142" customWidth="1"/>
    <col min="8" max="8" width="13.85546875" style="131" customWidth="1"/>
    <col min="9" max="9" width="36.140625" style="131" customWidth="1"/>
    <col min="10" max="10" width="32.28515625" style="142" customWidth="1"/>
    <col min="11" max="11" width="13.85546875" style="153" customWidth="1"/>
    <col min="12" max="12" width="9.7109375" style="154" customWidth="1"/>
    <col min="13" max="13" width="12.5703125" style="142" customWidth="1"/>
    <col min="14" max="14" width="12.7109375" style="142" customWidth="1"/>
    <col min="15" max="16384" width="11.42578125" style="142"/>
  </cols>
  <sheetData>
    <row r="2" spans="1:14" s="144" customFormat="1" ht="20.25" customHeight="1" x14ac:dyDescent="0.2">
      <c r="C2" s="302" t="s">
        <v>195</v>
      </c>
      <c r="D2" s="302"/>
      <c r="E2" s="302"/>
      <c r="F2" s="302"/>
      <c r="G2" s="302"/>
      <c r="H2" s="302"/>
      <c r="I2" s="302"/>
      <c r="K2" s="145"/>
      <c r="L2" s="146"/>
    </row>
    <row r="3" spans="1:14" s="144" customFormat="1" ht="18" customHeight="1" x14ac:dyDescent="0.2">
      <c r="C3" s="303" t="s">
        <v>209</v>
      </c>
      <c r="D3" s="303"/>
      <c r="E3" s="303"/>
      <c r="F3" s="303"/>
      <c r="G3" s="303"/>
      <c r="H3" s="303"/>
      <c r="I3" s="303"/>
      <c r="K3" s="145"/>
      <c r="L3" s="146"/>
    </row>
    <row r="4" spans="1:14" s="144" customFormat="1" ht="13.5" customHeight="1" x14ac:dyDescent="0.2">
      <c r="C4" s="304" t="str">
        <f>'Capacidad Financiera'!B4</f>
        <v>SA-MC-DT-VAL-001-2023</v>
      </c>
      <c r="D4" s="304"/>
      <c r="E4" s="304"/>
      <c r="F4" s="304"/>
      <c r="G4" s="304"/>
      <c r="H4" s="304"/>
      <c r="I4" s="304"/>
      <c r="K4" s="145"/>
      <c r="L4" s="146"/>
    </row>
    <row r="5" spans="1:14" s="144" customFormat="1" ht="13.5" customHeight="1" x14ac:dyDescent="0.2">
      <c r="C5" s="304" t="s">
        <v>211</v>
      </c>
      <c r="D5" s="304"/>
      <c r="E5" s="304"/>
      <c r="F5" s="304"/>
      <c r="G5" s="304"/>
      <c r="H5" s="304"/>
      <c r="I5" s="304"/>
      <c r="K5" s="145"/>
      <c r="L5" s="146"/>
    </row>
    <row r="6" spans="1:14" s="144" customFormat="1" ht="14.25" thickBot="1" x14ac:dyDescent="0.25">
      <c r="C6" s="147"/>
      <c r="D6" s="147"/>
      <c r="E6" s="148"/>
      <c r="F6" s="148"/>
      <c r="G6" s="149"/>
      <c r="H6" s="151"/>
      <c r="I6" s="151"/>
      <c r="K6" s="145"/>
      <c r="L6" s="146"/>
    </row>
    <row r="7" spans="1:14" ht="69" customHeight="1" x14ac:dyDescent="0.2">
      <c r="C7" s="305" t="s">
        <v>157</v>
      </c>
      <c r="D7" s="307" t="s">
        <v>156</v>
      </c>
      <c r="E7" s="309" t="s">
        <v>212</v>
      </c>
      <c r="F7" s="309" t="s">
        <v>257</v>
      </c>
      <c r="G7" s="309" t="s">
        <v>256</v>
      </c>
      <c r="H7" s="300" t="s">
        <v>211</v>
      </c>
      <c r="I7" s="301"/>
    </row>
    <row r="8" spans="1:14" ht="73.5" customHeight="1" thickBot="1" x14ac:dyDescent="0.25">
      <c r="C8" s="306"/>
      <c r="D8" s="308"/>
      <c r="E8" s="310"/>
      <c r="F8" s="310"/>
      <c r="G8" s="310"/>
      <c r="H8" s="184" t="s">
        <v>213</v>
      </c>
      <c r="I8" s="185" t="s">
        <v>214</v>
      </c>
    </row>
    <row r="9" spans="1:14" ht="13.5" thickBot="1" x14ac:dyDescent="0.25">
      <c r="A9" s="171" t="s">
        <v>215</v>
      </c>
      <c r="C9" s="86">
        <f>+'Capacidad Financiera'!B12</f>
        <v>1</v>
      </c>
      <c r="D9" s="87" t="str">
        <f>IF(ISERROR(VLOOKUP(C9,'Capacidad Financiera'!$B$12:$AC$59149,2,0)),"",VLOOKUP(C9,'Capacidad Financiera'!$B$12:$AC$59149,2,0))</f>
        <v>CCC DE LA SABANA SAS</v>
      </c>
      <c r="E9" s="88">
        <f>IF(ISERROR(VLOOKUP(C9,'Capacidad Financiera'!$B$12:$AC$59149,3,0)),"",VLOOKUP(C9,'Capacidad Financiera'!$B$12:$AC$59149,3,0))</f>
        <v>1</v>
      </c>
      <c r="F9" s="89">
        <v>31827003752</v>
      </c>
      <c r="G9" s="89">
        <f>IF(OR(D9="",E9="",F9=""),"",IF(C10="",IF(C9&lt;&gt;"",IF(ISERROR(VLOOKUP($A$10,POA!$A$2:$D$16,2,0)),"",VLOOKUP($A$10,POA!$A$2:$D$16,2,0)),""),""))</f>
        <v>222239000</v>
      </c>
      <c r="H9" s="181">
        <f>IF(OR(D9="",E9="",F9=""),"",IF(C10="",IF(C9&lt;&gt;"",F9/G9,""),""))</f>
        <v>143.21070447581207</v>
      </c>
      <c r="I9" s="177">
        <f>IF(C10="",IF(F9="","",IF(AND(H9&gt;0,H9&lt;=Experiencia1),Puntajes!$D$4,IF(AND(H9&gt;Experiencia1,H9&lt;=Experiencia2),Puntajes!$D$5,IF(AND(H9&gt;Experiencia2,H9&lt;=Experiencia3),Puntajes!$D$6,IF(H9&gt;Experiencia3,Puntajes!$D$7,0))))),"")</f>
        <v>120</v>
      </c>
      <c r="K9" s="155"/>
      <c r="L9" s="156"/>
      <c r="M9" s="143"/>
      <c r="N9" s="143"/>
    </row>
    <row r="10" spans="1:14" ht="19.5" customHeight="1" thickBot="1" x14ac:dyDescent="0.25">
      <c r="A10" s="180">
        <v>1</v>
      </c>
      <c r="C10" s="91"/>
      <c r="D10" s="123"/>
      <c r="E10" s="123"/>
      <c r="F10" s="123"/>
      <c r="G10" s="123"/>
      <c r="H10" s="123"/>
      <c r="I10" s="123"/>
    </row>
    <row r="11" spans="1:14" x14ac:dyDescent="0.2">
      <c r="C11" s="86">
        <v>2</v>
      </c>
      <c r="D11" s="87" t="str">
        <f>IF(ISERROR(VLOOKUP(C11,'Capacidad Financiera'!$B$12:$AC$59149,2,0)),"",VLOOKUP(C11,'Capacidad Financiera'!$B$12:$AC$59149,2,0))</f>
        <v>TULCAN L J EIVAR</v>
      </c>
      <c r="E11" s="88">
        <f>IF(ISERROR(VLOOKUP(C11,'Capacidad Financiera'!$B$12:$AC$59149,3,0)),"",VLOOKUP(C11,'Capacidad Financiera'!$B$12:$AC$59149,3,0))</f>
        <v>1</v>
      </c>
      <c r="F11" s="89">
        <v>31679483641.610001</v>
      </c>
      <c r="G11" s="89">
        <f>IF(OR(D11="",E11="",F11=""),"",IF(C12="",IF(C11&lt;&gt;"",IF(ISERROR(VLOOKUP($A$10,POA!$A$2:$D$16,2,0)),"",VLOOKUP($A$10,POA!$A$2:$D$16,2,0)),""),""))</f>
        <v>222239000</v>
      </c>
      <c r="H11" s="181">
        <f>IF(OR(D11="",E11="",F11=""),"",IF(C12="",IF(C11&lt;&gt;"",F11/G11,""),""))</f>
        <v>142.54691409523082</v>
      </c>
      <c r="I11" s="177">
        <f>IF(C12="",IF(F11="","",IF(AND(H11&gt;0,H11&lt;=Experiencia1),Puntajes!$D$4,IF(AND(H11&gt;Experiencia1,H11&lt;=Experiencia2),Puntajes!$D$5,IF(AND(H11&gt;Experiencia2,H11&lt;=Experiencia3),Puntajes!$D$6,IF(H11&gt;Experiencia3,Puntajes!$D$7,0))))),"")</f>
        <v>120</v>
      </c>
    </row>
    <row r="12" spans="1:14" ht="13.5" thickBot="1" x14ac:dyDescent="0.25">
      <c r="C12" s="91"/>
      <c r="D12" s="123"/>
      <c r="E12" s="123"/>
      <c r="F12" s="123"/>
      <c r="G12" s="123"/>
      <c r="H12" s="123"/>
      <c r="I12" s="123"/>
    </row>
    <row r="13" spans="1:14" ht="25.5" x14ac:dyDescent="0.2">
      <c r="C13" s="86">
        <v>3</v>
      </c>
      <c r="D13" s="87" t="str">
        <f>IF(ISERROR(VLOOKUP(C13,'Capacidad Financiera'!$B$12:$AC$59149,2,0)),"",VLOOKUP(C13,'Capacidad Financiera'!$B$12:$AC$59149,2,0))</f>
        <v>CARLOS ALBERTO DEL RIO RESTREPO</v>
      </c>
      <c r="E13" s="88">
        <f>IF(ISERROR(VLOOKUP(C13,'Capacidad Financiera'!$B$12:$AC$59149,3,0)),"",VLOOKUP(C13,'Capacidad Financiera'!$B$12:$AC$59149,3,0))</f>
        <v>1</v>
      </c>
      <c r="F13" s="89">
        <v>13814907300</v>
      </c>
      <c r="G13" s="89">
        <f>IF(OR(D13="",E13="",F13=""),"",IF(C14="",IF(C13&lt;&gt;"",IF(ISERROR(VLOOKUP($A$10,POA!$A$2:$D$16,2,0)),"",VLOOKUP($A$10,POA!$A$2:$D$16,2,0)),""),""))</f>
        <v>222239000</v>
      </c>
      <c r="H13" s="181">
        <f>IF(OR(D13="",E13="",F13=""),"",IF(C14="",IF(C13&lt;&gt;"",F13/G13,""),""))</f>
        <v>62.162389589585985</v>
      </c>
      <c r="I13" s="177">
        <f>IF(C14="",IF(F13="","",IF(AND(H13&gt;0,H13&lt;=Experiencia1),Puntajes!$D$4,IF(AND(H13&gt;Experiencia1,H13&lt;=Experiencia2),Puntajes!$D$5,IF(AND(H13&gt;Experiencia2,H13&lt;=Experiencia3),Puntajes!$D$6,IF(H13&gt;Experiencia3,Puntajes!$D$7,0))))),"")</f>
        <v>120</v>
      </c>
    </row>
    <row r="14" spans="1:14" x14ac:dyDescent="0.2">
      <c r="C14" s="91"/>
      <c r="D14" s="123"/>
      <c r="E14" s="123"/>
      <c r="F14" s="123"/>
      <c r="G14" s="123" t="str">
        <f>IF(OR(D14="",E14="",F14=""),"",IF(C14&lt;&gt;"",IF(ISERROR(VLOOKUP($A$10,POA!$A$2:$D$16,2,0)),"",VLOOKUP($A$10,POA!$A$2:$D$16,2,0)/SALACTUAL),""))</f>
        <v/>
      </c>
      <c r="H14" s="123"/>
      <c r="I14" s="123" t="str">
        <f>IF(OR(D14="",E14="",F14=""),"",IF(AND(H14&gt;0,H14&lt;=Experiencia1),Puntajes!$D$4,IF(AND(H14&gt;Experiencia1,H14&lt;=Experiencia2),Puntajes!$D$5,IF(AND(H14&gt;Experiencia2,H14&lt;=Experiencia3),Puntajes!$D$6,IF(H14&gt;Experiencia3,Puntajes!$D$7,0)))))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H7:I7"/>
    <mergeCell ref="C2:I2"/>
    <mergeCell ref="C3:I3"/>
    <mergeCell ref="C4:I4"/>
    <mergeCell ref="C5:I5"/>
    <mergeCell ref="C7:C8"/>
    <mergeCell ref="D7:D8"/>
    <mergeCell ref="E7:E8"/>
    <mergeCell ref="F7:F8"/>
    <mergeCell ref="G7:G8"/>
  </mergeCells>
  <conditionalFormatting sqref="E6:G6">
    <cfRule type="expression" dxfId="82" priority="1167" stopIfTrue="1">
      <formula>IF($B6-INT($B6)&gt;0,TRUE,FALSE)</formula>
    </cfRule>
  </conditionalFormatting>
  <conditionalFormatting sqref="D6 H6:I6 D9:D14 D10:I10 D12:I12 E14:I14">
    <cfRule type="cellIs" dxfId="81" priority="1168" stopIfTrue="1" operator="equal">
      <formula>"NO ADMISIBLE"</formula>
    </cfRule>
  </conditionalFormatting>
  <conditionalFormatting sqref="E10 H10:I10">
    <cfRule type="expression" dxfId="80" priority="1162" stopIfTrue="1">
      <formula>IF($B2-INT($B2)&gt;0,TRUE,FALSE)</formula>
    </cfRule>
  </conditionalFormatting>
  <conditionalFormatting sqref="E9 G9:I9">
    <cfRule type="expression" dxfId="79" priority="1169" stopIfTrue="1">
      <formula>IF(#REF!-INT(#REF!)&gt;0,TRUE,FALSE)</formula>
    </cfRule>
  </conditionalFormatting>
  <conditionalFormatting sqref="G10">
    <cfRule type="expression" dxfId="78" priority="1161" stopIfTrue="1">
      <formula>IF(#REF!-INT(#REF!)&gt;0,TRUE,FALSE)</formula>
    </cfRule>
  </conditionalFormatting>
  <conditionalFormatting sqref="F9">
    <cfRule type="expression" dxfId="77" priority="1158" stopIfTrue="1">
      <formula>IF(#REF!-INT(#REF!)&gt;0,TRUE,FALSE)</formula>
    </cfRule>
  </conditionalFormatting>
  <conditionalFormatting sqref="F10">
    <cfRule type="expression" dxfId="76" priority="1157" stopIfTrue="1">
      <formula>IF(#REF!-INT(#REF!)&gt;0,TRUE,FALSE)</formula>
    </cfRule>
  </conditionalFormatting>
  <conditionalFormatting sqref="H12:I12 E12">
    <cfRule type="expression" dxfId="75" priority="19" stopIfTrue="1">
      <formula>IF(#REF!-INT(#REF!)&gt;0,TRUE,FALSE)</formula>
    </cfRule>
  </conditionalFormatting>
  <conditionalFormatting sqref="E11 H11:I11">
    <cfRule type="expression" dxfId="74" priority="21" stopIfTrue="1">
      <formula>IF(#REF!-INT(#REF!)&gt;0,TRUE,FALSE)</formula>
    </cfRule>
  </conditionalFormatting>
  <conditionalFormatting sqref="G12">
    <cfRule type="expression" dxfId="73" priority="18" stopIfTrue="1">
      <formula>IF(#REF!-INT(#REF!)&gt;0,TRUE,FALSE)</formula>
    </cfRule>
  </conditionalFormatting>
  <conditionalFormatting sqref="F11">
    <cfRule type="expression" dxfId="72" priority="17" stopIfTrue="1">
      <formula>IF(#REF!-INT(#REF!)&gt;0,TRUE,FALSE)</formula>
    </cfRule>
  </conditionalFormatting>
  <conditionalFormatting sqref="F12">
    <cfRule type="expression" dxfId="71" priority="16" stopIfTrue="1">
      <formula>IF(#REF!-INT(#REF!)&gt;0,TRUE,FALSE)</formula>
    </cfRule>
  </conditionalFormatting>
  <conditionalFormatting sqref="H13:I13">
    <cfRule type="expression" dxfId="70" priority="12" stopIfTrue="1">
      <formula>IF(#REF!-INT(#REF!)&gt;0,TRUE,FALSE)</formula>
    </cfRule>
  </conditionalFormatting>
  <conditionalFormatting sqref="F13">
    <cfRule type="expression" dxfId="69" priority="8" stopIfTrue="1">
      <formula>IF(#REF!-INT(#REF!)&gt;0,TRUE,FALSE)</formula>
    </cfRule>
  </conditionalFormatting>
  <conditionalFormatting sqref="E13">
    <cfRule type="expression" dxfId="68" priority="5" stopIfTrue="1">
      <formula>IF(#REF!-INT(#REF!)&gt;0,TRUE,FALSE)</formula>
    </cfRule>
  </conditionalFormatting>
  <conditionalFormatting sqref="G11">
    <cfRule type="expression" dxfId="67" priority="4" stopIfTrue="1">
      <formula>IF(#REF!-INT(#REF!)&gt;0,TRUE,FALSE)</formula>
    </cfRule>
  </conditionalFormatting>
  <conditionalFormatting sqref="G13">
    <cfRule type="expression" dxfId="66" priority="2" stopIfTrue="1">
      <formula>IF(#REF!-INT(#REF!)&gt;0,TRUE,FALSE)</formula>
    </cfRule>
  </conditionalFormatting>
  <dataValidations disablePrompts="1" count="1">
    <dataValidation type="list" allowBlank="1" showInputMessage="1" showErrorMessage="1" sqref="D6 D9:D14" xr:uid="{00000000-0002-0000-04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3"/>
  <dimension ref="C2:K14"/>
  <sheetViews>
    <sheetView workbookViewId="0">
      <selection activeCell="F12" sqref="F12"/>
    </sheetView>
  </sheetViews>
  <sheetFormatPr baseColWidth="10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29.42578125" style="142" customWidth="1"/>
    <col min="5" max="5" width="35" style="141" customWidth="1"/>
    <col min="6" max="6" width="35" style="174" customWidth="1"/>
    <col min="7" max="7" width="11.42578125" style="142"/>
    <col min="8" max="8" width="13.85546875" style="153" customWidth="1"/>
    <col min="9" max="9" width="9.7109375" style="154" customWidth="1"/>
    <col min="10" max="10" width="12.5703125" style="142" customWidth="1"/>
    <col min="11" max="11" width="12.7109375" style="142" customWidth="1"/>
    <col min="12" max="16384" width="11.42578125" style="142"/>
  </cols>
  <sheetData>
    <row r="2" spans="3:11" s="144" customFormat="1" ht="20.25" customHeight="1" x14ac:dyDescent="0.2">
      <c r="C2" s="302" t="s">
        <v>195</v>
      </c>
      <c r="D2" s="302"/>
      <c r="E2" s="302"/>
      <c r="F2" s="302"/>
      <c r="H2" s="145"/>
      <c r="I2" s="146"/>
    </row>
    <row r="3" spans="3:11" s="144" customFormat="1" ht="18" customHeight="1" x14ac:dyDescent="0.2">
      <c r="C3" s="303" t="s">
        <v>209</v>
      </c>
      <c r="D3" s="303"/>
      <c r="E3" s="303"/>
      <c r="F3" s="303"/>
      <c r="H3" s="145"/>
      <c r="I3" s="146"/>
    </row>
    <row r="4" spans="3:11" s="144" customFormat="1" ht="13.5" customHeight="1" x14ac:dyDescent="0.2">
      <c r="C4" s="304" t="str">
        <f>'Capacidad Financiera'!B4</f>
        <v>SA-MC-DT-VAL-001-2023</v>
      </c>
      <c r="D4" s="304"/>
      <c r="E4" s="304"/>
      <c r="F4" s="304"/>
      <c r="H4" s="145"/>
      <c r="I4" s="146"/>
    </row>
    <row r="5" spans="3:11" s="144" customFormat="1" ht="13.5" customHeight="1" x14ac:dyDescent="0.2">
      <c r="C5" s="304" t="s">
        <v>208</v>
      </c>
      <c r="D5" s="304"/>
      <c r="E5" s="304"/>
      <c r="F5" s="304"/>
      <c r="H5" s="145"/>
      <c r="I5" s="146"/>
    </row>
    <row r="6" spans="3:11" s="144" customFormat="1" ht="14.25" thickBot="1" x14ac:dyDescent="0.25">
      <c r="C6" s="147"/>
      <c r="D6" s="147"/>
      <c r="E6" s="150"/>
      <c r="F6" s="151"/>
      <c r="H6" s="145"/>
      <c r="I6" s="146"/>
    </row>
    <row r="7" spans="3:11" ht="19.5" customHeight="1" x14ac:dyDescent="0.2">
      <c r="C7" s="305" t="s">
        <v>157</v>
      </c>
      <c r="D7" s="307" t="s">
        <v>156</v>
      </c>
      <c r="E7" s="182" t="s">
        <v>198</v>
      </c>
      <c r="F7" s="183" t="s">
        <v>208</v>
      </c>
    </row>
    <row r="8" spans="3:11" ht="67.5" customHeight="1" thickBot="1" x14ac:dyDescent="0.25">
      <c r="C8" s="306"/>
      <c r="D8" s="308"/>
      <c r="E8" s="184" t="s">
        <v>199</v>
      </c>
      <c r="F8" s="185" t="s">
        <v>210</v>
      </c>
    </row>
    <row r="9" spans="3:11" x14ac:dyDescent="0.2">
      <c r="C9" s="86">
        <f>+'Capacidad Financiera'!B12</f>
        <v>1</v>
      </c>
      <c r="D9" s="87" t="str">
        <f>IF(ISERROR(VLOOKUP(C9,'Capacidad Financiera'!$B$12:$AC$59149,2,0)),"",VLOOKUP(C9,'Capacidad Financiera'!$B$12:$AC$59149,2,0))</f>
        <v>CCC DE LA SABANA SAS</v>
      </c>
      <c r="E9" s="175">
        <v>1</v>
      </c>
      <c r="F9" s="176">
        <f>IF(C10="",IF(E9="","",IF(AND(E9&gt;0,E9&lt;=CapTecnica1),Puntajes!$H$4,IF(AND(E9&gt;CapTecnica1,E9&lt;=CapTecnica2),Puntajes!$H$5,IF(E9&gt;CapTecnica2,Puntajes!$H$6,0)))),"")</f>
        <v>20</v>
      </c>
      <c r="H9" s="155"/>
      <c r="I9" s="156"/>
      <c r="J9" s="143"/>
      <c r="K9" s="143"/>
    </row>
    <row r="10" spans="3:11" ht="13.5" thickBot="1" x14ac:dyDescent="0.25">
      <c r="C10" s="235"/>
      <c r="D10" s="123"/>
      <c r="E10" s="236"/>
      <c r="F10" s="237" t="str">
        <f>IF(OR(D10="",E10=""),"",IF(AND(E10&gt;0,E10&lt;=CapTecnica1),Puntajes!$H$4,IF(AND(E10&gt;CapTecnica1,E10&lt;=CapTecnica2),Puntajes!$H$5,IF(E10&gt;CapTecnica2,Puntajes!$H$6,0))))</f>
        <v/>
      </c>
    </row>
    <row r="11" spans="3:11" x14ac:dyDescent="0.2">
      <c r="C11" s="86">
        <v>2</v>
      </c>
      <c r="D11" s="87" t="str">
        <f>IF(ISERROR(VLOOKUP(C11,'Capacidad Financiera'!$B$12:$AC$59149,2,0)),"",VLOOKUP(C11,'Capacidad Financiera'!$B$12:$AC$59149,2,0))</f>
        <v>TULCAN L J EIVAR</v>
      </c>
      <c r="E11" s="175">
        <v>6</v>
      </c>
      <c r="F11" s="176">
        <f>IF(C12="",IF(E11="","",IF(AND(E11&gt;0,E11&lt;=CapTecnica1),Puntajes!$H$4,IF(AND(E11&gt;CapTecnica1,E11&lt;=CapTecnica2),Puntajes!$H$5,IF(E11&gt;CapTecnica2,Puntajes!$H$6,0)))),"")</f>
        <v>30</v>
      </c>
    </row>
    <row r="12" spans="3:11" ht="13.5" thickBot="1" x14ac:dyDescent="0.25">
      <c r="C12" s="235"/>
      <c r="D12" s="123"/>
      <c r="E12" s="236"/>
      <c r="F12" s="237" t="str">
        <f>IF(OR(D12="",E12=""),"",IF(AND(E12&gt;0,E12&lt;=CapTecnica1),Puntajes!$H$4,IF(AND(E12&gt;CapTecnica1,E12&lt;=CapTecnica2),Puntajes!$H$5,IF(E12&gt;CapTecnica2,Puntajes!$H$6,0))))</f>
        <v/>
      </c>
    </row>
    <row r="13" spans="3:11" ht="25.5" x14ac:dyDescent="0.2">
      <c r="C13" s="86">
        <v>3</v>
      </c>
      <c r="D13" s="87" t="str">
        <f>IF(ISERROR(VLOOKUP(C13,'Capacidad Financiera'!$B$12:$AC$59149,2,0)),"",VLOOKUP(C13,'Capacidad Financiera'!$B$12:$AC$59149,2,0))</f>
        <v>CARLOS ALBERTO DEL RIO RESTREPO</v>
      </c>
      <c r="E13" s="175">
        <v>1</v>
      </c>
      <c r="F13" s="176">
        <f>IF(C14="",IF(E13="","",IF(AND(E13&gt;0,E13&lt;=CapTecnica1),Puntajes!$H$4,IF(AND(E13&gt;CapTecnica1,E13&lt;=CapTecnica2),Puntajes!$H$5,IF(E13&gt;CapTecnica2,Puntajes!$H$6,0)))),"")</f>
        <v>20</v>
      </c>
    </row>
    <row r="14" spans="3:11" x14ac:dyDescent="0.2">
      <c r="C14" s="235"/>
      <c r="D14" s="123"/>
      <c r="E14" s="236"/>
      <c r="F14" s="237" t="str">
        <f>IF(OR(D14="",E14=""),"",IF(AND(E14&gt;0,E14&lt;=CapTecnica1),Puntajes!$H$4,IF(AND(E14&gt;CapTecnica1,E14&lt;=CapTecnica2),Puntajes!$H$5,IF(E14&gt;CapTecnica2,Puntajes!$H$6,0))))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65" priority="261" stopIfTrue="1">
      <formula>IF($B6-INT($B6)&gt;0,TRUE,FALSE)</formula>
    </cfRule>
  </conditionalFormatting>
  <conditionalFormatting sqref="D6 F6 D9:D14">
    <cfRule type="cellIs" dxfId="64" priority="262" stopIfTrue="1" operator="equal">
      <formula>"NO ADMISIBLE"</formula>
    </cfRule>
  </conditionalFormatting>
  <conditionalFormatting sqref="F10">
    <cfRule type="expression" dxfId="63" priority="256" stopIfTrue="1">
      <formula>IF($B2-INT($B2)&gt;0,TRUE,FALSE)</formula>
    </cfRule>
  </conditionalFormatting>
  <conditionalFormatting sqref="E9:F9 E10">
    <cfRule type="expression" dxfId="62" priority="263" stopIfTrue="1">
      <formula>IF(#REF!-INT(#REF!)&gt;0,TRUE,FALSE)</formula>
    </cfRule>
  </conditionalFormatting>
  <conditionalFormatting sqref="E11:F11 E12">
    <cfRule type="expression" dxfId="61" priority="6" stopIfTrue="1">
      <formula>IF(#REF!-INT(#REF!)&gt;0,TRUE,FALSE)</formula>
    </cfRule>
  </conditionalFormatting>
  <conditionalFormatting sqref="E13:F13 E14">
    <cfRule type="expression" dxfId="60" priority="4" stopIfTrue="1">
      <formula>IF(#REF!-INT(#REF!)&gt;0,TRUE,FALSE)</formula>
    </cfRule>
  </conditionalFormatting>
  <conditionalFormatting sqref="F12 F14">
    <cfRule type="expression" dxfId="59" priority="8195" stopIfTrue="1">
      <formula>IF(#REF!-INT(#REF!)&gt;0,TRUE,FALSE)</formula>
    </cfRule>
  </conditionalFormatting>
  <dataValidations count="1">
    <dataValidation type="list" allowBlank="1" showInputMessage="1" showErrorMessage="1" sqref="D6 D9:D14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C2:M16"/>
  <sheetViews>
    <sheetView workbookViewId="0">
      <selection activeCell="E21" sqref="E21"/>
    </sheetView>
  </sheetViews>
  <sheetFormatPr baseColWidth="10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29.42578125" style="142" customWidth="1"/>
    <col min="5" max="6" width="18.7109375" style="131" customWidth="1"/>
    <col min="7" max="7" width="14.7109375" style="131" bestFit="1" customWidth="1"/>
    <col min="8" max="8" width="42.42578125" style="131" customWidth="1"/>
    <col min="9" max="9" width="11.42578125" style="142"/>
    <col min="10" max="10" width="13.85546875" style="153" customWidth="1"/>
    <col min="11" max="11" width="9.7109375" style="154" customWidth="1"/>
    <col min="12" max="12" width="12.5703125" style="142" customWidth="1"/>
    <col min="13" max="13" width="12.7109375" style="142" customWidth="1"/>
    <col min="14" max="16384" width="11.42578125" style="142"/>
  </cols>
  <sheetData>
    <row r="2" spans="3:13" s="144" customFormat="1" ht="20.25" customHeight="1" x14ac:dyDescent="0.2">
      <c r="C2" s="302" t="s">
        <v>195</v>
      </c>
      <c r="D2" s="302"/>
      <c r="E2" s="302"/>
      <c r="F2" s="302"/>
      <c r="G2" s="302"/>
      <c r="H2" s="302"/>
      <c r="J2" s="145"/>
      <c r="K2" s="146"/>
    </row>
    <row r="3" spans="3:13" s="144" customFormat="1" ht="18" customHeight="1" x14ac:dyDescent="0.2">
      <c r="C3" s="303" t="s">
        <v>209</v>
      </c>
      <c r="D3" s="303"/>
      <c r="E3" s="303"/>
      <c r="F3" s="303"/>
      <c r="G3" s="303"/>
      <c r="H3" s="303"/>
      <c r="J3" s="145"/>
      <c r="K3" s="146"/>
    </row>
    <row r="4" spans="3:13" s="144" customFormat="1" ht="13.5" customHeight="1" x14ac:dyDescent="0.2">
      <c r="C4" s="304" t="str">
        <f>'Capacidad Financiera'!B4</f>
        <v>SA-MC-DT-VAL-001-2023</v>
      </c>
      <c r="D4" s="304"/>
      <c r="E4" s="304"/>
      <c r="F4" s="304"/>
      <c r="G4" s="304"/>
      <c r="H4" s="304"/>
      <c r="J4" s="145"/>
      <c r="K4" s="146"/>
    </row>
    <row r="5" spans="3:13" s="144" customFormat="1" ht="13.5" customHeight="1" x14ac:dyDescent="0.2">
      <c r="C5" s="304" t="s">
        <v>216</v>
      </c>
      <c r="D5" s="304"/>
      <c r="E5" s="304"/>
      <c r="F5" s="304"/>
      <c r="G5" s="304"/>
      <c r="H5" s="304"/>
      <c r="J5" s="145"/>
      <c r="K5" s="146"/>
    </row>
    <row r="6" spans="3:13" s="144" customFormat="1" ht="14.25" thickBot="1" x14ac:dyDescent="0.25">
      <c r="C6" s="147"/>
      <c r="D6" s="147"/>
      <c r="E6" s="151"/>
      <c r="F6" s="151"/>
      <c r="G6" s="151"/>
      <c r="H6" s="151"/>
      <c r="J6" s="145"/>
      <c r="K6" s="146"/>
    </row>
    <row r="7" spans="3:13" ht="43.5" customHeight="1" x14ac:dyDescent="0.2">
      <c r="C7" s="305" t="s">
        <v>157</v>
      </c>
      <c r="D7" s="307" t="s">
        <v>156</v>
      </c>
      <c r="E7" s="309" t="s">
        <v>217</v>
      </c>
      <c r="F7" s="311" t="s">
        <v>218</v>
      </c>
      <c r="G7" s="311" t="s">
        <v>219</v>
      </c>
      <c r="H7" s="183" t="s">
        <v>216</v>
      </c>
    </row>
    <row r="8" spans="3:13" ht="84.75" customHeight="1" thickBot="1" x14ac:dyDescent="0.25">
      <c r="C8" s="306"/>
      <c r="D8" s="308"/>
      <c r="E8" s="310"/>
      <c r="F8" s="312"/>
      <c r="G8" s="312"/>
      <c r="H8" s="185" t="s">
        <v>220</v>
      </c>
    </row>
    <row r="9" spans="3:13" x14ac:dyDescent="0.2">
      <c r="C9" s="86">
        <f>+'Capacidad Financiera'!B12</f>
        <v>1</v>
      </c>
      <c r="D9" s="87" t="str">
        <f>IF(ISERROR(VLOOKUP(C9,'Capacidad Financiera'!$B$12:$AC$59149,2,0)),"",VLOOKUP(C9,'Capacidad Financiera'!$B$12:$AC$59149,2,0))</f>
        <v>CCC DE LA SABANA SAS</v>
      </c>
      <c r="E9" s="186">
        <f>IF(C10="",IF(C9&lt;&gt;"",IF(ISERROR(VLOOKUP(D9,'Capacidad Financiera'!$C$12:$H$20,3,0)),"",VLOOKUP(D9,'Capacidad Financiera'!$C$12:$H$20,3,0))),"")</f>
        <v>381856755</v>
      </c>
      <c r="F9" s="186">
        <f>IF(C10="",IF(C9&lt;&gt;"",IF(ISERROR(VLOOKUP(D9,'Capacidad Financiera'!$C$12:$H$14,5,0)),"",VLOOKUP(D9,'Capacidad Financiera'!$C$12:$H$20,5,0))),"")</f>
        <v>54112500</v>
      </c>
      <c r="G9" s="120">
        <f>IF(OR(D9="",E9="",F9=""),"",IF(OR(E9=0,F9=0),0,E9/F9))</f>
        <v>7.056719889119889</v>
      </c>
      <c r="H9" s="177">
        <f>IF(C10="",IF(AND(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,"")</f>
        <v>40</v>
      </c>
      <c r="J9" s="155"/>
      <c r="K9" s="156"/>
      <c r="L9" s="143"/>
      <c r="M9" s="143"/>
    </row>
    <row r="10" spans="3:13" x14ac:dyDescent="0.2">
      <c r="C10" s="91"/>
      <c r="D10" s="123" t="str">
        <f>IF(ISERROR(VLOOKUP(C10,'Capacidad Financiera'!$B$12:$AC$59149,2,0)),"",VLOOKUP(C10,'Capacidad Financiera'!$B$12:$AC$59149,2,0))</f>
        <v/>
      </c>
      <c r="E10" s="187" t="str">
        <f>IF(OR(C10="",D10=""),"",IF(ISERROR(VLOOKUP(D10,'Capacidad Financiera'!$C$13:$AC$59149,3,0)),"",VLOOKUP(D10,'Capacidad Financiera'!$C$13:$AC$59149,3,0)))</f>
        <v/>
      </c>
      <c r="F10" s="187" t="str">
        <f>IF(OR(C10="",D10=""),"",IF(ISERROR(VLOOKUP(D10,'Capacidad Financiera'!$C$13:$AC$59149,5,0)),"",VLOOKUP(D10,'Capacidad Financiera'!$C$13:$AC$59149,5,0)))</f>
        <v/>
      </c>
      <c r="G10" s="189" t="str">
        <f t="shared" ref="G10:G11" si="0">IF(OR(D10="",E10="",F10=""),"",IF(OR(E10=0,F10=0),0,E10/F10))</f>
        <v/>
      </c>
      <c r="H10" s="191" t="str">
        <f>IF(OR(D10="",E10="",F10=""),"",IF(AND(G10&gt;0,G10&lt;=CapFinanciera1),Puntajes!$D$12,IF(AND(G10&gt;CapFinanciera1,G10&lt;=CapFinanciera2),Puntajes!$D$13,IF(AND(G10&gt;CapFinanciera2,G10&lt;=CapFinanciera3),Puntajes!$D$14,IF(AND(G10&gt;CapFinanciera3,G10&lt;=CapFinanciera4),Puntajes!$D$15,IF(G10&gt;CapFinanciera4,Puntajes!$D$16,0))))))</f>
        <v/>
      </c>
    </row>
    <row r="11" spans="3:13" ht="13.5" thickBot="1" x14ac:dyDescent="0.25">
      <c r="C11" s="92"/>
      <c r="D11" s="93"/>
      <c r="E11" s="188" t="str">
        <f>IF(OR(C11="",D11=""),"",IF(ISERROR(VLOOKUP(D11,'Capacidad Financiera'!$C$13:$AC$59149,3,0)),"",VLOOKUP(D11,'Capacidad Financiera'!$C$13:$AC$59149,3,0)))</f>
        <v/>
      </c>
      <c r="F11" s="188" t="str">
        <f>IF(OR(C11="",D11=""),"",IF(ISERROR(VLOOKUP(D11,'Capacidad Financiera'!$C$13:$AC$59149,5,0)),"",VLOOKUP(D11,'Capacidad Financiera'!$C$13:$AC$59149,5,0)))</f>
        <v/>
      </c>
      <c r="G11" s="190" t="str">
        <f t="shared" si="0"/>
        <v/>
      </c>
      <c r="H11" s="192" t="str">
        <f>IF(OR(D11="",E11="",F11=""),"",IF(AND(G11&gt;0,G11&lt;=CapFinanciera1),Puntajes!$D$12,IF(AND(G11&gt;CapFinanciera1,G11&lt;=CapFinanciera2),Puntajes!$D$13,IF(AND(G11&gt;CapFinanciera2,G11&lt;=CapFinanciera3),Puntajes!$D$14,IF(AND(G11&gt;CapFinanciera3,G11&lt;=CapFinanciera4),Puntajes!$D$15,IF(G11&gt;CapFinanciera4,Puntajes!$D$16,0))))))</f>
        <v/>
      </c>
    </row>
    <row r="12" spans="3:13" x14ac:dyDescent="0.2">
      <c r="C12" s="86">
        <v>2</v>
      </c>
      <c r="D12" s="87" t="str">
        <f>IF(ISERROR(VLOOKUP(C12,'Capacidad Financiera'!$B$12:$AC$59149,2,0)),"",VLOOKUP(C12,'Capacidad Financiera'!$B$12:$AC$59149,2,0))</f>
        <v>TULCAN L J EIVAR</v>
      </c>
      <c r="E12" s="186">
        <f>IF(C13="",IF(C12&lt;&gt;"",IF(ISERROR(VLOOKUP(D12,'Capacidad Financiera'!$C$12:$H$20,3,0)),"",VLOOKUP(D12,'Capacidad Financiera'!$C$12:$H$20,3,0))),"")</f>
        <v>942946787</v>
      </c>
      <c r="F12" s="186">
        <f>IF(C13="",IF(C12&lt;&gt;"",IF(ISERROR(VLOOKUP(D12,'Capacidad Financiera'!$C$12:$H$20,5,0)),"",VLOOKUP(D12,'Capacidad Financiera'!$C$12:$H$20,5,0))),"")</f>
        <v>205911825</v>
      </c>
      <c r="G12" s="120">
        <f>IF(OR(D12="",E12="",F12=""),"",IF(OR(E12=0,F12=0),0,E12/F12))</f>
        <v>4.5793717140819865</v>
      </c>
      <c r="H12" s="177">
        <f>IF(C13="",IF(AND(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,"")</f>
        <v>40</v>
      </c>
    </row>
    <row r="13" spans="3:13" x14ac:dyDescent="0.2">
      <c r="C13" s="91"/>
      <c r="D13" s="123" t="str">
        <f>IF(ISERROR(VLOOKUP(C13,'Capacidad Financiera'!$B$12:$AC$59149,2,0)),"",VLOOKUP(C13,'Capacidad Financiera'!$B$12:$AC$59149,2,0))</f>
        <v/>
      </c>
      <c r="E13" s="187" t="str">
        <f>IF(OR(C13="",D13=""),"",IF(ISERROR(VLOOKUP(D13,'Capacidad Financiera'!$C$13:$AC$59149,3,0)),"",VLOOKUP(D13,'Capacidad Financiera'!$C$13:$AC$59149,3,0)))</f>
        <v/>
      </c>
      <c r="F13" s="187" t="str">
        <f>IF(OR(C13="",D13=""),"",IF(ISERROR(VLOOKUP(D13,'Capacidad Financiera'!$C$13:$AC$59149,5,0)),"",VLOOKUP(D13,'Capacidad Financiera'!$C$13:$AC$59149,5,0)))</f>
        <v/>
      </c>
      <c r="G13" s="189" t="str">
        <f t="shared" ref="G13" si="1">IF(OR(D13="",E13="",F13=""),"",IF(OR(E13=0,F13=0),0,E13/F13))</f>
        <v/>
      </c>
      <c r="H13" s="191" t="str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/>
      </c>
    </row>
    <row r="14" spans="3:13" ht="13.5" thickBot="1" x14ac:dyDescent="0.25">
      <c r="C14" s="92"/>
      <c r="D14" s="93"/>
      <c r="E14" s="188"/>
      <c r="F14" s="188"/>
      <c r="G14" s="190"/>
      <c r="H14" s="192"/>
    </row>
    <row r="15" spans="3:13" ht="25.5" x14ac:dyDescent="0.2">
      <c r="C15" s="86">
        <v>3</v>
      </c>
      <c r="D15" s="87" t="str">
        <f>IF(ISERROR(VLOOKUP(C15,'Capacidad Financiera'!$B$12:$AC$59149,2,0)),"",VLOOKUP(C15,'Capacidad Financiera'!$B$12:$AC$59149,2,0))</f>
        <v>CARLOS ALBERTO DEL RIO RESTREPO</v>
      </c>
      <c r="E15" s="186">
        <f>IF(C16="",IF(C15&lt;&gt;"",IF(ISERROR(VLOOKUP(D15,'Capacidad Financiera'!$C$12:$H$20,3,0)),"",VLOOKUP(D15,'Capacidad Financiera'!$C$12:$H$20,3,0))),"")</f>
        <v>237910633</v>
      </c>
      <c r="F15" s="186">
        <f>IF(C16="",IF(C15&lt;&gt;"",IF(ISERROR(VLOOKUP(D15,'Capacidad Financiera'!$C$18:$H$20,5,0)),"",VLOOKUP(D15,'Capacidad Financiera'!$C$18:$H$20,5,0))),"")</f>
        <v>29265000</v>
      </c>
      <c r="G15" s="120">
        <f>IF(OR(D15="",E15="",F15=""),"",IF(OR(E15=0,F15=0),0,E15/F15))</f>
        <v>8.1295278660515979</v>
      </c>
      <c r="H15" s="177">
        <f>IF(C16="",IF(AND(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,"")</f>
        <v>40</v>
      </c>
    </row>
    <row r="16" spans="3:13" x14ac:dyDescent="0.2">
      <c r="C16" s="91"/>
      <c r="D16" s="123" t="str">
        <f>IF(ISERROR(VLOOKUP(C16,'Capacidad Financiera'!$B$12:$AC$59149,2,0)),"",VLOOKUP(C16,'Capacidad Financiera'!$B$12:$AC$59149,2,0))</f>
        <v/>
      </c>
      <c r="E16" s="187" t="str">
        <f>IF(OR(C16="",D16=""),"",IF(ISERROR(VLOOKUP(D16,'Capacidad Financiera'!$C$13:$AC$59149,3,0)),"",VLOOKUP(D16,'Capacidad Financiera'!$C$13:$AC$59149,3,0)))</f>
        <v/>
      </c>
      <c r="F16" s="187" t="str">
        <f>IF(OR(C16="",D16=""),"",IF(ISERROR(VLOOKUP(D16,'Capacidad Financiera'!$C$13:$AC$59149,5,0)),"",VLOOKUP(D16,'Capacidad Financiera'!$C$13:$AC$59149,5,0)))</f>
        <v/>
      </c>
      <c r="G16" s="189" t="str">
        <f t="shared" ref="G16" si="2">IF(OR(D16="",E16="",F16=""),"",IF(OR(E16=0,F16=0),0,E16/F16))</f>
        <v/>
      </c>
      <c r="H16" s="191" t="str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6:H6 D9:D16">
    <cfRule type="cellIs" dxfId="58" priority="529" stopIfTrue="1" operator="equal">
      <formula>"NO ADMISIBLE"</formula>
    </cfRule>
  </conditionalFormatting>
  <conditionalFormatting sqref="E10:H10">
    <cfRule type="expression" dxfId="57" priority="523" stopIfTrue="1">
      <formula>IF($B2-INT($B2)&gt;0,TRUE,FALSE)</formula>
    </cfRule>
  </conditionalFormatting>
  <conditionalFormatting sqref="E9:H9">
    <cfRule type="expression" dxfId="56" priority="530" stopIfTrue="1">
      <formula>IF(#REF!-INT(#REF!)&gt;0,TRUE,FALSE)</formula>
    </cfRule>
  </conditionalFormatting>
  <conditionalFormatting sqref="E13:H13">
    <cfRule type="expression" dxfId="55" priority="23" stopIfTrue="1">
      <formula>IF(#REF!-INT(#REF!)&gt;0,TRUE,FALSE)</formula>
    </cfRule>
  </conditionalFormatting>
  <conditionalFormatting sqref="G12:H12">
    <cfRule type="expression" dxfId="54" priority="25" stopIfTrue="1">
      <formula>IF(#REF!-INT(#REF!)&gt;0,TRUE,FALSE)</formula>
    </cfRule>
  </conditionalFormatting>
  <conditionalFormatting sqref="E16:H16">
    <cfRule type="expression" dxfId="53" priority="18" stopIfTrue="1">
      <formula>IF(#REF!-INT(#REF!)&gt;0,TRUE,FALSE)</formula>
    </cfRule>
  </conditionalFormatting>
  <conditionalFormatting sqref="F15:G15">
    <cfRule type="expression" dxfId="52" priority="10" stopIfTrue="1">
      <formula>IF(#REF!-INT(#REF!)&gt;0,TRUE,FALSE)</formula>
    </cfRule>
  </conditionalFormatting>
  <conditionalFormatting sqref="H15">
    <cfRule type="expression" dxfId="51" priority="8" stopIfTrue="1">
      <formula>IF(#REF!-INT(#REF!)&gt;0,TRUE,FALSE)</formula>
    </cfRule>
  </conditionalFormatting>
  <conditionalFormatting sqref="E11:H11 E14:H14">
    <cfRule type="expression" dxfId="50" priority="8205" stopIfTrue="1">
      <formula>IF(#REF!-INT(#REF!)&gt;0,TRUE,FALSE)</formula>
    </cfRule>
  </conditionalFormatting>
  <conditionalFormatting sqref="E12">
    <cfRule type="expression" dxfId="49" priority="3" stopIfTrue="1">
      <formula>IF(#REF!-INT(#REF!)&gt;0,TRUE,FALSE)</formula>
    </cfRule>
  </conditionalFormatting>
  <conditionalFormatting sqref="F12">
    <cfRule type="expression" dxfId="48" priority="2" stopIfTrue="1">
      <formula>IF(#REF!-INT(#REF!)&gt;0,TRUE,FALSE)</formula>
    </cfRule>
  </conditionalFormatting>
  <conditionalFormatting sqref="E15">
    <cfRule type="expression" dxfId="47" priority="1" stopIfTrue="1">
      <formula>IF(#REF!-INT(#REF!)&gt;0,TRUE,FALSE)</formula>
    </cfRule>
  </conditionalFormatting>
  <dataValidations count="1">
    <dataValidation type="list" allowBlank="1" showInputMessage="1" showErrorMessage="1" sqref="D6 D9:D16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C2:J17"/>
  <sheetViews>
    <sheetView workbookViewId="0">
      <selection activeCell="F37" sqref="F37"/>
    </sheetView>
  </sheetViews>
  <sheetFormatPr baseColWidth="10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34.140625" style="142" customWidth="1"/>
    <col min="5" max="5" width="42" style="131" customWidth="1"/>
    <col min="6" max="6" width="11.42578125" style="142"/>
    <col min="7" max="7" width="13.85546875" style="153" customWidth="1"/>
    <col min="8" max="8" width="9.7109375" style="154" customWidth="1"/>
    <col min="9" max="9" width="12.5703125" style="142" customWidth="1"/>
    <col min="10" max="10" width="12.7109375" style="142" customWidth="1"/>
    <col min="11" max="16384" width="11.42578125" style="142"/>
  </cols>
  <sheetData>
    <row r="2" spans="3:10" s="144" customFormat="1" ht="20.25" customHeight="1" x14ac:dyDescent="0.2">
      <c r="C2" s="302" t="s">
        <v>195</v>
      </c>
      <c r="D2" s="302"/>
      <c r="E2" s="302"/>
      <c r="G2" s="145"/>
      <c r="H2" s="146"/>
    </row>
    <row r="3" spans="3:10" s="144" customFormat="1" ht="18" customHeight="1" x14ac:dyDescent="0.2">
      <c r="C3" s="303" t="s">
        <v>209</v>
      </c>
      <c r="D3" s="303"/>
      <c r="E3" s="303"/>
      <c r="G3" s="145"/>
      <c r="H3" s="146"/>
    </row>
    <row r="4" spans="3:10" s="144" customFormat="1" ht="13.5" customHeight="1" x14ac:dyDescent="0.2">
      <c r="C4" s="304" t="str">
        <f>'Capacidad Financiera'!B4</f>
        <v>SA-MC-DT-VAL-001-2023</v>
      </c>
      <c r="D4" s="304"/>
      <c r="E4" s="304"/>
      <c r="G4" s="145"/>
      <c r="H4" s="146"/>
    </row>
    <row r="5" spans="3:10" s="144" customFormat="1" ht="13.5" customHeight="1" x14ac:dyDescent="0.2">
      <c r="C5" s="304" t="s">
        <v>221</v>
      </c>
      <c r="D5" s="304"/>
      <c r="E5" s="304"/>
      <c r="G5" s="145"/>
      <c r="H5" s="146"/>
    </row>
    <row r="6" spans="3:10" s="144" customFormat="1" ht="14.25" thickBot="1" x14ac:dyDescent="0.25">
      <c r="C6" s="147"/>
      <c r="D6" s="147"/>
      <c r="E6" s="151"/>
      <c r="G6" s="145"/>
      <c r="H6" s="146"/>
    </row>
    <row r="7" spans="3:10" ht="36" customHeight="1" x14ac:dyDescent="0.2">
      <c r="C7" s="305" t="s">
        <v>157</v>
      </c>
      <c r="D7" s="307" t="s">
        <v>156</v>
      </c>
      <c r="E7" s="313" t="s">
        <v>222</v>
      </c>
    </row>
    <row r="8" spans="3:10" ht="36" customHeight="1" thickBot="1" x14ac:dyDescent="0.25">
      <c r="C8" s="306"/>
      <c r="D8" s="308"/>
      <c r="E8" s="314"/>
    </row>
    <row r="9" spans="3:10" x14ac:dyDescent="0.2">
      <c r="C9" s="86">
        <f>+'Capacidad Financiera'!B12</f>
        <v>1</v>
      </c>
      <c r="D9" s="87" t="str">
        <f>IF(ISERROR(VLOOKUP(C9,'Capacidad Financiera'!$B$12:$AC$59149,2,0)),"",VLOOKUP(C9,'Capacidad Financiera'!$B$12:$AC$59149,2,0))</f>
        <v>CCC DE LA SABANA SAS</v>
      </c>
      <c r="E9" s="177">
        <v>0</v>
      </c>
      <c r="G9" s="155"/>
      <c r="H9" s="156"/>
      <c r="I9" s="143"/>
      <c r="J9" s="143"/>
    </row>
    <row r="10" spans="3:10" x14ac:dyDescent="0.2">
      <c r="C10" s="91"/>
      <c r="D10" s="123" t="str">
        <f>IF(ISERROR(VLOOKUP(C10,'Capacidad Financiera'!$B$12:$AC$59149,2,0)),"",VLOOKUP(C10,'Capacidad Financiera'!$B$12:$AC$59149,2,0))</f>
        <v/>
      </c>
      <c r="E10" s="178"/>
    </row>
    <row r="11" spans="3:10" ht="13.5" thickBot="1" x14ac:dyDescent="0.25">
      <c r="C11" s="92"/>
      <c r="D11" s="93"/>
      <c r="E11" s="179"/>
    </row>
    <row r="12" spans="3:10" x14ac:dyDescent="0.2">
      <c r="C12" s="86">
        <v>2</v>
      </c>
      <c r="D12" s="87" t="str">
        <f>IF(ISERROR(VLOOKUP(C12,'Capacidad Financiera'!$B$12:$AC$59149,2,0)),"",VLOOKUP(C12,'Capacidad Financiera'!$B$12:$AC$59149,2,0))</f>
        <v>TULCAN L J EIVAR</v>
      </c>
      <c r="E12" s="177">
        <v>426224032.64999998</v>
      </c>
    </row>
    <row r="13" spans="3:10" x14ac:dyDescent="0.2">
      <c r="C13" s="91"/>
      <c r="D13" s="123"/>
      <c r="E13" s="123"/>
    </row>
    <row r="14" spans="3:10" ht="13.5" thickBot="1" x14ac:dyDescent="0.25">
      <c r="C14" s="92"/>
      <c r="D14" s="93"/>
      <c r="E14" s="179"/>
    </row>
    <row r="15" spans="3:10" x14ac:dyDescent="0.2">
      <c r="C15" s="86">
        <v>3</v>
      </c>
      <c r="D15" s="87" t="str">
        <f>IF(ISERROR(VLOOKUP(C15,'Capacidad Financiera'!$B$12:$AC$59149,2,0)),"",VLOOKUP(C15,'Capacidad Financiera'!$B$12:$AC$59149,2,0))</f>
        <v>CARLOS ALBERTO DEL RIO RESTREPO</v>
      </c>
      <c r="E15" s="177">
        <v>123741090.67</v>
      </c>
    </row>
    <row r="16" spans="3:10" x14ac:dyDescent="0.2">
      <c r="C16" s="91"/>
      <c r="D16" s="123"/>
      <c r="E16" s="178"/>
    </row>
    <row r="17" spans="3:5" ht="13.5" thickBot="1" x14ac:dyDescent="0.25">
      <c r="C17" s="92"/>
      <c r="D17" s="93"/>
      <c r="E17" s="179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6:E6 D9:D17">
    <cfRule type="cellIs" dxfId="46" priority="522" stopIfTrue="1" operator="equal">
      <formula>"NO ADMISIBLE"</formula>
    </cfRule>
  </conditionalFormatting>
  <conditionalFormatting sqref="E10">
    <cfRule type="expression" dxfId="45" priority="516" stopIfTrue="1">
      <formula>IF($B2-INT($B2)&gt;0,TRUE,FALSE)</formula>
    </cfRule>
  </conditionalFormatting>
  <conditionalFormatting sqref="E9">
    <cfRule type="expression" dxfId="44" priority="523" stopIfTrue="1">
      <formula>IF(#REF!-INT(#REF!)&gt;0,TRUE,FALSE)</formula>
    </cfRule>
  </conditionalFormatting>
  <conditionalFormatting sqref="E12">
    <cfRule type="expression" dxfId="43" priority="14" stopIfTrue="1">
      <formula>IF(#REF!-INT(#REF!)&gt;0,TRUE,FALSE)</formula>
    </cfRule>
  </conditionalFormatting>
  <conditionalFormatting sqref="E16">
    <cfRule type="expression" dxfId="42" priority="7" stopIfTrue="1">
      <formula>IF(#REF!-INT(#REF!)&gt;0,TRUE,FALSE)</formula>
    </cfRule>
  </conditionalFormatting>
  <conditionalFormatting sqref="E15">
    <cfRule type="expression" dxfId="41" priority="9" stopIfTrue="1">
      <formula>IF(#REF!-INT(#REF!)&gt;0,TRUE,FALSE)</formula>
    </cfRule>
  </conditionalFormatting>
  <conditionalFormatting sqref="E11 E14 E17">
    <cfRule type="expression" dxfId="40" priority="8203" stopIfTrue="1">
      <formula>IF(#REF!-INT(#REF!)&gt;0,TRUE,FALSE)</formula>
    </cfRule>
  </conditionalFormatting>
  <conditionalFormatting sqref="E13">
    <cfRule type="cellIs" dxfId="39" priority="1" stopIfTrue="1" operator="equal">
      <formula>"NO ADMISIBLE"</formula>
    </cfRule>
  </conditionalFormatting>
  <dataValidations count="1">
    <dataValidation type="list" allowBlank="1" showInputMessage="1" showErrorMessage="1" sqref="D6 D9:D17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C2:J15"/>
  <sheetViews>
    <sheetView workbookViewId="0">
      <selection activeCell="F21" sqref="F21"/>
    </sheetView>
  </sheetViews>
  <sheetFormatPr baseColWidth="10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35.140625" style="142" customWidth="1"/>
    <col min="5" max="5" width="68.140625" style="131" customWidth="1"/>
    <col min="6" max="6" width="16.5703125" style="142" bestFit="1" customWidth="1"/>
    <col min="7" max="7" width="13.85546875" style="153" customWidth="1"/>
    <col min="8" max="8" width="9.7109375" style="154" customWidth="1"/>
    <col min="9" max="9" width="12.5703125" style="142" customWidth="1"/>
    <col min="10" max="10" width="12.7109375" style="142" customWidth="1"/>
    <col min="11" max="16384" width="11.42578125" style="142"/>
  </cols>
  <sheetData>
    <row r="2" spans="3:10" s="144" customFormat="1" ht="20.25" customHeight="1" x14ac:dyDescent="0.2">
      <c r="C2" s="302" t="s">
        <v>195</v>
      </c>
      <c r="D2" s="302"/>
      <c r="E2" s="302"/>
      <c r="G2" s="145"/>
      <c r="H2" s="146"/>
    </row>
    <row r="3" spans="3:10" s="144" customFormat="1" ht="18" customHeight="1" x14ac:dyDescent="0.2">
      <c r="C3" s="303" t="s">
        <v>209</v>
      </c>
      <c r="D3" s="303"/>
      <c r="E3" s="303"/>
      <c r="G3" s="145"/>
      <c r="H3" s="146"/>
    </row>
    <row r="4" spans="3:10" s="144" customFormat="1" ht="13.5" customHeight="1" x14ac:dyDescent="0.2">
      <c r="C4" s="304" t="str">
        <f>'Capacidad Financiera'!B4</f>
        <v>SA-MC-DT-VAL-001-2023</v>
      </c>
      <c r="D4" s="304"/>
      <c r="E4" s="304"/>
      <c r="G4" s="145"/>
      <c r="H4" s="146"/>
    </row>
    <row r="5" spans="3:10" s="144" customFormat="1" ht="13.5" customHeight="1" x14ac:dyDescent="0.2">
      <c r="C5" s="304" t="s">
        <v>223</v>
      </c>
      <c r="D5" s="304"/>
      <c r="E5" s="304"/>
      <c r="G5" s="145"/>
      <c r="H5" s="146"/>
    </row>
    <row r="6" spans="3:10" s="144" customFormat="1" ht="14.25" thickBot="1" x14ac:dyDescent="0.25">
      <c r="C6" s="147"/>
      <c r="D6" s="147"/>
      <c r="E6" s="151"/>
      <c r="G6" s="145"/>
      <c r="H6" s="146"/>
    </row>
    <row r="7" spans="3:10" ht="23.25" customHeight="1" x14ac:dyDescent="0.2">
      <c r="C7" s="305" t="s">
        <v>157</v>
      </c>
      <c r="D7" s="307" t="s">
        <v>156</v>
      </c>
      <c r="E7" s="183" t="s">
        <v>224</v>
      </c>
    </row>
    <row r="8" spans="3:10" ht="66" customHeight="1" thickBot="1" x14ac:dyDescent="0.25">
      <c r="C8" s="306"/>
      <c r="D8" s="308"/>
      <c r="E8" s="185" t="s">
        <v>228</v>
      </c>
    </row>
    <row r="9" spans="3:10" x14ac:dyDescent="0.2">
      <c r="C9" s="86">
        <f>+'Capacidad Financiera'!B12</f>
        <v>1</v>
      </c>
      <c r="D9" s="87" t="str">
        <f>IF(ISERROR(VLOOKUP(C9,'Capacidad Financiera'!$B$12:$AC$59149,2,0)),"",VLOOKUP(C9,'Capacidad Financiera'!$B$12:$AC$59149,2,0))</f>
        <v>CCC DE LA SABANA SAS</v>
      </c>
      <c r="E9" s="177">
        <f>+E10</f>
        <v>2554350200</v>
      </c>
      <c r="G9" s="155"/>
      <c r="H9" s="156"/>
      <c r="I9" s="143"/>
      <c r="J9" s="143"/>
    </row>
    <row r="10" spans="3:10" x14ac:dyDescent="0.2">
      <c r="C10" s="91"/>
      <c r="D10" s="123"/>
      <c r="E10" s="232">
        <v>2554350200</v>
      </c>
      <c r="F10" s="234"/>
      <c r="G10" s="233" t="s">
        <v>251</v>
      </c>
    </row>
    <row r="11" spans="3:10" ht="13.5" thickBot="1" x14ac:dyDescent="0.25">
      <c r="C11" s="92"/>
      <c r="D11" s="93" t="str">
        <f>IF(ISERROR(VLOOKUP(C11,'Capacidad Financiera'!$B$12:$AC$59149,2,0)),"",VLOOKUP(C11,'Capacidad Financiera'!$B$12:$AC$59149,2,0))</f>
        <v/>
      </c>
      <c r="E11" s="195"/>
    </row>
    <row r="12" spans="3:10" x14ac:dyDescent="0.2">
      <c r="C12" s="86">
        <v>2</v>
      </c>
      <c r="D12" s="87" t="str">
        <f>IF(ISERROR(VLOOKUP(C12,'Capacidad Financiera'!$B$12:$AC$59149,2,0)),"",VLOOKUP(C12,'Capacidad Financiera'!$B$12:$AC$59149,2,0))</f>
        <v>TULCAN L J EIVAR</v>
      </c>
      <c r="E12" s="177">
        <f>+E13</f>
        <v>2810262330</v>
      </c>
    </row>
    <row r="13" spans="3:10" ht="13.5" thickBot="1" x14ac:dyDescent="0.25">
      <c r="C13" s="91"/>
      <c r="D13" s="123"/>
      <c r="E13" s="231">
        <v>2810262330</v>
      </c>
    </row>
    <row r="14" spans="3:10" x14ac:dyDescent="0.2">
      <c r="C14" s="86">
        <v>3</v>
      </c>
      <c r="D14" s="87" t="str">
        <f>IF(ISERROR(VLOOKUP(C14,'Capacidad Financiera'!$B$12:$AC$59149,2,0)),"",VLOOKUP(C14,'Capacidad Financiera'!$B$12:$AC$59149,2,0))</f>
        <v>CARLOS ALBERTO DEL RIO RESTREPO</v>
      </c>
      <c r="E14" s="177">
        <f>+E15</f>
        <v>229250300</v>
      </c>
    </row>
    <row r="15" spans="3:10" x14ac:dyDescent="0.2">
      <c r="C15" s="91"/>
      <c r="D15" s="123"/>
      <c r="E15" s="222">
        <v>229250300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E2"/>
    <mergeCell ref="C3:E3"/>
    <mergeCell ref="C4:E4"/>
    <mergeCell ref="C5:E5"/>
    <mergeCell ref="C7:C8"/>
    <mergeCell ref="D7:D8"/>
  </mergeCells>
  <conditionalFormatting sqref="D6:E6 D9:D15">
    <cfRule type="cellIs" dxfId="38" priority="359" stopIfTrue="1" operator="equal">
      <formula>"NO ADMISIBLE"</formula>
    </cfRule>
  </conditionalFormatting>
  <conditionalFormatting sqref="E9">
    <cfRule type="expression" dxfId="37" priority="360" stopIfTrue="1">
      <formula>IF(#REF!-INT(#REF!)&gt;0,TRUE,FALSE)</formula>
    </cfRule>
  </conditionalFormatting>
  <conditionalFormatting sqref="E12">
    <cfRule type="expression" dxfId="36" priority="7" stopIfTrue="1">
      <formula>IF(#REF!-INT(#REF!)&gt;0,TRUE,FALSE)</formula>
    </cfRule>
  </conditionalFormatting>
  <conditionalFormatting sqref="E14">
    <cfRule type="expression" dxfId="35" priority="5" stopIfTrue="1">
      <formula>IF(#REF!-INT(#REF!)&gt;0,TRUE,FALSE)</formula>
    </cfRule>
  </conditionalFormatting>
  <conditionalFormatting sqref="E10">
    <cfRule type="expression" dxfId="34" priority="1" stopIfTrue="1">
      <formula>IF($B2-INT($B2)&gt;0,TRUE,FALSE)</formula>
    </cfRule>
  </conditionalFormatting>
  <conditionalFormatting sqref="E11 E13">
    <cfRule type="expression" dxfId="33" priority="8205" stopIfTrue="1">
      <formula>IF(#REF!-INT(#REF!)&gt;0,TRUE,FALSE)</formula>
    </cfRule>
  </conditionalFormatting>
  <dataValidations count="1">
    <dataValidation type="list" allowBlank="1" showInputMessage="1" showErrorMessage="1" sqref="D6 D9:D15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MacroCapOrganizacion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C2:X20"/>
  <sheetViews>
    <sheetView workbookViewId="0">
      <selection activeCell="A24" sqref="A24"/>
    </sheetView>
  </sheetViews>
  <sheetFormatPr baseColWidth="10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29.42578125" style="142" customWidth="1"/>
    <col min="5" max="5" width="11.5703125" style="142" customWidth="1"/>
    <col min="6" max="6" width="3.85546875" style="142" customWidth="1"/>
    <col min="7" max="7" width="17" style="142" customWidth="1"/>
    <col min="8" max="8" width="15.5703125" style="142" customWidth="1"/>
    <col min="9" max="9" width="3.7109375" style="142" customWidth="1"/>
    <col min="10" max="10" width="29" style="142" customWidth="1"/>
    <col min="11" max="11" width="16.5703125" style="131" customWidth="1"/>
    <col min="12" max="12" width="14.5703125" style="131" customWidth="1"/>
    <col min="13" max="13" width="8.85546875" style="131" hidden="1" customWidth="1"/>
    <col min="14" max="14" width="14.5703125" style="131" hidden="1" customWidth="1"/>
    <col min="15" max="15" width="13.140625" style="131" customWidth="1"/>
    <col min="16" max="16" width="13.85546875" style="131" bestFit="1" customWidth="1"/>
    <col min="17" max="17" width="20.7109375" style="131" customWidth="1"/>
    <col min="18" max="18" width="26.42578125" style="131" customWidth="1"/>
    <col min="19" max="19" width="29.42578125" style="142" customWidth="1"/>
    <col min="20" max="20" width="11.42578125" style="142"/>
    <col min="21" max="21" width="13.85546875" style="153" customWidth="1"/>
    <col min="22" max="22" width="9.7109375" style="154" customWidth="1"/>
    <col min="23" max="23" width="12.5703125" style="142" customWidth="1"/>
    <col min="24" max="24" width="12.7109375" style="142" customWidth="1"/>
    <col min="25" max="16384" width="11.42578125" style="142"/>
  </cols>
  <sheetData>
    <row r="2" spans="3:24" s="144" customFormat="1" ht="20.25" customHeight="1" x14ac:dyDescent="0.2">
      <c r="C2" s="302" t="s">
        <v>195</v>
      </c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U2" s="145"/>
      <c r="V2" s="146"/>
    </row>
    <row r="3" spans="3:24" s="144" customFormat="1" ht="18" customHeight="1" x14ac:dyDescent="0.2">
      <c r="C3" s="303" t="s">
        <v>209</v>
      </c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U3" s="145"/>
      <c r="V3" s="146"/>
    </row>
    <row r="4" spans="3:24" s="144" customFormat="1" ht="13.5" customHeight="1" x14ac:dyDescent="0.2">
      <c r="C4" s="304" t="str">
        <f>'Capacidad Financiera'!B4</f>
        <v>SA-MC-DT-VAL-001-2023</v>
      </c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U4" s="145"/>
      <c r="V4" s="146"/>
    </row>
    <row r="5" spans="3:24" s="144" customFormat="1" ht="13.5" customHeight="1" x14ac:dyDescent="0.2">
      <c r="C5" s="304" t="s">
        <v>196</v>
      </c>
      <c r="D5" s="304"/>
      <c r="E5" s="304"/>
      <c r="F5" s="304"/>
      <c r="G5" s="304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S5" s="304"/>
      <c r="U5" s="145"/>
      <c r="V5" s="146"/>
    </row>
    <row r="6" spans="3:24" s="144" customFormat="1" ht="14.25" thickBot="1" x14ac:dyDescent="0.25">
      <c r="C6" s="147"/>
      <c r="D6" s="147"/>
      <c r="E6" s="148"/>
      <c r="F6" s="148"/>
      <c r="G6" s="149"/>
      <c r="H6" s="149"/>
      <c r="I6" s="149"/>
      <c r="J6" s="150"/>
      <c r="L6" s="151"/>
      <c r="M6" s="151"/>
      <c r="N6" s="151"/>
      <c r="O6" s="151"/>
      <c r="P6" s="151"/>
      <c r="Q6" s="151"/>
      <c r="R6" s="151"/>
      <c r="S6" s="152"/>
      <c r="U6" s="145"/>
      <c r="V6" s="146"/>
    </row>
    <row r="7" spans="3:24" ht="54" customHeight="1" x14ac:dyDescent="0.2">
      <c r="C7" s="323" t="s">
        <v>157</v>
      </c>
      <c r="D7" s="326" t="s">
        <v>156</v>
      </c>
      <c r="E7" s="82" t="s">
        <v>200</v>
      </c>
      <c r="F7" s="329" t="s">
        <v>162</v>
      </c>
      <c r="G7" s="82" t="s">
        <v>186</v>
      </c>
      <c r="H7" s="82" t="s">
        <v>187</v>
      </c>
      <c r="I7" s="332" t="s">
        <v>1</v>
      </c>
      <c r="J7" s="118" t="s">
        <v>188</v>
      </c>
      <c r="K7" s="82" t="s">
        <v>189</v>
      </c>
      <c r="L7" s="82" t="s">
        <v>190</v>
      </c>
      <c r="M7" s="269" t="s">
        <v>168</v>
      </c>
      <c r="N7" s="273" t="s">
        <v>169</v>
      </c>
      <c r="O7" s="82" t="s">
        <v>205</v>
      </c>
      <c r="P7" s="83" t="s">
        <v>191</v>
      </c>
      <c r="Q7" s="119" t="s">
        <v>226</v>
      </c>
      <c r="R7" s="122" t="s">
        <v>192</v>
      </c>
      <c r="S7" s="196" t="s">
        <v>227</v>
      </c>
    </row>
    <row r="8" spans="3:24" x14ac:dyDescent="0.2">
      <c r="C8" s="324"/>
      <c r="D8" s="327"/>
      <c r="E8" s="317" t="s">
        <v>2</v>
      </c>
      <c r="F8" s="330"/>
      <c r="G8" s="317" t="s">
        <v>3</v>
      </c>
      <c r="H8" s="317" t="s">
        <v>3</v>
      </c>
      <c r="I8" s="333"/>
      <c r="J8" s="319" t="s">
        <v>194</v>
      </c>
      <c r="K8" s="321" t="s">
        <v>225</v>
      </c>
      <c r="L8" s="321" t="s">
        <v>202</v>
      </c>
      <c r="M8" s="270"/>
      <c r="N8" s="274"/>
      <c r="O8" s="321" t="s">
        <v>202</v>
      </c>
      <c r="P8" s="321" t="s">
        <v>202</v>
      </c>
      <c r="Q8" s="321" t="s">
        <v>225</v>
      </c>
      <c r="R8" s="319" t="s">
        <v>193</v>
      </c>
      <c r="S8" s="315" t="s">
        <v>235</v>
      </c>
    </row>
    <row r="9" spans="3:24" ht="51" customHeight="1" thickBot="1" x14ac:dyDescent="0.25">
      <c r="C9" s="325"/>
      <c r="D9" s="328"/>
      <c r="E9" s="318"/>
      <c r="F9" s="331"/>
      <c r="G9" s="318"/>
      <c r="H9" s="318"/>
      <c r="I9" s="334"/>
      <c r="J9" s="320"/>
      <c r="K9" s="322"/>
      <c r="L9" s="322"/>
      <c r="M9" s="271"/>
      <c r="N9" s="275"/>
      <c r="O9" s="322"/>
      <c r="P9" s="322"/>
      <c r="Q9" s="322"/>
      <c r="R9" s="320"/>
      <c r="S9" s="316"/>
    </row>
    <row r="10" spans="3:24" x14ac:dyDescent="0.2">
      <c r="C10" s="86">
        <f>+'Capacidad Financiera'!B12</f>
        <v>1</v>
      </c>
      <c r="D10" s="87" t="str">
        <f>IF(ISERROR(VLOOKUP(C10,'Capacidad Financiera'!$B$12:$AC$59149,2,0)),"",VLOOKUP(C10,'Capacidad Financiera'!$B$12:$AC$59149,2,0))</f>
        <v>CCC DE LA SABANA SAS</v>
      </c>
      <c r="E10" s="88">
        <f>IF(ISERROR(VLOOKUP(C10,'Capacidad Financiera'!$B$12:$AC$59149,3,0)),"",VLOOKUP(C10,'Capacidad Financiera'!$B$12:$AC$59149,3,0))</f>
        <v>1</v>
      </c>
      <c r="F10" s="90">
        <f>'Capacidad Financiera'!N12</f>
        <v>1</v>
      </c>
      <c r="G10" s="89">
        <f>IF(ISERROR(VLOOKUP(F10,POA!$A$2:$D$16,2,0)),"",VLOOKUP(F10,POA!$A$2:$D$16,2,0))</f>
        <v>222239000</v>
      </c>
      <c r="H10" s="89">
        <f>IF(ISERROR(VLOOKUP(F10,POA!$A$2:$D$16,3,0)),"",VLOOKUP(F10,POA!$A$2:$D$16,4,0))</f>
        <v>0</v>
      </c>
      <c r="I10" s="90">
        <f>IF(ISERROR(VLOOKUP(F10,POA!$A$2:$D$2,3,0)),"",VLOOKUP(F10,POA!$A$2:$D$2,3,0))</f>
        <v>5</v>
      </c>
      <c r="J10" s="87">
        <f>IF(I10="","",IF(I10&lt;12,(G10-H10),IF(I10&gt;=12,(((G10-H10)/I10)*12),"")))</f>
        <v>222239000</v>
      </c>
      <c r="K10" s="90"/>
      <c r="L10" s="87"/>
      <c r="M10" s="87"/>
      <c r="N10" s="87">
        <f>+SUM(N11:N12)</f>
        <v>0</v>
      </c>
      <c r="O10" s="90" t="str">
        <f>IF(ISERROR(VLOOKUP(K10,POA!$A$2:$C$2,3,0)),"",VLOOKUP(K10,POA!$A$2:$C$2,3,0))</f>
        <v/>
      </c>
      <c r="P10" s="87" t="str">
        <f>IF(ISERROR(+L10/O10),"",(L10/O10))</f>
        <v/>
      </c>
      <c r="Q10" s="120"/>
      <c r="R10" s="120">
        <f>+R11</f>
        <v>4597830360</v>
      </c>
      <c r="S10" s="203" t="str">
        <f>+IF(OR(R10=0,F10=""),"",IF(R10&gt;=J10,"CUMPLE","NO CUMPLE"))</f>
        <v>CUMPLE</v>
      </c>
      <c r="U10" s="155"/>
      <c r="V10" s="156"/>
      <c r="W10" s="143"/>
      <c r="X10" s="143"/>
    </row>
    <row r="11" spans="3:24" x14ac:dyDescent="0.2">
      <c r="C11" s="91"/>
      <c r="D11" s="85"/>
      <c r="E11" s="84"/>
      <c r="F11" s="125">
        <f>'Capacidad Financiera'!N13</f>
        <v>0</v>
      </c>
      <c r="G11" s="160" t="str">
        <f>IF(ISERROR(VLOOKUP(F11,POA!$A$2:$D$16,2,0)),"",VLOOKUP(F11,POA!$A$2:$D$16,2,0))</f>
        <v/>
      </c>
      <c r="H11" s="160" t="str">
        <f>IF(ISERROR(VLOOKUP(F11,POA!$A$2:$D$16,3,0)),"",VLOOKUP(F11,POA!$A$2:$D$16,4,0))</f>
        <v/>
      </c>
      <c r="I11" s="125" t="str">
        <f>IF(ISERROR(VLOOKUP(F11,POA!$A$2:$D$2,3,0)),"",VLOOKUP(F11,POA!$A$2:$D$2,3,0))</f>
        <v/>
      </c>
      <c r="J11" s="124" t="str">
        <f>IF(I11="","",IF(I11&lt;12,(G11-H11),IF(I11&gt;=12,(((G11-H11)/I11)*12),"")))</f>
        <v/>
      </c>
      <c r="K11" s="197">
        <f>+'Cap Organización'!E9</f>
        <v>2554350200</v>
      </c>
      <c r="L11" s="193">
        <f>+'Puntaje Exp'!I9</f>
        <v>120</v>
      </c>
      <c r="M11" s="193">
        <f>+'Capacidad Financiera'!P13</f>
        <v>0</v>
      </c>
      <c r="N11" s="193" t="str">
        <f>IF(ISERROR(VLOOKUP(M11,POA!$A$2:$F$16,6,0)),"",VLOOKUP(M11,POA!$A$2:$F$16,6,0))</f>
        <v/>
      </c>
      <c r="O11" s="193">
        <f>+'Puntaje CT'!F9</f>
        <v>20</v>
      </c>
      <c r="P11" s="193">
        <f>+'Puntaje CF'!H9</f>
        <v>40</v>
      </c>
      <c r="Q11" s="194">
        <f>+'Saldo CtosEjecución'!E9</f>
        <v>0</v>
      </c>
      <c r="R11" s="121">
        <f>IF(OR(K11="",L11="",O11="",P11="",Q11=""),"",(K11*((L11+O11+P11)/100))-Q11)</f>
        <v>4597830360</v>
      </c>
      <c r="S11" s="202"/>
    </row>
    <row r="12" spans="3:24" x14ac:dyDescent="0.2">
      <c r="C12" s="91"/>
      <c r="D12" s="85"/>
      <c r="E12" s="84"/>
      <c r="F12" s="125">
        <f>'Capacidad Financiera'!N14</f>
        <v>0</v>
      </c>
      <c r="G12" s="160" t="str">
        <f>IF(ISERROR(VLOOKUP(F12,POA!$A$2:$D$16,2,0)),"",VLOOKUP(F12,POA!$A$2:$D$16,2,0))</f>
        <v/>
      </c>
      <c r="H12" s="160" t="str">
        <f>IF(ISERROR(VLOOKUP(F12,POA!$A$2:$D$16,3,0)),"",VLOOKUP(F12,POA!$A$2:$D$16,4,0))</f>
        <v/>
      </c>
      <c r="I12" s="125" t="str">
        <f>IF(ISERROR(VLOOKUP(F12,POA!$A$2:$D$2,3,0)),"",VLOOKUP(F12,POA!$A$2:$D$2,3,0))</f>
        <v/>
      </c>
      <c r="J12" s="124" t="str">
        <f>IF(I12="","",IF(I12&lt;12,(G12-H12),IF(I12&gt;=12,(((G12-H12)/I12)*12),"")))</f>
        <v/>
      </c>
      <c r="K12" s="197" t="str">
        <f>IF(IF(ISERROR(VLOOKUP(C12,'Cap Organización'!$C$10:$I$1048576,3,0)),"",VLOOKUP(C12,'Cap Organización'!$C$10:$I$1048576,3,0))=0,"",IF(ISERROR(VLOOKUP(C12,'Cap Organización'!$C$10:$I$1048576,3,0)),"",VLOOKUP(C12,'Cap Organización'!$C$10:$I$1048576,3,0)))</f>
        <v/>
      </c>
      <c r="L12" s="193" t="str">
        <f>IF(ISERROR(VLOOKUP(C12,'Puntaje Exp'!$C$10:$I$1048576,8,0)),"",VLOOKUP(C12,'Puntaje Exp'!$C$10:$I$1048576,8,0))</f>
        <v/>
      </c>
      <c r="M12" s="193">
        <f>+'Capacidad Financiera'!P14</f>
        <v>0</v>
      </c>
      <c r="N12" s="193" t="str">
        <f>IF(ISERROR(VLOOKUP(M12,POA!$A$2:$F$16,6,0)),"",VLOOKUP(M12,POA!$A$2:$F$16,6,0))</f>
        <v/>
      </c>
      <c r="O12" s="193" t="str">
        <f>IF(ISERROR(VLOOKUP(C12,'Puntaje CT'!$C$10:$I$1048576,4,0)),"",VLOOKUP(C12,'Puntaje CT'!$C$10:$I$1048576,4,0))</f>
        <v/>
      </c>
      <c r="P12" s="193" t="str">
        <f>IF(ISERROR(VLOOKUP(C12,'Puntaje CF'!$C$10:$I$1048576,6,0)),"",VLOOKUP(C12,'Puntaje CF'!$C$10:$I$1048576,6,0))</f>
        <v/>
      </c>
      <c r="Q12" s="194">
        <v>0</v>
      </c>
      <c r="R12" s="121" t="str">
        <f>IF(OR(K12="",L12="",O12="",P12="",Q12=""),"",(K12*((L12+O12+P12)/100))-Q12)</f>
        <v/>
      </c>
      <c r="S12" s="202"/>
    </row>
    <row r="13" spans="3:24" ht="13.5" thickBot="1" x14ac:dyDescent="0.25"/>
    <row r="14" spans="3:24" x14ac:dyDescent="0.2">
      <c r="C14" s="86">
        <v>2</v>
      </c>
      <c r="D14" s="87" t="str">
        <f>IF(ISERROR(VLOOKUP(C14,'Capacidad Financiera'!$B$12:$AC$59149,2,0)),"",VLOOKUP(C14,'Capacidad Financiera'!$B$12:$AC$59149,2,0))</f>
        <v>TULCAN L J EIVAR</v>
      </c>
      <c r="E14" s="88">
        <f>IF(ISERROR(VLOOKUP(C14,'Capacidad Financiera'!$B$12:$AC$59149,3,0)),"",VLOOKUP(C14,'Capacidad Financiera'!$B$12:$AC$59149,3,0))</f>
        <v>1</v>
      </c>
      <c r="F14" s="90">
        <f>'Capacidad Financiera'!N15</f>
        <v>1</v>
      </c>
      <c r="G14" s="89">
        <f>IF(ISERROR(VLOOKUP(F14,POA!$A$2:$D$16,2,0)),"",VLOOKUP(F14,POA!$A$2:$D$16,2,0))</f>
        <v>222239000</v>
      </c>
      <c r="H14" s="89">
        <f>IF(ISERROR(VLOOKUP(F14,POA!$A$2:$D$16,3,0)),"",VLOOKUP(F14,POA!$A$2:$D$16,4,0))</f>
        <v>0</v>
      </c>
      <c r="I14" s="90">
        <f>IF(ISERROR(VLOOKUP(F14,POA!$A$2:$D$2,3,0)),"",VLOOKUP(F14,POA!$A$2:$D$2,3,0))</f>
        <v>5</v>
      </c>
      <c r="J14" s="87">
        <f>IF(I14="","",IF(I14&lt;12,(G14-H14),IF(I14&gt;=12,(((G14-H14)/I14)*12),"")))</f>
        <v>222239000</v>
      </c>
      <c r="K14" s="90"/>
      <c r="L14" s="87"/>
      <c r="M14" s="87"/>
      <c r="N14" s="87">
        <f>+SUM(N15:N16)</f>
        <v>0</v>
      </c>
      <c r="O14" s="90" t="str">
        <f>IF(ISERROR(VLOOKUP(K14,POA!$A$2:$C$2,3,0)),"",VLOOKUP(K14,POA!$A$2:$C$2,3,0))</f>
        <v/>
      </c>
      <c r="P14" s="87" t="str">
        <f>IF(ISERROR(+L14/O14),"",(L14/O14))</f>
        <v/>
      </c>
      <c r="Q14" s="120"/>
      <c r="R14" s="120">
        <f>+R15</f>
        <v>4913274394.3500004</v>
      </c>
      <c r="S14" s="203" t="str">
        <f>+IF(OR(R14=0,F14=""),"",IF(R14&gt;=J14,"CUMPLE","NO CUMPLE"))</f>
        <v>CUMPLE</v>
      </c>
    </row>
    <row r="15" spans="3:24" x14ac:dyDescent="0.2">
      <c r="C15" s="91"/>
      <c r="D15" s="85" t="str">
        <f>IF(ISERROR(VLOOKUP(C15,'Capacidad Financiera'!$B$12:$AC$59149,2,0)),"",VLOOKUP(C15,'Capacidad Financiera'!$B$12:$AC$59149,2,0))</f>
        <v/>
      </c>
      <c r="E15" s="84" t="str">
        <f>IF(ISERROR(VLOOKUP(C15,'Capacidad Financiera'!$B$12:$AC$59149,3,0)),"",VLOOKUP(C15,'Capacidad Financiera'!$B$12:$AC$59149,3,0))</f>
        <v/>
      </c>
      <c r="F15" s="85">
        <f>'Capacidad Financiera'!N16</f>
        <v>0</v>
      </c>
      <c r="G15" s="85" t="str">
        <f>IF(ISERROR(VLOOKUP(F15,POA!$A$2:$D$16,2,0)),"",VLOOKUP(F15,POA!$A$2:$D$16,2,0))</f>
        <v/>
      </c>
      <c r="H15" s="85" t="str">
        <f>IF(ISERROR(VLOOKUP(F15,POA!$A$2:$D$16,3,0)),"",VLOOKUP(F15,POA!$A$2:$D$16,4,0))</f>
        <v/>
      </c>
      <c r="I15" s="85" t="str">
        <f>IF(ISERROR(VLOOKUP(F15,POA!$A$2:$D$2,3,0)),"",VLOOKUP(F15,POA!$A$2:$D$2,3,0))</f>
        <v/>
      </c>
      <c r="J15" s="85" t="str">
        <f>IF(I15="","",IF(I15&lt;12,(G15-H15),IF(I15&gt;=12,(((G15-H15)/I15)*12),"")))</f>
        <v/>
      </c>
      <c r="K15" s="197">
        <f>+'Cap Organización'!E13</f>
        <v>2810262330</v>
      </c>
      <c r="L15" s="193">
        <f>+'Puntaje Exp'!I11</f>
        <v>120</v>
      </c>
      <c r="M15" s="193">
        <f>+'Capacidad Financiera'!P17</f>
        <v>0</v>
      </c>
      <c r="N15" s="193" t="str">
        <f>IF(ISERROR(VLOOKUP(M15,POA!$A$2:$F$16,6,0)),"",VLOOKUP(M15,POA!$A$2:$F$16,6,0))</f>
        <v/>
      </c>
      <c r="O15" s="193">
        <f>+'Puntaje CT'!F11</f>
        <v>30</v>
      </c>
      <c r="P15" s="193">
        <f>+'Puntaje CF'!H15</f>
        <v>40</v>
      </c>
      <c r="Q15" s="194">
        <f>+'Saldo CtosEjecución'!E12</f>
        <v>426224032.64999998</v>
      </c>
      <c r="R15" s="121">
        <f>IF(OR(K15="",L15="",O15="",P15="",Q15=""),"",(K15*((L15+O15+P15)/100))-Q15)</f>
        <v>4913274394.3500004</v>
      </c>
      <c r="S15" s="85"/>
    </row>
    <row r="16" spans="3:24" ht="17.25" customHeight="1" x14ac:dyDescent="0.2">
      <c r="C16" s="91"/>
      <c r="D16" s="85"/>
      <c r="E16" s="84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</row>
    <row r="17" spans="3:19" ht="13.5" thickBot="1" x14ac:dyDescent="0.25"/>
    <row r="18" spans="3:19" ht="25.5" x14ac:dyDescent="0.2">
      <c r="C18" s="86">
        <v>3</v>
      </c>
      <c r="D18" s="87" t="str">
        <f>IF(ISERROR(VLOOKUP(C18,'Capacidad Financiera'!$B$12:$AC$59149,2,0)),"",VLOOKUP(C18,'Capacidad Financiera'!$B$12:$AC$59149,2,0))</f>
        <v>CARLOS ALBERTO DEL RIO RESTREPO</v>
      </c>
      <c r="E18" s="88">
        <f>IF(ISERROR(VLOOKUP(C18,'Capacidad Financiera'!$B$12:$AC$59149,3,0)),"",VLOOKUP(C18,'Capacidad Financiera'!$B$12:$AC$59149,3,0))</f>
        <v>1</v>
      </c>
      <c r="F18" s="90">
        <f>'Capacidad Financiera'!N18</f>
        <v>1</v>
      </c>
      <c r="G18" s="89">
        <f>IF(ISERROR(VLOOKUP(F18,POA!$A$2:$D$16,2,0)),"",VLOOKUP(F18,POA!$A$2:$D$16,2,0))</f>
        <v>222239000</v>
      </c>
      <c r="H18" s="89">
        <f>IF(ISERROR(VLOOKUP(F18,POA!$A$2:$D$16,3,0)),"",VLOOKUP(F18,POA!$A$2:$D$16,4,0))</f>
        <v>0</v>
      </c>
      <c r="I18" s="90">
        <f>IF(ISERROR(VLOOKUP(F18,POA!$A$2:$D$2,3,0)),"",VLOOKUP(F18,POA!$A$2:$D$2,3,0))</f>
        <v>5</v>
      </c>
      <c r="J18" s="87">
        <f>IF(I18="","",IF(I18&lt;12,(G18-H18),IF(I18&gt;=12,(((G18-H18)/I18)*12),"")))</f>
        <v>222239000</v>
      </c>
      <c r="K18" s="90"/>
      <c r="L18" s="87"/>
      <c r="M18" s="87"/>
      <c r="N18" s="87">
        <f>+SUM(N19:N20)</f>
        <v>0</v>
      </c>
      <c r="O18" s="90" t="str">
        <f>IF(ISERROR(VLOOKUP(K18,POA!$A$2:$C$2,3,0)),"",VLOOKUP(K18,POA!$A$2:$C$2,3,0))</f>
        <v/>
      </c>
      <c r="P18" s="87" t="str">
        <f t="shared" ref="P18" si="0">IF(ISERROR(+L18/O18),"",(L18/O18))</f>
        <v/>
      </c>
      <c r="Q18" s="120"/>
      <c r="R18" s="120">
        <f>SUM(R19:R20)</f>
        <v>288909449.32999998</v>
      </c>
      <c r="S18" s="203" t="str">
        <f>+IF(OR(R18=0,F18=""),"",IF(R18&gt;=J18,"CUMPLE","NO CUMPLE"))</f>
        <v>CUMPLE</v>
      </c>
    </row>
    <row r="19" spans="3:19" x14ac:dyDescent="0.2">
      <c r="C19" s="91"/>
      <c r="D19" s="85"/>
      <c r="E19" s="84"/>
      <c r="F19" s="85">
        <f>'Capacidad Financiera'!N19</f>
        <v>0</v>
      </c>
      <c r="G19" s="85" t="str">
        <f>IF(ISERROR(VLOOKUP(F19,POA!$A$2:$D$16,2,0)),"",VLOOKUP(F19,POA!$A$2:$D$16,2,0))</f>
        <v/>
      </c>
      <c r="H19" s="85" t="str">
        <f>IF(ISERROR(VLOOKUP(F19,POA!$A$2:$D$16,3,0)),"",VLOOKUP(F19,POA!$A$2:$D$16,4,0))</f>
        <v/>
      </c>
      <c r="I19" s="85" t="str">
        <f>IF(ISERROR(VLOOKUP(F19,POA!$A$2:$D$2,3,0)),"",VLOOKUP(F19,POA!$A$2:$D$2,3,0))</f>
        <v/>
      </c>
      <c r="J19" s="85" t="str">
        <f>IF(I19="","",IF(I19&lt;12,(G19-H19),IF(I19&gt;=12,(((G19-H19)/I19)*12),"")))</f>
        <v/>
      </c>
      <c r="K19" s="197">
        <f>+'Cap Organización'!E14</f>
        <v>229250300</v>
      </c>
      <c r="L19" s="193">
        <f>+'Puntaje Exp'!I13</f>
        <v>120</v>
      </c>
      <c r="M19" s="193">
        <f>+'Capacidad Financiera'!P21</f>
        <v>0</v>
      </c>
      <c r="N19" s="193" t="str">
        <f>IF(ISERROR(VLOOKUP(M19,POA!$A$2:$F$16,6,0)),"",VLOOKUP(M19,POA!$A$2:$F$16,6,0))</f>
        <v/>
      </c>
      <c r="O19" s="193">
        <f>+'Puntaje CT'!F13</f>
        <v>20</v>
      </c>
      <c r="P19" s="193">
        <f>+'Puntaje CF'!H15</f>
        <v>40</v>
      </c>
      <c r="Q19" s="194">
        <f>+'Saldo CtosEjecución'!E15</f>
        <v>123741090.67</v>
      </c>
      <c r="R19" s="121">
        <f>IF(OR(K19="",L19="",O19="",P19="",Q19=""),"",(K19*((L19+O19+P19)/100))-Q19)</f>
        <v>288909449.32999998</v>
      </c>
      <c r="S19" s="85"/>
    </row>
    <row r="20" spans="3:19" x14ac:dyDescent="0.2">
      <c r="C20" s="91"/>
      <c r="D20" s="85"/>
      <c r="E20" s="84"/>
      <c r="F20" s="85">
        <f>'Capacidad Financiera'!N20</f>
        <v>0</v>
      </c>
      <c r="G20" s="85" t="str">
        <f>IF(ISERROR(VLOOKUP(F20,POA!$A$2:$D$16,2,0)),"",VLOOKUP(F20,POA!$A$2:$D$16,2,0))</f>
        <v/>
      </c>
      <c r="H20" s="85" t="str">
        <f>IF(ISERROR(VLOOKUP(F20,POA!$A$2:$D$16,3,0)),"",VLOOKUP(F20,POA!$A$2:$D$16,4,0))</f>
        <v/>
      </c>
      <c r="I20" s="85" t="str">
        <f>IF(ISERROR(VLOOKUP(F20,POA!$A$2:$D$2,3,0)),"",VLOOKUP(F20,POA!$A$2:$D$2,3,0))</f>
        <v/>
      </c>
      <c r="J20" s="85" t="str">
        <f>IF(I20="","",IF(I20&lt;12,(G20-H20),IF(I20&gt;=12,(((G20-H20)/I20)*12),"")))</f>
        <v/>
      </c>
      <c r="K20" s="85" t="str">
        <f>IF(IF(ISERROR(VLOOKUP(C20,'Cap Organización'!$C$10:$I$1048576,3,0)),"",VLOOKUP(C20,'Cap Organización'!$C$10:$I$1048576,3,0))=0,"",IF(ISERROR(VLOOKUP(C20,'Cap Organización'!$C$10:$I$1048576,3,0)),"",VLOOKUP(C20,'Cap Organización'!$C$10:$I$1048576,3,0)))</f>
        <v/>
      </c>
      <c r="L20" s="85" t="str">
        <f>IF(ISERROR(VLOOKUP(C20,'Puntaje Exp'!$C$10:$I$1048576,8,0)),"",VLOOKUP(C20,'Puntaje Exp'!$C$10:$I$1048576,8,0))</f>
        <v/>
      </c>
      <c r="M20" s="85">
        <f>+'Capacidad Financiera'!P20</f>
        <v>0</v>
      </c>
      <c r="N20" s="85" t="str">
        <f>IF(ISERROR(VLOOKUP(M20,POA!$A$2:$F$16,6,0)),"",VLOOKUP(M20,POA!$A$2:$F$16,6,0))</f>
        <v/>
      </c>
      <c r="O20" s="85" t="str">
        <f>IF(ISERROR(VLOOKUP(C20,'Puntaje CT'!$C$10:$I$1048576,4,0)),"",VLOOKUP(C20,'Puntaje CT'!$C$10:$I$1048576,4,0))</f>
        <v/>
      </c>
      <c r="P20" s="85" t="str">
        <f>IF(ISERROR(VLOOKUP(C20,'Puntaje CF'!$C$10:$I$1048576,6,0)),"",VLOOKUP(C20,'Puntaje CF'!$C$10:$I$1048576,6,0))</f>
        <v/>
      </c>
      <c r="Q20" s="85" t="str">
        <f>IF(IF(ISERROR(VLOOKUP(C20,'Saldo CtosEjecución'!$C$10:$I$1048576,3,0)),"",VLOOKUP(C20,'Saldo CtosEjecución'!$C$10:$I$1048576,3,0))=0,"",IF(ISERROR(VLOOKUP(C20,'Saldo CtosEjecución'!$C$10:$I$1048576,3,0)),"",VLOOKUP(C20,'Saldo CtosEjecución'!$C$10:$I$1048576,3,0)))</f>
        <v/>
      </c>
      <c r="R20" s="85" t="str">
        <f>IF(OR(K20="",L20="",O20="",P20="",Q20=""),"",(K20*((L20+O20+P20)/100))-Q20)</f>
        <v/>
      </c>
      <c r="S20" s="85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7:C9"/>
    <mergeCell ref="D7:D9"/>
    <mergeCell ref="E8:E9"/>
    <mergeCell ref="F7:F9"/>
    <mergeCell ref="I7:I9"/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</mergeCells>
  <phoneticPr fontId="25" type="noConversion"/>
  <conditionalFormatting sqref="S6 E6:J6">
    <cfRule type="expression" dxfId="32" priority="3878" stopIfTrue="1">
      <formula>IF($B6-INT($B6)&gt;0,TRUE,FALSE)</formula>
    </cfRule>
  </conditionalFormatting>
  <conditionalFormatting sqref="D6 L6:R6 D10:D12">
    <cfRule type="cellIs" dxfId="31" priority="3879" stopIfTrue="1" operator="equal">
      <formula>"NO ADMISIBLE"</formula>
    </cfRule>
  </conditionalFormatting>
  <conditionalFormatting sqref="S10:S12">
    <cfRule type="cellIs" dxfId="30" priority="3874" stopIfTrue="1" operator="equal">
      <formula>"NO ADMISIBLE"</formula>
    </cfRule>
    <cfRule type="cellIs" dxfId="29" priority="3875" stopIfTrue="1" operator="equal">
      <formula>"ADMISIBLE"</formula>
    </cfRule>
  </conditionalFormatting>
  <conditionalFormatting sqref="S10:S12">
    <cfRule type="cellIs" dxfId="28" priority="3873" stopIfTrue="1" operator="equal">
      <formula>"PENDIENTE"</formula>
    </cfRule>
  </conditionalFormatting>
  <conditionalFormatting sqref="E11:E12 K12:P12 R11:R12 L11:P11">
    <cfRule type="expression" dxfId="27" priority="3868" stopIfTrue="1">
      <formula>IF($B2-INT($B2)&gt;0,TRUE,FALSE)</formula>
    </cfRule>
  </conditionalFormatting>
  <conditionalFormatting sqref="E10:R10 J11:J12 F11:F12">
    <cfRule type="expression" dxfId="26" priority="3883" stopIfTrue="1">
      <formula>IF(#REF!-INT(#REF!)&gt;0,TRUE,FALSE)</formula>
    </cfRule>
  </conditionalFormatting>
  <conditionalFormatting sqref="G11:G12">
    <cfRule type="expression" dxfId="25" priority="1376" stopIfTrue="1">
      <formula>IF(#REF!-INT(#REF!)&gt;0,TRUE,FALSE)</formula>
    </cfRule>
  </conditionalFormatting>
  <conditionalFormatting sqref="H11:H12">
    <cfRule type="expression" dxfId="24" priority="1375" stopIfTrue="1">
      <formula>IF(#REF!-INT(#REF!)&gt;0,TRUE,FALSE)</formula>
    </cfRule>
  </conditionalFormatting>
  <conditionalFormatting sqref="I11:I12">
    <cfRule type="expression" dxfId="23" priority="1374" stopIfTrue="1">
      <formula>IF(#REF!-INT(#REF!)&gt;0,TRUE,FALSE)</formula>
    </cfRule>
  </conditionalFormatting>
  <conditionalFormatting sqref="Q11:Q12">
    <cfRule type="expression" dxfId="22" priority="8033" stopIfTrue="1">
      <formula>IF($B3-INT($B3)&gt;0,TRUE,FALSE)</formula>
    </cfRule>
  </conditionalFormatting>
  <conditionalFormatting sqref="D14:D16">
    <cfRule type="cellIs" dxfId="21" priority="48" stopIfTrue="1" operator="equal">
      <formula>"NO ADMISIBLE"</formula>
    </cfRule>
  </conditionalFormatting>
  <conditionalFormatting sqref="S14">
    <cfRule type="cellIs" dxfId="20" priority="45" stopIfTrue="1" operator="equal">
      <formula>"NO ADMISIBLE"</formula>
    </cfRule>
    <cfRule type="cellIs" dxfId="19" priority="46" stopIfTrue="1" operator="equal">
      <formula>"ADMISIBLE"</formula>
    </cfRule>
  </conditionalFormatting>
  <conditionalFormatting sqref="S14">
    <cfRule type="cellIs" dxfId="18" priority="44" stopIfTrue="1" operator="equal">
      <formula>"PENDIENTE"</formula>
    </cfRule>
  </conditionalFormatting>
  <conditionalFormatting sqref="E15:E16">
    <cfRule type="expression" dxfId="17" priority="43" stopIfTrue="1">
      <formula>IF(#REF!-INT(#REF!)&gt;0,TRUE,FALSE)</formula>
    </cfRule>
  </conditionalFormatting>
  <conditionalFormatting sqref="E14:J14">
    <cfRule type="expression" dxfId="16" priority="49" stopIfTrue="1">
      <formula>IF(#REF!-INT(#REF!)&gt;0,TRUE,FALSE)</formula>
    </cfRule>
  </conditionalFormatting>
  <conditionalFormatting sqref="D18:D20">
    <cfRule type="cellIs" dxfId="15" priority="35" stopIfTrue="1" operator="equal">
      <formula>"NO ADMISIBLE"</formula>
    </cfRule>
  </conditionalFormatting>
  <conditionalFormatting sqref="E19:E20">
    <cfRule type="expression" dxfId="14" priority="30" stopIfTrue="1">
      <formula>IF(#REF!-INT(#REF!)&gt;0,TRUE,FALSE)</formula>
    </cfRule>
  </conditionalFormatting>
  <conditionalFormatting sqref="E18:R18">
    <cfRule type="expression" dxfId="13" priority="36" stopIfTrue="1">
      <formula>IF(#REF!-INT(#REF!)&gt;0,TRUE,FALSE)</formula>
    </cfRule>
  </conditionalFormatting>
  <conditionalFormatting sqref="K11">
    <cfRule type="expression" dxfId="12" priority="13" stopIfTrue="1">
      <formula>IF(#REF!-INT(#REF!)&gt;0,TRUE,FALSE)</formula>
    </cfRule>
  </conditionalFormatting>
  <conditionalFormatting sqref="F16:S16 F15:J15 S15">
    <cfRule type="cellIs" dxfId="11" priority="12" stopIfTrue="1" operator="equal">
      <formula>"NO ADMISIBLE"</formula>
    </cfRule>
  </conditionalFormatting>
  <conditionalFormatting sqref="F20:S20 F19:J19 S19">
    <cfRule type="cellIs" dxfId="10" priority="11" stopIfTrue="1" operator="equal">
      <formula>"NO ADMISIBLE"</formula>
    </cfRule>
  </conditionalFormatting>
  <conditionalFormatting sqref="R15 L15:P15">
    <cfRule type="expression" dxfId="9" priority="8" stopIfTrue="1">
      <formula>IF($B6-INT($B6)&gt;0,TRUE,FALSE)</formula>
    </cfRule>
  </conditionalFormatting>
  <conditionalFormatting sqref="K14:R14">
    <cfRule type="expression" dxfId="8" priority="9" stopIfTrue="1">
      <formula>IF(#REF!-INT(#REF!)&gt;0,TRUE,FALSE)</formula>
    </cfRule>
  </conditionalFormatting>
  <conditionalFormatting sqref="Q15">
    <cfRule type="expression" dxfId="7" priority="10" stopIfTrue="1">
      <formula>IF($B7-INT($B7)&gt;0,TRUE,FALSE)</formula>
    </cfRule>
  </conditionalFormatting>
  <conditionalFormatting sqref="K15">
    <cfRule type="expression" dxfId="6" priority="7" stopIfTrue="1">
      <formula>IF(#REF!-INT(#REF!)&gt;0,TRUE,FALSE)</formula>
    </cfRule>
  </conditionalFormatting>
  <conditionalFormatting sqref="R19 L19:P19">
    <cfRule type="expression" dxfId="5" priority="5" stopIfTrue="1">
      <formula>IF($B10-INT($B10)&gt;0,TRUE,FALSE)</formula>
    </cfRule>
  </conditionalFormatting>
  <conditionalFormatting sqref="Q19">
    <cfRule type="expression" dxfId="4" priority="6" stopIfTrue="1">
      <formula>IF($B11-INT($B11)&gt;0,TRUE,FALSE)</formula>
    </cfRule>
  </conditionalFormatting>
  <conditionalFormatting sqref="K19">
    <cfRule type="expression" dxfId="3" priority="4" stopIfTrue="1">
      <formula>IF(#REF!-INT(#REF!)&gt;0,TRUE,FALSE)</formula>
    </cfRule>
  </conditionalFormatting>
  <conditionalFormatting sqref="S18">
    <cfRule type="cellIs" dxfId="2" priority="2" stopIfTrue="1" operator="equal">
      <formula>"NO ADMISIBLE"</formula>
    </cfRule>
    <cfRule type="cellIs" dxfId="1" priority="3" stopIfTrue="1" operator="equal">
      <formula>"ADMISIBLE"</formula>
    </cfRule>
  </conditionalFormatting>
  <conditionalFormatting sqref="S18">
    <cfRule type="cellIs" dxfId="0" priority="1" stopIfTrue="1" operator="equal">
      <formula>"PENDIENTE"</formula>
    </cfRule>
  </conditionalFormatting>
  <dataValidations disablePrompts="1" count="1">
    <dataValidation type="list" allowBlank="1" showInputMessage="1" showErrorMessage="1" sqref="D6 D10:D12 D14:D16 D18:D20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2" customFormat="1" ht="15.75" x14ac:dyDescent="0.25">
      <c r="A1" s="12" t="s">
        <v>7</v>
      </c>
    </row>
    <row r="3" spans="1:2" ht="45" x14ac:dyDescent="0.2">
      <c r="A3" s="13" t="s">
        <v>8</v>
      </c>
      <c r="B3" s="14" t="s">
        <v>9</v>
      </c>
    </row>
    <row r="4" spans="1:2" s="16" customFormat="1" outlineLevel="2" x14ac:dyDescent="0.2">
      <c r="A4" s="15"/>
    </row>
    <row r="5" spans="1:2" s="19" customFormat="1" ht="13.5" outlineLevel="1" x14ac:dyDescent="0.2">
      <c r="A5" s="17" t="s">
        <v>114</v>
      </c>
      <c r="B5" s="18">
        <v>16097532669.306931</v>
      </c>
    </row>
    <row r="6" spans="1:2" s="19" customFormat="1" ht="13.5" outlineLevel="1" x14ac:dyDescent="0.2">
      <c r="A6" s="17" t="s">
        <v>115</v>
      </c>
      <c r="B6" s="18">
        <v>18724260670</v>
      </c>
    </row>
    <row r="7" spans="1:2" s="19" customFormat="1" ht="13.5" outlineLevel="1" x14ac:dyDescent="0.2">
      <c r="A7" s="17" t="s">
        <v>116</v>
      </c>
      <c r="B7" s="18">
        <v>15886461489</v>
      </c>
    </row>
    <row r="8" spans="1:2" s="19" customFormat="1" ht="13.5" outlineLevel="1" x14ac:dyDescent="0.2">
      <c r="A8" s="17" t="s">
        <v>117</v>
      </c>
      <c r="B8" s="18">
        <v>18533406621</v>
      </c>
    </row>
    <row r="9" spans="1:2" s="19" customFormat="1" ht="13.5" outlineLevel="1" x14ac:dyDescent="0.2">
      <c r="A9" s="17" t="s">
        <v>118</v>
      </c>
      <c r="B9" s="18">
        <v>14971945628</v>
      </c>
    </row>
    <row r="10" spans="1:2" s="19" customFormat="1" ht="13.5" outlineLevel="1" x14ac:dyDescent="0.2">
      <c r="A10" s="17" t="s">
        <v>119</v>
      </c>
      <c r="B10" s="18">
        <v>16484340849</v>
      </c>
    </row>
    <row r="11" spans="1:2" s="19" customFormat="1" ht="13.5" outlineLevel="1" x14ac:dyDescent="0.2">
      <c r="A11" s="17" t="s">
        <v>120</v>
      </c>
      <c r="B11" s="18">
        <v>16686919713.999998</v>
      </c>
    </row>
    <row r="12" spans="1:2" s="19" customFormat="1" ht="13.5" outlineLevel="1" x14ac:dyDescent="0.2">
      <c r="A12" s="17" t="s">
        <v>121</v>
      </c>
      <c r="B12" s="18">
        <v>11566305868</v>
      </c>
    </row>
    <row r="13" spans="1:2" s="19" customFormat="1" ht="13.5" outlineLevel="1" x14ac:dyDescent="0.2">
      <c r="A13" s="17" t="s">
        <v>122</v>
      </c>
      <c r="B13" s="18">
        <v>6300474910</v>
      </c>
    </row>
    <row r="14" spans="1:2" s="19" customFormat="1" ht="13.5" outlineLevel="1" x14ac:dyDescent="0.2">
      <c r="A14" s="17" t="s">
        <v>10</v>
      </c>
      <c r="B14" s="18">
        <v>1428162158.4158416</v>
      </c>
    </row>
    <row r="15" spans="1:2" s="19" customFormat="1" ht="13.5" outlineLevel="1" x14ac:dyDescent="0.2">
      <c r="A15" s="17" t="s">
        <v>11</v>
      </c>
      <c r="B15" s="18">
        <v>1292851961.3861387</v>
      </c>
    </row>
    <row r="16" spans="1:2" s="19" customFormat="1" ht="13.5" outlineLevel="1" x14ac:dyDescent="0.2">
      <c r="A16" s="17" t="s">
        <v>12</v>
      </c>
      <c r="B16" s="36">
        <v>14200237260</v>
      </c>
    </row>
    <row r="17" spans="1:2" s="19" customFormat="1" ht="13.5" outlineLevel="1" x14ac:dyDescent="0.2">
      <c r="A17" s="17" t="s">
        <v>13</v>
      </c>
      <c r="B17" s="18">
        <v>14388115033</v>
      </c>
    </row>
    <row r="18" spans="1:2" s="19" customFormat="1" ht="13.5" outlineLevel="1" x14ac:dyDescent="0.2">
      <c r="A18" s="17" t="s">
        <v>14</v>
      </c>
      <c r="B18" s="18">
        <v>7076050599</v>
      </c>
    </row>
    <row r="19" spans="1:2" s="19" customFormat="1" ht="13.5" outlineLevel="1" x14ac:dyDescent="0.2">
      <c r="A19" s="17" t="s">
        <v>15</v>
      </c>
      <c r="B19" s="18">
        <v>20893814942</v>
      </c>
    </row>
    <row r="20" spans="1:2" s="19" customFormat="1" ht="13.5" outlineLevel="1" x14ac:dyDescent="0.2">
      <c r="A20" s="17" t="s">
        <v>16</v>
      </c>
      <c r="B20" s="36">
        <v>8810989120</v>
      </c>
    </row>
    <row r="21" spans="1:2" s="19" customFormat="1" ht="13.5" outlineLevel="1" x14ac:dyDescent="0.2">
      <c r="A21" s="17" t="s">
        <v>17</v>
      </c>
      <c r="B21" s="18">
        <v>5818381842</v>
      </c>
    </row>
    <row r="22" spans="1:2" s="19" customFormat="1" ht="13.5" outlineLevel="1" x14ac:dyDescent="0.2">
      <c r="A22" s="17" t="s">
        <v>18</v>
      </c>
      <c r="B22" s="18">
        <v>9650261634</v>
      </c>
    </row>
    <row r="23" spans="1:2" s="19" customFormat="1" ht="13.5" outlineLevel="1" x14ac:dyDescent="0.2">
      <c r="A23" s="17" t="s">
        <v>19</v>
      </c>
      <c r="B23" s="18">
        <v>5385776414</v>
      </c>
    </row>
    <row r="24" spans="1:2" s="19" customFormat="1" ht="13.5" outlineLevel="1" x14ac:dyDescent="0.2">
      <c r="A24" s="17" t="s">
        <v>20</v>
      </c>
      <c r="B24" s="18">
        <v>5759505844</v>
      </c>
    </row>
    <row r="25" spans="1:2" s="19" customFormat="1" ht="13.5" outlineLevel="1" x14ac:dyDescent="0.2">
      <c r="A25" s="17" t="s">
        <v>21</v>
      </c>
      <c r="B25" s="18">
        <v>11365045650</v>
      </c>
    </row>
    <row r="26" spans="1:2" s="19" customFormat="1" ht="13.5" outlineLevel="1" x14ac:dyDescent="0.2">
      <c r="A26" s="17" t="s">
        <v>22</v>
      </c>
      <c r="B26" s="18">
        <v>15652530637</v>
      </c>
    </row>
    <row r="27" spans="1:2" s="19" customFormat="1" ht="13.5" outlineLevel="1" x14ac:dyDescent="0.2">
      <c r="A27" s="17" t="s">
        <v>23</v>
      </c>
      <c r="B27" s="18">
        <v>5772808797</v>
      </c>
    </row>
    <row r="28" spans="1:2" s="19" customFormat="1" ht="13.5" outlineLevel="1" x14ac:dyDescent="0.2">
      <c r="A28" s="17" t="s">
        <v>24</v>
      </c>
      <c r="B28" s="18">
        <v>7512106130</v>
      </c>
    </row>
    <row r="29" spans="1:2" s="19" customFormat="1" ht="13.5" outlineLevel="1" x14ac:dyDescent="0.2">
      <c r="A29" s="17" t="s">
        <v>25</v>
      </c>
      <c r="B29" s="18">
        <v>9347559589</v>
      </c>
    </row>
    <row r="30" spans="1:2" s="19" customFormat="1" ht="13.5" outlineLevel="1" x14ac:dyDescent="0.2">
      <c r="A30" s="17" t="s">
        <v>26</v>
      </c>
      <c r="B30" s="18">
        <v>19825977010</v>
      </c>
    </row>
    <row r="31" spans="1:2" s="19" customFormat="1" ht="13.5" outlineLevel="1" x14ac:dyDescent="0.2">
      <c r="A31" s="17" t="s">
        <v>27</v>
      </c>
      <c r="B31" s="18">
        <v>9200191515</v>
      </c>
    </row>
    <row r="32" spans="1:2" s="19" customFormat="1" ht="13.5" outlineLevel="1" x14ac:dyDescent="0.2">
      <c r="A32" s="17" t="s">
        <v>28</v>
      </c>
      <c r="B32" s="18">
        <v>18743806542</v>
      </c>
    </row>
    <row r="33" spans="1:2" s="19" customFormat="1" ht="13.5" outlineLevel="1" x14ac:dyDescent="0.2">
      <c r="A33" s="17" t="s">
        <v>29</v>
      </c>
      <c r="B33" s="18">
        <v>12488203547</v>
      </c>
    </row>
    <row r="34" spans="1:2" s="19" customFormat="1" ht="13.5" outlineLevel="1" x14ac:dyDescent="0.2">
      <c r="A34" s="17" t="s">
        <v>30</v>
      </c>
      <c r="B34" s="18">
        <v>12337277639</v>
      </c>
    </row>
    <row r="35" spans="1:2" s="19" customFormat="1" ht="13.5" outlineLevel="1" x14ac:dyDescent="0.2">
      <c r="A35" s="17" t="s">
        <v>31</v>
      </c>
      <c r="B35" s="18">
        <v>16198497482.999998</v>
      </c>
    </row>
    <row r="36" spans="1:2" s="19" customFormat="1" ht="13.5" outlineLevel="1" x14ac:dyDescent="0.2">
      <c r="A36" s="17" t="s">
        <v>32</v>
      </c>
      <c r="B36" s="18">
        <v>17764576319</v>
      </c>
    </row>
    <row r="37" spans="1:2" s="19" customFormat="1" ht="13.5" outlineLevel="1" x14ac:dyDescent="0.2">
      <c r="A37" s="17" t="s">
        <v>33</v>
      </c>
      <c r="B37" s="18">
        <v>22882731815</v>
      </c>
    </row>
    <row r="38" spans="1:2" s="19" customFormat="1" ht="13.5" outlineLevel="1" x14ac:dyDescent="0.2">
      <c r="A38" s="17" t="s">
        <v>34</v>
      </c>
      <c r="B38" s="18">
        <v>7383905477</v>
      </c>
    </row>
    <row r="39" spans="1:2" s="19" customFormat="1" ht="13.5" outlineLevel="1" x14ac:dyDescent="0.2">
      <c r="A39" s="17" t="s">
        <v>35</v>
      </c>
      <c r="B39" s="18">
        <v>12423743774</v>
      </c>
    </row>
    <row r="40" spans="1:2" s="19" customFormat="1" ht="13.5" outlineLevel="1" x14ac:dyDescent="0.2">
      <c r="A40" s="17" t="s">
        <v>36</v>
      </c>
      <c r="B40" s="18">
        <v>14187262851</v>
      </c>
    </row>
    <row r="41" spans="1:2" s="19" customFormat="1" ht="13.5" outlineLevel="1" x14ac:dyDescent="0.2">
      <c r="A41" s="17" t="s">
        <v>37</v>
      </c>
      <c r="B41" s="18">
        <v>9099377756</v>
      </c>
    </row>
    <row r="42" spans="1:2" s="19" customFormat="1" ht="13.5" outlineLevel="1" x14ac:dyDescent="0.2">
      <c r="A42" s="17" t="s">
        <v>38</v>
      </c>
      <c r="B42" s="18">
        <v>7416098511</v>
      </c>
    </row>
    <row r="43" spans="1:2" s="19" customFormat="1" ht="13.5" outlineLevel="1" x14ac:dyDescent="0.2">
      <c r="A43" s="17" t="s">
        <v>39</v>
      </c>
      <c r="B43" s="18">
        <v>16654736652</v>
      </c>
    </row>
    <row r="44" spans="1:2" s="19" customFormat="1" ht="13.5" outlineLevel="1" x14ac:dyDescent="0.2">
      <c r="A44" s="17" t="s">
        <v>40</v>
      </c>
      <c r="B44" s="18">
        <v>12006016561</v>
      </c>
    </row>
    <row r="45" spans="1:2" s="19" customFormat="1" ht="13.5" outlineLevel="1" x14ac:dyDescent="0.2">
      <c r="A45" s="17" t="s">
        <v>41</v>
      </c>
      <c r="B45" s="18">
        <v>14602426835</v>
      </c>
    </row>
    <row r="46" spans="1:2" s="19" customFormat="1" ht="13.5" outlineLevel="1" x14ac:dyDescent="0.2">
      <c r="A46" s="17" t="s">
        <v>42</v>
      </c>
      <c r="B46" s="18">
        <v>16600395825</v>
      </c>
    </row>
    <row r="47" spans="1:2" s="19" customFormat="1" ht="13.5" outlineLevel="1" x14ac:dyDescent="0.2">
      <c r="A47" s="17" t="s">
        <v>43</v>
      </c>
      <c r="B47" s="18">
        <v>9490692823</v>
      </c>
    </row>
    <row r="48" spans="1:2" s="19" customFormat="1" ht="13.5" outlineLevel="1" x14ac:dyDescent="0.2">
      <c r="A48" s="17" t="s">
        <v>44</v>
      </c>
      <c r="B48" s="18">
        <v>14966356774</v>
      </c>
    </row>
    <row r="49" spans="1:2" s="19" customFormat="1" ht="13.5" outlineLevel="1" x14ac:dyDescent="0.2">
      <c r="A49" s="17" t="s">
        <v>45</v>
      </c>
      <c r="B49" s="18">
        <v>16628059484</v>
      </c>
    </row>
    <row r="50" spans="1:2" s="19" customFormat="1" ht="13.5" outlineLevel="1" x14ac:dyDescent="0.2">
      <c r="A50" s="17" t="s">
        <v>46</v>
      </c>
      <c r="B50" s="18">
        <v>11545020876</v>
      </c>
    </row>
    <row r="51" spans="1:2" s="19" customFormat="1" ht="13.5" outlineLevel="1" x14ac:dyDescent="0.2">
      <c r="A51" s="17" t="s">
        <v>47</v>
      </c>
      <c r="B51" s="18">
        <v>11069859631</v>
      </c>
    </row>
    <row r="52" spans="1:2" s="19" customFormat="1" ht="13.5" outlineLevel="1" x14ac:dyDescent="0.2">
      <c r="A52" s="17" t="s">
        <v>48</v>
      </c>
      <c r="B52" s="18">
        <v>16462254401</v>
      </c>
    </row>
    <row r="53" spans="1:2" s="19" customFormat="1" ht="13.5" outlineLevel="1" x14ac:dyDescent="0.2">
      <c r="A53" s="17" t="s">
        <v>49</v>
      </c>
      <c r="B53" s="18">
        <v>29122451003</v>
      </c>
    </row>
    <row r="54" spans="1:2" s="19" customFormat="1" ht="13.5" outlineLevel="1" x14ac:dyDescent="0.2">
      <c r="A54" s="17" t="s">
        <v>50</v>
      </c>
      <c r="B54" s="18">
        <v>19110837484</v>
      </c>
    </row>
    <row r="55" spans="1:2" s="19" customFormat="1" ht="13.5" outlineLevel="1" x14ac:dyDescent="0.2">
      <c r="A55" s="17" t="s">
        <v>51</v>
      </c>
      <c r="B55" s="18">
        <v>14355039068</v>
      </c>
    </row>
    <row r="56" spans="1:2" s="19" customFormat="1" ht="13.5" outlineLevel="1" x14ac:dyDescent="0.2">
      <c r="A56" s="17" t="s">
        <v>52</v>
      </c>
      <c r="B56" s="18">
        <v>10742553232</v>
      </c>
    </row>
    <row r="57" spans="1:2" s="19" customFormat="1" ht="13.5" outlineLevel="1" x14ac:dyDescent="0.2">
      <c r="A57" s="17" t="s">
        <v>53</v>
      </c>
      <c r="B57" s="18">
        <v>12944688820</v>
      </c>
    </row>
    <row r="58" spans="1:2" s="19" customFormat="1" ht="13.5" outlineLevel="1" x14ac:dyDescent="0.2">
      <c r="A58" s="17" t="s">
        <v>54</v>
      </c>
      <c r="B58" s="18">
        <v>11689433662</v>
      </c>
    </row>
    <row r="59" spans="1:2" s="19" customFormat="1" ht="13.5" outlineLevel="1" x14ac:dyDescent="0.2">
      <c r="A59" s="17" t="s">
        <v>55</v>
      </c>
      <c r="B59" s="18">
        <v>11397659254</v>
      </c>
    </row>
    <row r="60" spans="1:2" s="19" customFormat="1" ht="13.5" outlineLevel="1" x14ac:dyDescent="0.2">
      <c r="A60" s="17" t="s">
        <v>56</v>
      </c>
      <c r="B60" s="18">
        <v>16236395384</v>
      </c>
    </row>
    <row r="61" spans="1:2" s="19" customFormat="1" ht="13.5" outlineLevel="1" x14ac:dyDescent="0.2">
      <c r="A61" s="17" t="s">
        <v>57</v>
      </c>
      <c r="B61" s="18">
        <v>6151462908.9075203</v>
      </c>
    </row>
    <row r="62" spans="1:2" s="19" customFormat="1" ht="13.5" outlineLevel="1" x14ac:dyDescent="0.2">
      <c r="A62" s="17" t="s">
        <v>58</v>
      </c>
      <c r="B62" s="18">
        <v>24188206629</v>
      </c>
    </row>
    <row r="63" spans="1:2" s="19" customFormat="1" ht="13.5" outlineLevel="1" x14ac:dyDescent="0.2">
      <c r="A63" s="17" t="s">
        <v>59</v>
      </c>
      <c r="B63" s="18">
        <v>22229863427</v>
      </c>
    </row>
    <row r="64" spans="1:2" s="19" customFormat="1" ht="13.5" outlineLevel="1" x14ac:dyDescent="0.2">
      <c r="A64" s="17" t="s">
        <v>60</v>
      </c>
      <c r="B64" s="18">
        <v>23200278421</v>
      </c>
    </row>
    <row r="65" spans="1:2" s="19" customFormat="1" ht="13.5" outlineLevel="1" x14ac:dyDescent="0.2">
      <c r="A65" s="17" t="s">
        <v>61</v>
      </c>
      <c r="B65" s="18">
        <v>33729146012</v>
      </c>
    </row>
    <row r="66" spans="1:2" s="19" customFormat="1" ht="13.5" outlineLevel="1" x14ac:dyDescent="0.2">
      <c r="A66" s="17" t="s">
        <v>62</v>
      </c>
      <c r="B66" s="18">
        <v>25741331764</v>
      </c>
    </row>
    <row r="67" spans="1:2" s="19" customFormat="1" ht="13.5" outlineLevel="1" x14ac:dyDescent="0.2">
      <c r="A67" s="17" t="s">
        <v>63</v>
      </c>
      <c r="B67" s="18">
        <v>10895316694.06304</v>
      </c>
    </row>
    <row r="68" spans="1:2" s="19" customFormat="1" ht="13.5" outlineLevel="1" x14ac:dyDescent="0.2">
      <c r="A68" s="17" t="s">
        <v>64</v>
      </c>
      <c r="B68" s="18">
        <v>15574902572</v>
      </c>
    </row>
    <row r="69" spans="1:2" s="16" customFormat="1" ht="13.5" outlineLevel="1" x14ac:dyDescent="0.2">
      <c r="A69" s="17" t="s">
        <v>65</v>
      </c>
      <c r="B69" s="18">
        <v>11085498362</v>
      </c>
    </row>
    <row r="70" spans="1:2" s="19" customFormat="1" ht="13.5" outlineLevel="1" x14ac:dyDescent="0.2">
      <c r="A70" s="17" t="s">
        <v>66</v>
      </c>
      <c r="B70" s="18">
        <v>15569378930</v>
      </c>
    </row>
    <row r="71" spans="1:2" s="19" customFormat="1" ht="13.5" outlineLevel="1" x14ac:dyDescent="0.2">
      <c r="A71" s="17" t="s">
        <v>67</v>
      </c>
      <c r="B71" s="18">
        <v>19872456988.21376</v>
      </c>
    </row>
    <row r="72" spans="1:2" s="19" customFormat="1" ht="13.5" outlineLevel="1" x14ac:dyDescent="0.2">
      <c r="A72" s="17" t="s">
        <v>68</v>
      </c>
      <c r="B72" s="18">
        <v>9279916346</v>
      </c>
    </row>
    <row r="73" spans="1:2" s="19" customFormat="1" ht="13.5" outlineLevel="1" x14ac:dyDescent="0.2">
      <c r="A73" s="17" t="s">
        <v>69</v>
      </c>
      <c r="B73" s="18">
        <v>11879598172</v>
      </c>
    </row>
    <row r="74" spans="1:2" s="19" customFormat="1" ht="13.5" outlineLevel="1" x14ac:dyDescent="0.2">
      <c r="A74" s="17" t="s">
        <v>70</v>
      </c>
      <c r="B74" s="18">
        <v>14944234555</v>
      </c>
    </row>
    <row r="75" spans="1:2" s="19" customFormat="1" ht="13.5" outlineLevel="1" x14ac:dyDescent="0.2">
      <c r="A75" s="17" t="s">
        <v>71</v>
      </c>
      <c r="B75" s="18">
        <v>8486287813</v>
      </c>
    </row>
    <row r="76" spans="1:2" s="19" customFormat="1" ht="13.5" outlineLevel="1" x14ac:dyDescent="0.2">
      <c r="A76" s="17" t="s">
        <v>72</v>
      </c>
      <c r="B76" s="18">
        <v>7048832262</v>
      </c>
    </row>
    <row r="77" spans="1:2" s="19" customFormat="1" ht="13.5" outlineLevel="1" x14ac:dyDescent="0.2">
      <c r="A77" s="17" t="s">
        <v>73</v>
      </c>
      <c r="B77" s="18">
        <v>5348779190</v>
      </c>
    </row>
    <row r="78" spans="1:2" s="19" customFormat="1" ht="13.5" outlineLevel="1" x14ac:dyDescent="0.2">
      <c r="A78" s="17" t="s">
        <v>74</v>
      </c>
      <c r="B78" s="18">
        <v>5466387046</v>
      </c>
    </row>
    <row r="79" spans="1:2" s="19" customFormat="1" ht="13.5" outlineLevel="1" x14ac:dyDescent="0.2">
      <c r="A79" s="17" t="s">
        <v>75</v>
      </c>
      <c r="B79" s="18">
        <v>16518448889</v>
      </c>
    </row>
    <row r="80" spans="1:2" s="19" customFormat="1" ht="13.5" outlineLevel="1" x14ac:dyDescent="0.2">
      <c r="A80" s="17" t="s">
        <v>76</v>
      </c>
      <c r="B80" s="18">
        <v>8675202615</v>
      </c>
    </row>
    <row r="81" spans="1:2" s="19" customFormat="1" ht="13.5" outlineLevel="1" x14ac:dyDescent="0.2">
      <c r="A81" s="17" t="s">
        <v>77</v>
      </c>
      <c r="B81" s="18">
        <v>16760013498</v>
      </c>
    </row>
    <row r="82" spans="1:2" s="19" customFormat="1" ht="13.5" outlineLevel="1" x14ac:dyDescent="0.2">
      <c r="A82" s="17" t="s">
        <v>78</v>
      </c>
      <c r="B82" s="18">
        <v>12438755743</v>
      </c>
    </row>
    <row r="83" spans="1:2" s="19" customFormat="1" ht="13.5" outlineLevel="1" x14ac:dyDescent="0.2">
      <c r="A83" s="17" t="s">
        <v>79</v>
      </c>
      <c r="B83" s="18">
        <v>14593425402</v>
      </c>
    </row>
    <row r="84" spans="1:2" s="19" customFormat="1" ht="13.5" outlineLevel="1" x14ac:dyDescent="0.2">
      <c r="A84" s="17" t="s">
        <v>80</v>
      </c>
      <c r="B84" s="18">
        <v>6689468251</v>
      </c>
    </row>
    <row r="85" spans="1:2" s="19" customFormat="1" ht="13.5" outlineLevel="1" x14ac:dyDescent="0.2">
      <c r="A85" s="17" t="s">
        <v>81</v>
      </c>
      <c r="B85" s="18">
        <v>8186369892</v>
      </c>
    </row>
    <row r="86" spans="1:2" s="19" customFormat="1" ht="13.5" outlineLevel="1" x14ac:dyDescent="0.2">
      <c r="A86" s="17" t="s">
        <v>82</v>
      </c>
      <c r="B86" s="18">
        <v>28561249598</v>
      </c>
    </row>
    <row r="87" spans="1:2" s="19" customFormat="1" ht="13.5" outlineLevel="1" x14ac:dyDescent="0.2">
      <c r="A87" s="17" t="s">
        <v>83</v>
      </c>
      <c r="B87" s="18">
        <v>34980509996</v>
      </c>
    </row>
    <row r="88" spans="1:2" s="19" customFormat="1" ht="13.5" outlineLevel="1" x14ac:dyDescent="0.2">
      <c r="A88" s="17" t="s">
        <v>84</v>
      </c>
      <c r="B88" s="18">
        <v>6950846586</v>
      </c>
    </row>
    <row r="89" spans="1:2" s="19" customFormat="1" ht="13.5" outlineLevel="1" x14ac:dyDescent="0.2">
      <c r="A89" s="17" t="s">
        <v>85</v>
      </c>
      <c r="B89" s="18">
        <v>11116163961</v>
      </c>
    </row>
    <row r="90" spans="1:2" s="19" customFormat="1" ht="13.5" outlineLevel="1" x14ac:dyDescent="0.2">
      <c r="A90" s="17" t="s">
        <v>86</v>
      </c>
      <c r="B90" s="18">
        <v>21274070645</v>
      </c>
    </row>
    <row r="91" spans="1:2" s="19" customFormat="1" ht="13.5" outlineLevel="1" x14ac:dyDescent="0.2">
      <c r="A91" s="17" t="s">
        <v>87</v>
      </c>
      <c r="B91" s="18">
        <v>2826770201</v>
      </c>
    </row>
    <row r="92" spans="1:2" s="19" customFormat="1" ht="13.5" outlineLevel="1" x14ac:dyDescent="0.2">
      <c r="A92" s="17" t="s">
        <v>88</v>
      </c>
      <c r="B92" s="18">
        <v>4775546619</v>
      </c>
    </row>
    <row r="93" spans="1:2" s="19" customFormat="1" ht="13.5" outlineLevel="1" x14ac:dyDescent="0.2">
      <c r="A93" s="17" t="s">
        <v>89</v>
      </c>
      <c r="B93" s="18">
        <v>23755514236</v>
      </c>
    </row>
    <row r="94" spans="1:2" s="19" customFormat="1" ht="13.5" outlineLevel="1" x14ac:dyDescent="0.2">
      <c r="A94" s="17" t="s">
        <v>90</v>
      </c>
      <c r="B94" s="18">
        <v>22463613073</v>
      </c>
    </row>
    <row r="95" spans="1:2" s="19" customFormat="1" ht="13.5" outlineLevel="1" x14ac:dyDescent="0.2">
      <c r="A95" s="17" t="s">
        <v>91</v>
      </c>
      <c r="B95" s="18">
        <v>20949816946</v>
      </c>
    </row>
    <row r="96" spans="1:2" s="19" customFormat="1" ht="13.5" outlineLevel="1" x14ac:dyDescent="0.2">
      <c r="A96" s="17" t="s">
        <v>92</v>
      </c>
      <c r="B96" s="18">
        <v>14104036918</v>
      </c>
    </row>
    <row r="97" spans="1:2" s="19" customFormat="1" ht="13.5" outlineLevel="1" x14ac:dyDescent="0.2">
      <c r="A97" s="17" t="s">
        <v>93</v>
      </c>
      <c r="B97" s="18">
        <v>1396272140.5940592</v>
      </c>
    </row>
    <row r="98" spans="1:2" s="19" customFormat="1" ht="13.5" outlineLevel="1" x14ac:dyDescent="0.2">
      <c r="A98" s="17" t="s">
        <v>94</v>
      </c>
      <c r="B98" s="18">
        <v>1211346171.2871287</v>
      </c>
    </row>
    <row r="99" spans="1:2" s="19" customFormat="1" ht="13.5" outlineLevel="1" x14ac:dyDescent="0.2">
      <c r="A99" s="17" t="s">
        <v>95</v>
      </c>
      <c r="B99" s="18">
        <v>1239693623.7623763</v>
      </c>
    </row>
    <row r="100" spans="1:2" s="19" customFormat="1" ht="13.5" outlineLevel="1" x14ac:dyDescent="0.2">
      <c r="A100" s="17" t="s">
        <v>96</v>
      </c>
      <c r="B100" s="18">
        <v>1625508018.1759996</v>
      </c>
    </row>
    <row r="101" spans="1:2" s="16" customFormat="1" ht="13.5" outlineLevel="1" x14ac:dyDescent="0.2">
      <c r="A101" s="17"/>
      <c r="B101" s="20">
        <f>SUM(B4:B100)</f>
        <v>1276966895152.1125</v>
      </c>
    </row>
    <row r="103" spans="1:2" x14ac:dyDescent="0.2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19</vt:i4>
      </vt:variant>
    </vt:vector>
  </HeadingPairs>
  <TitlesOfParts>
    <vt:vector size="30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Administrador</cp:lastModifiedBy>
  <cp:lastPrinted>2014-04-30T17:21:41Z</cp:lastPrinted>
  <dcterms:created xsi:type="dcterms:W3CDTF">2005-03-19T14:11:58Z</dcterms:created>
  <dcterms:modified xsi:type="dcterms:W3CDTF">2023-07-11T16:57:02Z</dcterms:modified>
</cp:coreProperties>
</file>