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daguirre\Desktop\COMITE DE EVALUACION\SA-MC-SDR-074-2019\"/>
    </mc:Choice>
  </mc:AlternateContent>
  <bookViews>
    <workbookView xWindow="0" yWindow="0" windowWidth="21600" windowHeight="7935" tabRatio="725" activeTab="5"/>
  </bookViews>
  <sheets>
    <sheet name="Información" sheetId="3" r:id="rId1"/>
    <sheet name="Cierre" sheetId="2" r:id="rId2"/>
    <sheet name="Capacidad Juridica" sheetId="1" r:id="rId3"/>
    <sheet name="Capacidad Financiera" sheetId="5" r:id="rId4"/>
    <sheet name="Experiencia" sheetId="4" r:id="rId5"/>
    <sheet name="Resumen Calificación" sheetId="6" r:id="rId6"/>
    <sheet name="SMMLV" sheetId="7" state="hidden" r:id="rId7"/>
  </sheets>
  <externalReferences>
    <externalReference r:id="rId8"/>
  </externalReferences>
  <definedNames>
    <definedName name="_xlnm._FilterDatabase" localSheetId="2" hidden="1">'Capacidad Juridica'!$I$2:$L$3</definedName>
    <definedName name="_xlnm._FilterDatabase" localSheetId="1" hidden="1">Cierre!$B$1:$J$2</definedName>
    <definedName name="_xlnm._FilterDatabase" localSheetId="4" hidden="1">Experiencia!$A$1:$P$53</definedName>
    <definedName name="_xlnm.Print_Area" localSheetId="1">Cierre!$A$1:$L$2</definedName>
    <definedName name="Listado">Cierre!#REF!</definedName>
    <definedName name="_xlnm.Print_Titles" localSheetId="1">Cierre!$1:$1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6" l="1"/>
  <c r="C2" i="4" l="1"/>
  <c r="K3" i="5" l="1"/>
  <c r="R3" i="5" l="1"/>
  <c r="Q3" i="5"/>
  <c r="N3" i="5"/>
  <c r="M3" i="5"/>
  <c r="L3" i="5"/>
  <c r="B3" i="5" l="1"/>
  <c r="AE2" i="4" l="1"/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N3" i="4"/>
  <c r="P3" i="4" s="1"/>
  <c r="N4" i="4"/>
  <c r="N5" i="4"/>
  <c r="P5" i="4" s="1"/>
  <c r="N6" i="4"/>
  <c r="P6" i="4" s="1"/>
  <c r="N7" i="4"/>
  <c r="N8" i="4"/>
  <c r="N9" i="4"/>
  <c r="P9" i="4" s="1"/>
  <c r="N10" i="4"/>
  <c r="P10" i="4" s="1"/>
  <c r="N11" i="4"/>
  <c r="N12" i="4"/>
  <c r="N13" i="4"/>
  <c r="P13" i="4" s="1"/>
  <c r="N14" i="4"/>
  <c r="P14" i="4" s="1"/>
  <c r="N15" i="4"/>
  <c r="N16" i="4"/>
  <c r="N17" i="4"/>
  <c r="P17" i="4" s="1"/>
  <c r="N18" i="4"/>
  <c r="P18" i="4" s="1"/>
  <c r="N19" i="4"/>
  <c r="N20" i="4"/>
  <c r="N21" i="4"/>
  <c r="P21" i="4" s="1"/>
  <c r="N22" i="4"/>
  <c r="P22" i="4" s="1"/>
  <c r="N23" i="4"/>
  <c r="N24" i="4"/>
  <c r="N25" i="4"/>
  <c r="P25" i="4" s="1"/>
  <c r="N26" i="4"/>
  <c r="P26" i="4" s="1"/>
  <c r="N27" i="4"/>
  <c r="N28" i="4"/>
  <c r="N29" i="4"/>
  <c r="P29" i="4" s="1"/>
  <c r="N30" i="4"/>
  <c r="P30" i="4" s="1"/>
  <c r="N31" i="4"/>
  <c r="N32" i="4"/>
  <c r="N33" i="4"/>
  <c r="P33" i="4" s="1"/>
  <c r="N34" i="4"/>
  <c r="P34" i="4" s="1"/>
  <c r="N35" i="4"/>
  <c r="N36" i="4"/>
  <c r="N37" i="4"/>
  <c r="P37" i="4" s="1"/>
  <c r="N38" i="4"/>
  <c r="P38" i="4" s="1"/>
  <c r="N39" i="4"/>
  <c r="N40" i="4"/>
  <c r="N41" i="4"/>
  <c r="P41" i="4" s="1"/>
  <c r="N42" i="4"/>
  <c r="P42" i="4" s="1"/>
  <c r="N43" i="4"/>
  <c r="N44" i="4"/>
  <c r="N45" i="4"/>
  <c r="P45" i="4" s="1"/>
  <c r="N46" i="4"/>
  <c r="P46" i="4" s="1"/>
  <c r="N47" i="4"/>
  <c r="N48" i="4"/>
  <c r="N49" i="4"/>
  <c r="P49" i="4" s="1"/>
  <c r="N50" i="4"/>
  <c r="P50" i="4" s="1"/>
  <c r="N51" i="4"/>
  <c r="N52" i="4"/>
  <c r="N53" i="4"/>
  <c r="P53" i="4" s="1"/>
  <c r="M2" i="4"/>
  <c r="N2" i="4" s="1"/>
  <c r="P2" i="4" s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B13" i="3"/>
  <c r="O3" i="4" l="1"/>
  <c r="O51" i="4"/>
  <c r="O47" i="4"/>
  <c r="O43" i="4"/>
  <c r="O39" i="4"/>
  <c r="O35" i="4"/>
  <c r="O31" i="4"/>
  <c r="O27" i="4"/>
  <c r="O23" i="4"/>
  <c r="O19" i="4"/>
  <c r="O15" i="4"/>
  <c r="O11" i="4"/>
  <c r="O7" i="4"/>
  <c r="O52" i="4"/>
  <c r="O48" i="4"/>
  <c r="O44" i="4"/>
  <c r="O40" i="4"/>
  <c r="O36" i="4"/>
  <c r="O32" i="4"/>
  <c r="O28" i="4"/>
  <c r="O24" i="4"/>
  <c r="O20" i="4"/>
  <c r="O16" i="4"/>
  <c r="O12" i="4"/>
  <c r="O8" i="4"/>
  <c r="O4" i="4"/>
  <c r="O50" i="4"/>
  <c r="O46" i="4"/>
  <c r="O42" i="4"/>
  <c r="O38" i="4"/>
  <c r="O34" i="4"/>
  <c r="O30" i="4"/>
  <c r="O26" i="4"/>
  <c r="O22" i="4"/>
  <c r="O18" i="4"/>
  <c r="O14" i="4"/>
  <c r="O10" i="4"/>
  <c r="O6" i="4"/>
  <c r="P52" i="4"/>
  <c r="P48" i="4"/>
  <c r="P44" i="4"/>
  <c r="P40" i="4"/>
  <c r="P36" i="4"/>
  <c r="P32" i="4"/>
  <c r="P28" i="4"/>
  <c r="P24" i="4"/>
  <c r="P20" i="4"/>
  <c r="P16" i="4"/>
  <c r="P12" i="4"/>
  <c r="P8" i="4"/>
  <c r="P4" i="4"/>
  <c r="O53" i="4"/>
  <c r="O49" i="4"/>
  <c r="O45" i="4"/>
  <c r="O41" i="4"/>
  <c r="O37" i="4"/>
  <c r="O33" i="4"/>
  <c r="O29" i="4"/>
  <c r="O25" i="4"/>
  <c r="O21" i="4"/>
  <c r="O17" i="4"/>
  <c r="O13" i="4"/>
  <c r="O9" i="4"/>
  <c r="O5" i="4"/>
  <c r="P51" i="4"/>
  <c r="P47" i="4"/>
  <c r="P43" i="4"/>
  <c r="P39" i="4"/>
  <c r="P35" i="4"/>
  <c r="P31" i="4"/>
  <c r="P27" i="4"/>
  <c r="P23" i="4"/>
  <c r="P19" i="4"/>
  <c r="P15" i="4"/>
  <c r="P11" i="4"/>
  <c r="P7" i="4"/>
  <c r="B22" i="3" l="1"/>
  <c r="G3" i="6" l="1"/>
  <c r="B23" i="3"/>
  <c r="AF53" i="4"/>
  <c r="AE53" i="4"/>
  <c r="AD53" i="4"/>
  <c r="AC53" i="4"/>
  <c r="AB53" i="4"/>
  <c r="AF52" i="4"/>
  <c r="AE52" i="4"/>
  <c r="AD52" i="4"/>
  <c r="AC52" i="4"/>
  <c r="AB52" i="4"/>
  <c r="AF51" i="4"/>
  <c r="AE51" i="4"/>
  <c r="AD51" i="4"/>
  <c r="AC51" i="4"/>
  <c r="AB51" i="4"/>
  <c r="AF50" i="4"/>
  <c r="AE50" i="4"/>
  <c r="AD50" i="4"/>
  <c r="AC50" i="4"/>
  <c r="AB50" i="4"/>
  <c r="AF49" i="4"/>
  <c r="AE49" i="4"/>
  <c r="AD49" i="4"/>
  <c r="AC49" i="4"/>
  <c r="AB49" i="4"/>
  <c r="J49" i="4" l="1"/>
  <c r="J50" i="4"/>
  <c r="J51" i="4"/>
  <c r="J53" i="4"/>
  <c r="J52" i="4"/>
  <c r="AF48" i="4"/>
  <c r="AE48" i="4"/>
  <c r="AD48" i="4"/>
  <c r="AC48" i="4"/>
  <c r="AB48" i="4"/>
  <c r="AF47" i="4"/>
  <c r="AE47" i="4"/>
  <c r="AD47" i="4"/>
  <c r="AC47" i="4"/>
  <c r="AB47" i="4"/>
  <c r="AF46" i="4"/>
  <c r="AE46" i="4"/>
  <c r="AD46" i="4"/>
  <c r="AC46" i="4"/>
  <c r="AB46" i="4"/>
  <c r="AF45" i="4"/>
  <c r="AE45" i="4"/>
  <c r="AD45" i="4"/>
  <c r="AC45" i="4"/>
  <c r="AB45" i="4"/>
  <c r="AF44" i="4"/>
  <c r="AE44" i="4"/>
  <c r="AD44" i="4"/>
  <c r="AC44" i="4"/>
  <c r="AB44" i="4"/>
  <c r="AF43" i="4"/>
  <c r="AE43" i="4"/>
  <c r="AD43" i="4"/>
  <c r="AC43" i="4"/>
  <c r="AB43" i="4"/>
  <c r="AF42" i="4"/>
  <c r="AE42" i="4"/>
  <c r="AD42" i="4"/>
  <c r="AC42" i="4"/>
  <c r="AB42" i="4"/>
  <c r="AF41" i="4"/>
  <c r="AE41" i="4"/>
  <c r="AD41" i="4"/>
  <c r="AC41" i="4"/>
  <c r="AB41" i="4"/>
  <c r="AF40" i="4"/>
  <c r="AE40" i="4"/>
  <c r="AD40" i="4"/>
  <c r="AC40" i="4"/>
  <c r="AB40" i="4"/>
  <c r="AF39" i="4"/>
  <c r="AE39" i="4"/>
  <c r="AD39" i="4"/>
  <c r="AC39" i="4"/>
  <c r="AB39" i="4"/>
  <c r="AF38" i="4"/>
  <c r="AE38" i="4"/>
  <c r="AD38" i="4"/>
  <c r="AC38" i="4"/>
  <c r="AB38" i="4"/>
  <c r="AF37" i="4"/>
  <c r="AE37" i="4"/>
  <c r="AD37" i="4"/>
  <c r="AC37" i="4"/>
  <c r="AB37" i="4"/>
  <c r="AF36" i="4"/>
  <c r="AE36" i="4"/>
  <c r="AD36" i="4"/>
  <c r="AC36" i="4"/>
  <c r="AB36" i="4"/>
  <c r="AF35" i="4"/>
  <c r="AE35" i="4"/>
  <c r="AD35" i="4"/>
  <c r="AC35" i="4"/>
  <c r="AB35" i="4"/>
  <c r="AF34" i="4"/>
  <c r="AE34" i="4"/>
  <c r="AD34" i="4"/>
  <c r="AC34" i="4"/>
  <c r="AB34" i="4"/>
  <c r="AF33" i="4"/>
  <c r="AE33" i="4"/>
  <c r="AD33" i="4"/>
  <c r="AC33" i="4"/>
  <c r="AB33" i="4"/>
  <c r="AF32" i="4"/>
  <c r="AE32" i="4"/>
  <c r="AD32" i="4"/>
  <c r="AC32" i="4"/>
  <c r="AB32" i="4"/>
  <c r="AF31" i="4"/>
  <c r="AE31" i="4"/>
  <c r="AD31" i="4"/>
  <c r="AC31" i="4"/>
  <c r="AB31" i="4"/>
  <c r="AF30" i="4"/>
  <c r="AE30" i="4"/>
  <c r="AD30" i="4"/>
  <c r="AC30" i="4"/>
  <c r="AB30" i="4"/>
  <c r="AF29" i="4"/>
  <c r="AE29" i="4"/>
  <c r="AD29" i="4"/>
  <c r="AC29" i="4"/>
  <c r="AB29" i="4"/>
  <c r="AF28" i="4"/>
  <c r="AE28" i="4"/>
  <c r="AD28" i="4"/>
  <c r="AC28" i="4"/>
  <c r="AB28" i="4"/>
  <c r="AF27" i="4"/>
  <c r="AE27" i="4"/>
  <c r="AD27" i="4"/>
  <c r="AC27" i="4"/>
  <c r="AB27" i="4"/>
  <c r="AF26" i="4"/>
  <c r="AE26" i="4"/>
  <c r="AD26" i="4"/>
  <c r="AC26" i="4"/>
  <c r="AB26" i="4"/>
  <c r="AF25" i="4"/>
  <c r="AE25" i="4"/>
  <c r="AD25" i="4"/>
  <c r="AC25" i="4"/>
  <c r="AB25" i="4"/>
  <c r="AF24" i="4"/>
  <c r="AE24" i="4"/>
  <c r="AD24" i="4"/>
  <c r="AC24" i="4"/>
  <c r="AB24" i="4"/>
  <c r="AF23" i="4"/>
  <c r="AE23" i="4"/>
  <c r="AD23" i="4"/>
  <c r="AC23" i="4"/>
  <c r="AB23" i="4"/>
  <c r="AF22" i="4"/>
  <c r="AE22" i="4"/>
  <c r="AD22" i="4"/>
  <c r="AC22" i="4"/>
  <c r="AB22" i="4"/>
  <c r="AF21" i="4"/>
  <c r="AE21" i="4"/>
  <c r="AD21" i="4"/>
  <c r="AC21" i="4"/>
  <c r="AB21" i="4"/>
  <c r="AF20" i="4"/>
  <c r="AE20" i="4"/>
  <c r="AD20" i="4"/>
  <c r="AC20" i="4"/>
  <c r="AB20" i="4"/>
  <c r="AF19" i="4"/>
  <c r="AE19" i="4"/>
  <c r="AD19" i="4"/>
  <c r="AC19" i="4"/>
  <c r="AB19" i="4"/>
  <c r="AF18" i="4"/>
  <c r="AE18" i="4"/>
  <c r="AD18" i="4"/>
  <c r="AC18" i="4"/>
  <c r="AB18" i="4"/>
  <c r="AF17" i="4"/>
  <c r="AE17" i="4"/>
  <c r="AD17" i="4"/>
  <c r="AC17" i="4"/>
  <c r="AB17" i="4"/>
  <c r="AF16" i="4"/>
  <c r="AE16" i="4"/>
  <c r="AD16" i="4"/>
  <c r="AC16" i="4"/>
  <c r="AB16" i="4"/>
  <c r="AF15" i="4"/>
  <c r="AE15" i="4"/>
  <c r="AD15" i="4"/>
  <c r="AC15" i="4"/>
  <c r="AB15" i="4"/>
  <c r="AF14" i="4"/>
  <c r="AE14" i="4"/>
  <c r="AD14" i="4"/>
  <c r="AC14" i="4"/>
  <c r="AB14" i="4"/>
  <c r="AF13" i="4"/>
  <c r="AE13" i="4"/>
  <c r="AD13" i="4"/>
  <c r="AC13" i="4"/>
  <c r="AB13" i="4"/>
  <c r="AF12" i="4"/>
  <c r="AE12" i="4"/>
  <c r="AD12" i="4"/>
  <c r="AC12" i="4"/>
  <c r="AB12" i="4"/>
  <c r="AF11" i="4"/>
  <c r="AE11" i="4"/>
  <c r="AD11" i="4"/>
  <c r="AC11" i="4"/>
  <c r="AB11" i="4"/>
  <c r="AF10" i="4"/>
  <c r="AE10" i="4"/>
  <c r="AD10" i="4"/>
  <c r="AC10" i="4"/>
  <c r="AB10" i="4"/>
  <c r="AF9" i="4"/>
  <c r="AE9" i="4"/>
  <c r="AD9" i="4"/>
  <c r="AC9" i="4"/>
  <c r="AB9" i="4"/>
  <c r="AF8" i="4"/>
  <c r="AE8" i="4"/>
  <c r="AD8" i="4"/>
  <c r="AC8" i="4"/>
  <c r="AB8" i="4"/>
  <c r="AF7" i="4"/>
  <c r="AE7" i="4"/>
  <c r="AD7" i="4"/>
  <c r="AC7" i="4"/>
  <c r="AB7" i="4"/>
  <c r="AF6" i="4"/>
  <c r="AE6" i="4"/>
  <c r="AD6" i="4"/>
  <c r="AC6" i="4"/>
  <c r="AB6" i="4"/>
  <c r="AF5" i="4"/>
  <c r="AE5" i="4"/>
  <c r="AD5" i="4"/>
  <c r="AC5" i="4"/>
  <c r="AB5" i="4"/>
  <c r="AF4" i="4"/>
  <c r="AE4" i="4"/>
  <c r="AD4" i="4"/>
  <c r="AC4" i="4"/>
  <c r="AB4" i="4"/>
  <c r="AF3" i="4"/>
  <c r="AE3" i="4"/>
  <c r="AD3" i="4"/>
  <c r="AC3" i="4"/>
  <c r="AB3" i="4"/>
  <c r="AF2" i="4"/>
  <c r="AD2" i="4"/>
  <c r="AC2" i="4"/>
  <c r="AB2" i="4"/>
  <c r="J5" i="4" l="1"/>
  <c r="J9" i="4"/>
  <c r="J13" i="4"/>
  <c r="J17" i="4"/>
  <c r="J21" i="4"/>
  <c r="J25" i="4"/>
  <c r="J29" i="4"/>
  <c r="J37" i="4"/>
  <c r="J41" i="4"/>
  <c r="J45" i="4"/>
  <c r="J33" i="4"/>
  <c r="J6" i="4"/>
  <c r="J10" i="4"/>
  <c r="J14" i="4"/>
  <c r="J18" i="4"/>
  <c r="J22" i="4"/>
  <c r="J26" i="4"/>
  <c r="J30" i="4"/>
  <c r="J34" i="4"/>
  <c r="J38" i="4"/>
  <c r="J42" i="4"/>
  <c r="J46" i="4"/>
  <c r="J3" i="4"/>
  <c r="J7" i="4"/>
  <c r="J11" i="4"/>
  <c r="J15" i="4"/>
  <c r="J19" i="4"/>
  <c r="J23" i="4"/>
  <c r="J27" i="4"/>
  <c r="J31" i="4"/>
  <c r="J35" i="4"/>
  <c r="J39" i="4"/>
  <c r="J43" i="4"/>
  <c r="J47" i="4"/>
  <c r="J2" i="4"/>
  <c r="K2" i="4" s="1"/>
  <c r="O2" i="4" s="1"/>
  <c r="J4" i="4"/>
  <c r="J8" i="4"/>
  <c r="J12" i="4"/>
  <c r="J16" i="4"/>
  <c r="J20" i="4"/>
  <c r="J24" i="4"/>
  <c r="J28" i="4"/>
  <c r="J32" i="4"/>
  <c r="J36" i="4"/>
  <c r="J40" i="4"/>
  <c r="J44" i="4"/>
  <c r="J48" i="4"/>
  <c r="B3" i="6" l="1"/>
</calcChain>
</file>

<file path=xl/sharedStrings.xml><?xml version="1.0" encoding="utf-8"?>
<sst xmlns="http://schemas.openxmlformats.org/spreadsheetml/2006/main" count="218" uniqueCount="166">
  <si>
    <t>No.</t>
  </si>
  <si>
    <t>PROPONENTE</t>
  </si>
  <si>
    <t>CARTA PRESENTACIÓN</t>
  </si>
  <si>
    <t>CERTIFICADO DE EXISTENCIA Y REPRESENTACIÓN LEGAL</t>
  </si>
  <si>
    <t>GARANTIA DE SERIEDAD DE LA OFERTA</t>
  </si>
  <si>
    <t>PRESENTA (SI/NO)</t>
  </si>
  <si>
    <t>REPRESENTANTE LEGAL</t>
  </si>
  <si>
    <t>NOMBRE</t>
  </si>
  <si>
    <t>FECHA DE EXPEDICIÓN</t>
  </si>
  <si>
    <t>DOMICILIO</t>
  </si>
  <si>
    <t>LIMITACIONES AL REPRESENTANTE LEGAL</t>
  </si>
  <si>
    <t>AUTORIZACIÓN DEL ORGANO SOCIAL</t>
  </si>
  <si>
    <t>FORMATO A FAVOR DE ENTIDADES ESTATALES</t>
  </si>
  <si>
    <t>TOMADOR</t>
  </si>
  <si>
    <t>COMPAÑÍA</t>
  </si>
  <si>
    <t>PÓLIZA</t>
  </si>
  <si>
    <t>CERTIFICADO DE ANTECEDENTES FISCALES DE LA CONTRALORIA GENERAL DE LA REPUBLICA</t>
  </si>
  <si>
    <t>CERTIFICADO DE ANTECEDENTES DISCIPLINARIOS DE LA PROCURADURIA GENERAL DE LA NACION</t>
  </si>
  <si>
    <t>Proponente</t>
  </si>
  <si>
    <t>Compañía Aseguradora</t>
  </si>
  <si>
    <t>No. De Póliza</t>
  </si>
  <si>
    <t>Vigencia inicial</t>
  </si>
  <si>
    <t>Vigencia final</t>
  </si>
  <si>
    <t>OBJETO SOCIAL</t>
  </si>
  <si>
    <t>CONFORMACIÓN CONSORCIAL</t>
  </si>
  <si>
    <t>CERTIFICADO DE ANTECEDENTES JUDICIALES</t>
  </si>
  <si>
    <t>SANCIONES CONSIGNADAS EN EL RUP</t>
  </si>
  <si>
    <t>%</t>
  </si>
  <si>
    <t>CONFORMACION CONSORCIO</t>
  </si>
  <si>
    <t>CONTRATANTE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</si>
  <si>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</si>
  <si>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</si>
  <si>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</si>
  <si>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</si>
  <si>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</si>
  <si>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</si>
  <si>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</si>
  <si>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Suspensión 1</t>
  </si>
  <si>
    <t>Suspensión 2</t>
  </si>
  <si>
    <t>Suspensión 3</t>
  </si>
  <si>
    <t>Suspensión 4</t>
  </si>
  <si>
    <t>CAPACIDAD FINANCIERA</t>
  </si>
  <si>
    <t>CAPACIDAD ORGANIZACIONAL</t>
  </si>
  <si>
    <t>Activo Corriente</t>
  </si>
  <si>
    <t>Pasivo Corriente</t>
  </si>
  <si>
    <t>Activo Total</t>
  </si>
  <si>
    <t>Pasivo Total</t>
  </si>
  <si>
    <t>Utilidad operacional</t>
  </si>
  <si>
    <t>CAPITAL DE TRABAJO</t>
  </si>
  <si>
    <t>LIQUIDEZ</t>
  </si>
  <si>
    <t>NIVEL DE ENDEUDAMIENTO</t>
  </si>
  <si>
    <t>PATRIMONIO</t>
  </si>
  <si>
    <t>RENTABILIDAD SOBRE PATRIMONIO</t>
  </si>
  <si>
    <t>RENTABILIDAD SOBRE ACTIVOS</t>
  </si>
  <si>
    <t>Observaciones</t>
  </si>
  <si>
    <t>RAZON DE COBERTURA DE INTERESES</t>
  </si>
  <si>
    <t>Gastos de intereses</t>
  </si>
  <si>
    <t>CALIFICACIÓN JURIDICA</t>
  </si>
  <si>
    <t>BENEFICIARIO GOBERNACIÓN</t>
  </si>
  <si>
    <t>CALIFICACIÓN FINANCIERA</t>
  </si>
  <si>
    <t>OBSERVACIONES</t>
  </si>
  <si>
    <t>Proceso Licitatorio</t>
  </si>
  <si>
    <t>Objeto</t>
  </si>
  <si>
    <t>Apertura del proceso</t>
  </si>
  <si>
    <t>Cierre del Proceso</t>
  </si>
  <si>
    <t>PERÍODO</t>
  </si>
  <si>
    <t>MONTO MENSUAL</t>
  </si>
  <si>
    <t>INFORMACIÓN GENERAL</t>
  </si>
  <si>
    <t>REQUISITOS FINANCIEROS HABILITANTES</t>
  </si>
  <si>
    <t>Razón covertura de intereses
Utilidad operacional/gastos de intereses ≥ 1.0</t>
  </si>
  <si>
    <t>CERTIFICADO DE INSCRIPCIÓN EN EL REGISTRO UNICO DE PROPONENTES (RUP)</t>
  </si>
  <si>
    <t>OTROS DOCUMENTOS</t>
  </si>
  <si>
    <t>VALOR TOTAL DEL CONTRATO A CONSIDERAR COMO EXPERIENCIA
(4) = (3)*(1)</t>
  </si>
  <si>
    <t>VALOR FACTURADO ACTUALIZADO SMMLV
(VFA)</t>
  </si>
  <si>
    <t>VALOR TOTAL EJECUTADO (VTEi)</t>
  </si>
  <si>
    <t>PROMEDIO DE FACTURACIÓN MENSUAL
(PFMi)</t>
  </si>
  <si>
    <t>CALIFICACIÓN ORGANIZACIONAL</t>
  </si>
  <si>
    <t>CERTIFICACIÓN DE PAGOS DE SEGURIDAD SOCIAL Y APORTES PARAFISCALES</t>
  </si>
  <si>
    <t>Presupuesto Oficial SMMLV</t>
  </si>
  <si>
    <t>Suspensión 5</t>
  </si>
  <si>
    <t>COPIA TARJETA PROFESIONAL CONTADOR O REVISOR FISCAL</t>
  </si>
  <si>
    <t>ANTECEDENTES DISCIPLINARIOS JCC</t>
  </si>
  <si>
    <t>FIRMEZA RUP</t>
  </si>
  <si>
    <t>No. Folios</t>
  </si>
  <si>
    <t>Valor Asegurado</t>
  </si>
  <si>
    <t>RENOVADO</t>
  </si>
  <si>
    <t>SI</t>
  </si>
  <si>
    <t>C</t>
  </si>
  <si>
    <t>CUMPLE</t>
  </si>
  <si>
    <t>N/A</t>
  </si>
  <si>
    <t>SUBSANAR</t>
  </si>
  <si>
    <t>I</t>
  </si>
  <si>
    <t>NO PRESENTA</t>
  </si>
  <si>
    <t>NO CUMPLE</t>
  </si>
  <si>
    <t>UT</t>
  </si>
  <si>
    <t>NO</t>
  </si>
  <si>
    <t>NO HÁBIL</t>
  </si>
  <si>
    <t>HÁBIL</t>
  </si>
  <si>
    <t>Presupuesto Oficial Mensual SMMLV PMFO</t>
  </si>
  <si>
    <t>REQUISITOS ORGANIZACIONALES HABILITANTES</t>
  </si>
  <si>
    <t>CRITERIOS DE COMPARACION Y CALIFICACIÓN DE LAS PROPUESTAS</t>
  </si>
  <si>
    <t>VIGENCIA CERTIFICADO
(Fecha Expedición)</t>
  </si>
  <si>
    <t>PRESENTA</t>
  </si>
  <si>
    <t>CONSULTADOS ENTIDAD</t>
  </si>
  <si>
    <t>CALIFICACIÓN TÉCNICA</t>
  </si>
  <si>
    <t>NA</t>
  </si>
  <si>
    <t>Presupuesto oficial</t>
  </si>
  <si>
    <t>Plazo (meses)</t>
  </si>
  <si>
    <t>Rentabilidad del activo (ROA)
Utilidad operacional/Activo total ≥ 1%</t>
  </si>
  <si>
    <t>Liquidez
Activo corriente/Pasivo Corriente ≥ 1.4</t>
  </si>
  <si>
    <t>Nivel de endeudamiento
Pasivo Total/Activo Total ≤ 0.68</t>
  </si>
  <si>
    <t>Capital de trabajo
CT = AC - PC ≥ 30% PO</t>
  </si>
  <si>
    <t>Rentabilidad del patrimonio (ROE)
Utilidad operacional/Patrimonio ≥ 3%</t>
  </si>
  <si>
    <t>CONTRATO No.
951116
721410</t>
  </si>
  <si>
    <t>CONTRATO No.
951116
721410 (SMLMV)</t>
  </si>
  <si>
    <t>“REALIZAR LAS OBRAS REQUERIDAS PARA LA CONSTRUCCIÓN DEL SISTEMA DE LUMINARIAS EN LAS CANCHAS DE FUTBOL/ ESTADIO DE LOS MUNICIPIOS DE SUPIA, MANZANARES Y VITERBO RESPECTIVAMENTE, EN EL MARCO DE LOS CONVENIOS SUSCRITOS”</t>
  </si>
  <si>
    <t>SA-MC-SDR-074-2019</t>
  </si>
  <si>
    <t>LUIS FELIPE BETANCUR ARISTIZABAL</t>
  </si>
  <si>
    <t>IMPORLED S.A.S.</t>
  </si>
  <si>
    <t>ASEGURADORA SOLIDARIA DE COLOMBIA</t>
  </si>
  <si>
    <t>500-47-994000018313</t>
  </si>
  <si>
    <t xml:space="preserve">K RESIDUAL </t>
  </si>
  <si>
    <t xml:space="preserve">CAPACIDAD RESIDUAL </t>
  </si>
  <si>
    <t xml:space="preserve">HABIL </t>
  </si>
  <si>
    <t>HABIL</t>
  </si>
  <si>
    <t xml:space="preserve">CAPACIDAD RESIDUAL DE CONTRATACION </t>
  </si>
  <si>
    <t>HABIL / NO HABIL / SUBSANAR</t>
  </si>
  <si>
    <t>INGENIERO ELECTRÓNICO O ELECTRICISTA  QUE AVALA LA PROPUESTA</t>
  </si>
  <si>
    <t>MATRICULA PROFESIONAL MAYOR O IGUAL A DIEZ (10 ) AÑOS 
(No. De la Matricula)</t>
  </si>
  <si>
    <t>CERTIFICADO ACIEM</t>
  </si>
  <si>
    <t>TIPO (Consorcio/Union Temporal /Individual )</t>
  </si>
  <si>
    <t>DURACION PLAZO DEL CONTRATO Y 5 AÑOS MAS 
(CUMPLE / NO CUMPLE)</t>
  </si>
  <si>
    <t xml:space="preserve">NOMBRE/ NUMERO MAX DE INTEGRANTES DOS (2) </t>
  </si>
  <si>
    <t xml:space="preserve">40 % PARTICIPACIÓN MINIMA </t>
  </si>
  <si>
    <t>FECHA DE EXPEDICIÓN ENTRE 4  DE AGOSTO AL 4 DE SEPTIEMBRE</t>
  </si>
  <si>
    <t>DURACIÓN DE LA SOCIEDAD (PLAZO CONTRACTUAL Y 5 AÑO MAS )</t>
  </si>
  <si>
    <t xml:space="preserve">PRESENTA </t>
  </si>
  <si>
    <t xml:space="preserve">CODIGO DE UNSPSC 39112100
39111600
39112000
39112400
45111600
81101700
72151500
</t>
  </si>
  <si>
    <t>VALOR        $53.021.774</t>
  </si>
  <si>
    <t xml:space="preserve">VIGENCIA INICIAL 4- SEP - 2019 </t>
  </si>
  <si>
    <t xml:space="preserve">VIGENCIA FINAL 4-DIC  2019 </t>
  </si>
  <si>
    <t xml:space="preserve">MEDIDAS CORRECTIVAS </t>
  </si>
  <si>
    <t xml:space="preserve">PACTO DE TRASPARENCIA/   COMPROMISO  ANTICORRUPCIÓN </t>
  </si>
  <si>
    <t xml:space="preserve">CEDULA DEL PROPONENTE </t>
  </si>
  <si>
    <t>RUT ACTUALIZADO</t>
  </si>
  <si>
    <t xml:space="preserve">LIBRETA MILITAR CUMPLE  </t>
  </si>
  <si>
    <t>MATRICULA PROFESIONAL</t>
  </si>
  <si>
    <t xml:space="preserve">CERTIFICADO DE ACIEM </t>
  </si>
  <si>
    <t>IMPORLET S.A.S</t>
  </si>
  <si>
    <t xml:space="preserve">LUIS FELIPE BETANCUR ARISTIZABAL </t>
  </si>
  <si>
    <t xml:space="preserve">ANDRES FELIPE FRANCO ZULUAGA </t>
  </si>
  <si>
    <t>205-52732</t>
  </si>
  <si>
    <t xml:space="preserve">3/07/2019 HASTA 3/01/2020 </t>
  </si>
  <si>
    <t xml:space="preserve">MANIZALES </t>
  </si>
  <si>
    <t xml:space="preserve">CUMPLE </t>
  </si>
  <si>
    <t xml:space="preserve">INDEFINIDO </t>
  </si>
  <si>
    <t>NO REPORTA</t>
  </si>
  <si>
    <t>CUMPLE 13/05/2019</t>
  </si>
  <si>
    <t>IMPORLET SAS</t>
  </si>
  <si>
    <t xml:space="preserve">ASEGURADORA CONFIANZA </t>
  </si>
  <si>
    <t xml:space="preserve">HABIL  </t>
  </si>
  <si>
    <t xml:space="preserve">PROPONENTE </t>
  </si>
  <si>
    <t xml:space="preserve">CONFORMACION CONSORCIAL </t>
  </si>
  <si>
    <t xml:space="preserve">%PARTICIPACION </t>
  </si>
  <si>
    <t xml:space="preserve">INFORMACION FINANCIERA </t>
  </si>
  <si>
    <t xml:space="preserve">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</si>
</sst>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2" formatCode="_-&quot;$&quot;* #,##0_-;\-&quot;$&quot;* #,##0_-;_-&quot;$&quot;* &quot;-&quot;_-;_-@_-"/>
    <numFmt numFmtId="43" formatCode="_-* #,##0.00_-;\-* #,##0.00_-;_-* &quot;-&quot;??_-;_-@_-"/>
    <numFmt numFmtId="164" formatCode="&quot;$&quot;\ #,##0;[Red]\-&quot;$&quot;\ #,##0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* #,##0.00_);_(&quot;$&quot;* \(#,##0.00\);_(&quot;$&quot;* &quot;-&quot;??_);_(@_)"/>
    <numFmt numFmtId="169" formatCode="dd/mm/yyyy;@"/>
    <numFmt numFmtId="170" formatCode="0.0%"/>
    <numFmt numFmtId="171" formatCode="_(&quot;$&quot;\ * #,##0_);_(&quot;$&quot;\ * \(#,##0\);_(&quot;$&quot;\ * &quot;-&quot;??_);_(@_)"/>
    <numFmt numFmtId="172" formatCode="_(&quot;$&quot;\ * #,##0.0_);_(&quot;$&quot;\ * \(#,##0.0\);_(&quot;$&quot;\ * &quot;-&quot;??_);_(@_)"/>
    <numFmt numFmtId="173" formatCode="0.0"/>
    <numFmt numFmtId="174" formatCode="_(* #,##0.0_);_(* \(#,##0.0\);_(* &quot;-&quot;_);_(@_)"/>
    <numFmt numFmtId="175" formatCode="0.000"/>
    <numFmt numFmtId="176" formatCode="_(&quot;$&quot;* #,##0_);_(&quot;$&quot;* \(#,##0\);_(&quot;$&quot;* &quot;-&quot;??_);_(@_)"/>
    <numFmt numFmtId="177" formatCode="_-* #,##0.000_-;\-* #,##0.000_-;_-* &quot;-&quot;??_-;_-@_-"/>
    <numFmt numFmtId="178" formatCode="#,##0.000"/>
    <numFmt numFmtId="179" formatCode="_-&quot;$&quot;* #,##0.00_-;\-&quot;$&quot;* #,##0.00_-;_-&quot;$&quot;* &quot;-&quot;_-;_-@_-"/>
    <numFmt numFmtId="180" formatCode="[$-F800]dddd\,\ mmmm\ dd\,\ yyyy"/>
    <numFmt numFmtId="181" formatCode="dd/mm/yyyy"/>
    <numFmt numFmtId="182" formatCode="_-&quot;$&quot;* #,##0_-;\-&quot;$&quot;* #,##0_-;_-&quot;$&quot;* &quot;-&quot;_-;_-@"/>
  </numFmts>
  <fonts count="3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rgb="FF000000"/>
      <name val="Arial Narrow"/>
    </font>
    <font>
      <b/>
      <sz val="9"/>
      <name val="Arial Narrow"/>
      <family val="2"/>
    </font>
    <font>
      <b/>
      <sz val="9"/>
      <color rgb="FF000000"/>
      <name val="Arial Narrow"/>
      <family val="2"/>
    </font>
    <font>
      <sz val="10"/>
      <name val="Arial"/>
    </font>
    <font>
      <sz val="8"/>
      <color rgb="FF000000"/>
      <name val="Arial"/>
    </font>
    <font>
      <b/>
      <sz val="8"/>
      <name val="Arial Narrow"/>
      <family val="2"/>
    </font>
    <font>
      <b/>
      <sz val="9"/>
      <color rgb="FF000000"/>
      <name val="Arial"/>
      <family val="2"/>
    </font>
    <font>
      <sz val="9"/>
      <color rgb="FF000000"/>
      <name val="Arial"/>
    </font>
    <font>
      <sz val="9"/>
      <color rgb="FF000000"/>
      <name val="Arial"/>
      <family val="2"/>
    </font>
    <font>
      <sz val="9"/>
      <color rgb="FF000000"/>
      <name val="Arial Narrow"/>
    </font>
    <font>
      <sz val="9"/>
      <color rgb="FF201F1E"/>
      <name val="Arial Narrow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2">
    <xf numFmtId="0" fontId="0" fillId="0" borderId="0"/>
    <xf numFmtId="166" fontId="3" fillId="0" borderId="0" applyFont="0" applyFill="0" applyBorder="0" applyAlignment="0" applyProtection="0"/>
    <xf numFmtId="0" fontId="5" fillId="0" borderId="0"/>
    <xf numFmtId="9" fontId="3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</cellStyleXfs>
  <cellXfs count="184">
    <xf numFmtId="0" fontId="0" fillId="0" borderId="0" xfId="0"/>
    <xf numFmtId="0" fontId="7" fillId="0" borderId="0" xfId="0" applyFont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  <xf numFmtId="170" fontId="7" fillId="0" borderId="0" xfId="3" applyNumberFormat="1" applyFont="1" applyAlignment="1">
      <alignment horizontal="center" vertical="center"/>
    </xf>
    <xf numFmtId="15" fontId="7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2" fontId="0" fillId="0" borderId="0" xfId="7" applyFont="1" applyAlignment="1">
      <alignment horizontal="center" vertical="center" wrapText="1"/>
    </xf>
    <xf numFmtId="42" fontId="0" fillId="0" borderId="0" xfId="7" applyFont="1"/>
    <xf numFmtId="0" fontId="9" fillId="0" borderId="1" xfId="0" applyFont="1" applyBorder="1" applyAlignment="1">
      <alignment horizontal="center" vertical="center" wrapText="1"/>
    </xf>
    <xf numFmtId="15" fontId="9" fillId="0" borderId="1" xfId="0" applyNumberFormat="1" applyFont="1" applyBorder="1" applyAlignment="1">
      <alignment horizontal="center" vertical="center" wrapText="1"/>
    </xf>
    <xf numFmtId="171" fontId="9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71" fontId="11" fillId="2" borderId="1" xfId="1" applyNumberFormat="1" applyFont="1" applyFill="1" applyBorder="1" applyAlignment="1">
      <alignment horizontal="right" vertical="center" wrapText="1"/>
    </xf>
    <xf numFmtId="14" fontId="14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42" fontId="0" fillId="0" borderId="0" xfId="7" applyFont="1" applyAlignment="1">
      <alignment vertical="center"/>
    </xf>
    <xf numFmtId="173" fontId="0" fillId="0" borderId="0" xfId="0" applyNumberFormat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42" fontId="16" fillId="0" borderId="1" xfId="7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2" fontId="15" fillId="3" borderId="1" xfId="7" applyFont="1" applyFill="1" applyBorder="1" applyAlignment="1">
      <alignment horizontal="center" vertical="center" wrapText="1"/>
    </xf>
    <xf numFmtId="42" fontId="0" fillId="0" borderId="1" xfId="7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42" fontId="7" fillId="0" borderId="0" xfId="7" applyFont="1" applyAlignment="1">
      <alignment horizontal="center" vertical="center"/>
    </xf>
    <xf numFmtId="174" fontId="0" fillId="0" borderId="1" xfId="8" applyNumberFormat="1" applyFont="1" applyBorder="1" applyAlignment="1">
      <alignment vertical="center"/>
    </xf>
    <xf numFmtId="167" fontId="0" fillId="0" borderId="1" xfId="0" applyNumberFormat="1" applyBorder="1" applyAlignment="1">
      <alignment vertical="center"/>
    </xf>
    <xf numFmtId="168" fontId="0" fillId="0" borderId="0" xfId="0" applyNumberFormat="1" applyAlignment="1">
      <alignment vertical="center"/>
    </xf>
    <xf numFmtId="0" fontId="0" fillId="0" borderId="1" xfId="0" applyBorder="1" applyAlignment="1">
      <alignment horizontal="left" vertical="center" wrapText="1"/>
    </xf>
    <xf numFmtId="9" fontId="10" fillId="0" borderId="1" xfId="3" applyFont="1" applyBorder="1" applyAlignment="1">
      <alignment horizontal="center" vertical="center"/>
    </xf>
    <xf numFmtId="42" fontId="0" fillId="0" borderId="0" xfId="7" applyFont="1" applyAlignment="1">
      <alignment horizontal="left" vertical="center"/>
    </xf>
    <xf numFmtId="15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15" fontId="11" fillId="0" borderId="1" xfId="0" applyNumberFormat="1" applyFont="1" applyBorder="1" applyAlignment="1" applyProtection="1">
      <alignment horizontal="center" vertical="center"/>
      <protection locked="0"/>
    </xf>
    <xf numFmtId="171" fontId="11" fillId="0" borderId="1" xfId="1" applyNumberFormat="1" applyFont="1" applyBorder="1" applyAlignment="1" applyProtection="1">
      <alignment horizontal="right" vertical="center" wrapText="1"/>
      <protection locked="0"/>
    </xf>
    <xf numFmtId="14" fontId="11" fillId="0" borderId="1" xfId="0" applyNumberFormat="1" applyFont="1" applyBorder="1" applyAlignment="1" applyProtection="1">
      <alignment vertical="center"/>
      <protection locked="0"/>
    </xf>
    <xf numFmtId="14" fontId="11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8" fillId="0" borderId="8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left" vertical="center" wrapText="1"/>
    </xf>
    <xf numFmtId="0" fontId="11" fillId="2" borderId="1" xfId="0" applyFont="1" applyFill="1" applyBorder="1" applyAlignment="1" applyProtection="1">
      <alignment horizontal="left" vertical="center"/>
      <protection locked="0"/>
    </xf>
    <xf numFmtId="17" fontId="1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/>
    <xf numFmtId="177" fontId="9" fillId="0" borderId="1" xfId="6" applyNumberFormat="1" applyFont="1" applyBorder="1" applyAlignment="1">
      <alignment horizontal="center" vertical="center" wrapText="1"/>
    </xf>
    <xf numFmtId="177" fontId="11" fillId="2" borderId="1" xfId="6" applyNumberFormat="1" applyFont="1" applyFill="1" applyBorder="1" applyAlignment="1">
      <alignment horizontal="center" vertical="center" wrapText="1"/>
    </xf>
    <xf numFmtId="177" fontId="11" fillId="2" borderId="1" xfId="6" applyNumberFormat="1" applyFont="1" applyFill="1" applyBorder="1" applyAlignment="1">
      <alignment vertical="center" wrapText="1"/>
    </xf>
    <xf numFmtId="177" fontId="0" fillId="0" borderId="0" xfId="0" applyNumberFormat="1"/>
    <xf numFmtId="175" fontId="18" fillId="0" borderId="0" xfId="0" applyNumberFormat="1" applyFont="1"/>
    <xf numFmtId="178" fontId="9" fillId="0" borderId="1" xfId="0" applyNumberFormat="1" applyFont="1" applyBorder="1" applyAlignment="1">
      <alignment horizontal="center" vertical="center" wrapText="1"/>
    </xf>
    <xf numFmtId="178" fontId="11" fillId="2" borderId="1" xfId="0" applyNumberFormat="1" applyFont="1" applyFill="1" applyBorder="1" applyAlignment="1">
      <alignment horizontal="center" vertical="center"/>
    </xf>
    <xf numFmtId="178" fontId="0" fillId="0" borderId="0" xfId="0" applyNumberFormat="1"/>
    <xf numFmtId="170" fontId="9" fillId="0" borderId="1" xfId="0" applyNumberFormat="1" applyFont="1" applyBorder="1" applyAlignment="1">
      <alignment horizontal="center" vertical="center" wrapText="1"/>
    </xf>
    <xf numFmtId="170" fontId="11" fillId="0" borderId="1" xfId="0" applyNumberFormat="1" applyFont="1" applyBorder="1" applyAlignment="1" applyProtection="1">
      <alignment horizontal="center" vertical="center"/>
      <protection locked="0"/>
    </xf>
    <xf numFmtId="170" fontId="0" fillId="0" borderId="0" xfId="0" applyNumberForma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72" fontId="8" fillId="0" borderId="0" xfId="1" applyNumberFormat="1" applyFont="1" applyAlignment="1">
      <alignment horizontal="center" vertical="center"/>
    </xf>
    <xf numFmtId="170" fontId="8" fillId="0" borderId="0" xfId="3" applyNumberFormat="1" applyFont="1" applyAlignment="1">
      <alignment horizontal="center" vertical="center"/>
    </xf>
    <xf numFmtId="0" fontId="8" fillId="0" borderId="5" xfId="4" applyFont="1" applyBorder="1" applyAlignment="1">
      <alignment horizontal="center" vertical="center" wrapText="1"/>
    </xf>
    <xf numFmtId="15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1" fontId="8" fillId="0" borderId="1" xfId="1" applyNumberFormat="1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43" fontId="8" fillId="0" borderId="1" xfId="6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170" fontId="7" fillId="0" borderId="9" xfId="3" applyNumberFormat="1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171" fontId="8" fillId="0" borderId="8" xfId="1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42" fontId="9" fillId="5" borderId="1" xfId="7" applyFont="1" applyFill="1" applyBorder="1" applyAlignment="1">
      <alignment horizontal="center" vertical="center" wrapText="1"/>
    </xf>
    <xf numFmtId="15" fontId="9" fillId="5" borderId="1" xfId="0" applyNumberFormat="1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9" fontId="14" fillId="0" borderId="0" xfId="3" applyFont="1" applyBorder="1" applyAlignment="1">
      <alignment vertical="center"/>
    </xf>
    <xf numFmtId="165" fontId="0" fillId="0" borderId="0" xfId="8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2" fontId="0" fillId="0" borderId="1" xfId="0" applyNumberFormat="1" applyFont="1" applyBorder="1" applyAlignment="1">
      <alignment vertical="center"/>
    </xf>
    <xf numFmtId="176" fontId="0" fillId="0" borderId="1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9" fontId="0" fillId="0" borderId="1" xfId="3" applyFont="1" applyBorder="1" applyAlignment="1">
      <alignment vertical="center"/>
    </xf>
    <xf numFmtId="0" fontId="19" fillId="0" borderId="11" xfId="0" applyFont="1" applyBorder="1" applyAlignment="1">
      <alignment horizontal="center" vertical="center" wrapText="1"/>
    </xf>
    <xf numFmtId="171" fontId="8" fillId="0" borderId="11" xfId="1" applyNumberFormat="1" applyFont="1" applyBorder="1" applyAlignment="1">
      <alignment vertical="center" wrapText="1"/>
    </xf>
    <xf numFmtId="170" fontId="19" fillId="0" borderId="1" xfId="3" applyNumberFormat="1" applyFont="1" applyBorder="1" applyAlignment="1">
      <alignment horizontal="center" vertical="center" wrapText="1"/>
    </xf>
    <xf numFmtId="10" fontId="8" fillId="0" borderId="1" xfId="3" applyNumberFormat="1" applyFont="1" applyBorder="1" applyAlignment="1">
      <alignment horizontal="center" vertical="center"/>
    </xf>
    <xf numFmtId="166" fontId="8" fillId="0" borderId="1" xfId="1" applyFont="1" applyBorder="1" applyAlignment="1">
      <alignment horizontal="center" vertical="center"/>
    </xf>
    <xf numFmtId="176" fontId="20" fillId="2" borderId="1" xfId="1" applyNumberFormat="1" applyFont="1" applyFill="1" applyBorder="1"/>
    <xf numFmtId="170" fontId="8" fillId="0" borderId="1" xfId="3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 wrapText="1"/>
    </xf>
    <xf numFmtId="179" fontId="0" fillId="0" borderId="1" xfId="7" applyNumberFormat="1" applyFont="1" applyBorder="1" applyAlignment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171" fontId="11" fillId="0" borderId="1" xfId="1" applyNumberFormat="1" applyFont="1" applyBorder="1" applyAlignment="1" applyProtection="1">
      <alignment horizontal="center" vertical="center" wrapText="1"/>
      <protection locked="0"/>
    </xf>
    <xf numFmtId="171" fontId="11" fillId="2" borderId="1" xfId="1" applyNumberFormat="1" applyFont="1" applyFill="1" applyBorder="1" applyAlignment="1">
      <alignment horizontal="center" vertical="center" wrapText="1"/>
    </xf>
    <xf numFmtId="14" fontId="14" fillId="0" borderId="0" xfId="0" applyNumberFormat="1" applyFont="1" applyAlignment="1" applyProtection="1">
      <alignment horizontal="center" vertical="center"/>
      <protection locked="0"/>
    </xf>
    <xf numFmtId="14" fontId="11" fillId="0" borderId="1" xfId="0" applyNumberFormat="1" applyFont="1" applyBorder="1" applyAlignment="1" applyProtection="1">
      <alignment horizontal="center" vertical="center"/>
      <protection locked="0"/>
    </xf>
    <xf numFmtId="14" fontId="11" fillId="0" borderId="1" xfId="0" applyNumberFormat="1" applyFont="1" applyBorder="1" applyAlignment="1">
      <alignment horizontal="center" vertical="center"/>
    </xf>
    <xf numFmtId="175" fontId="1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5" fillId="9" borderId="0" xfId="0" applyFont="1" applyFill="1" applyAlignment="1">
      <alignment horizontal="center" vertical="center"/>
    </xf>
    <xf numFmtId="0" fontId="0" fillId="9" borderId="0" xfId="0" applyFont="1" applyFill="1" applyAlignment="1"/>
    <xf numFmtId="0" fontId="22" fillId="8" borderId="20" xfId="0" applyFont="1" applyFill="1" applyBorder="1" applyAlignment="1">
      <alignment horizontal="center" vertical="center" wrapText="1"/>
    </xf>
    <xf numFmtId="0" fontId="22" fillId="8" borderId="21" xfId="0" applyFont="1" applyFill="1" applyBorder="1" applyAlignment="1">
      <alignment horizontal="center" vertical="center" wrapText="1"/>
    </xf>
    <xf numFmtId="49" fontId="22" fillId="8" borderId="21" xfId="0" applyNumberFormat="1" applyFont="1" applyFill="1" applyBorder="1" applyAlignment="1">
      <alignment horizontal="center" vertical="center" wrapText="1"/>
    </xf>
    <xf numFmtId="15" fontId="22" fillId="8" borderId="22" xfId="0" applyNumberFormat="1" applyFont="1" applyFill="1" applyBorder="1" applyAlignment="1">
      <alignment horizontal="center" vertical="center" wrapText="1"/>
    </xf>
    <xf numFmtId="14" fontId="22" fillId="8" borderId="23" xfId="0" applyNumberFormat="1" applyFont="1" applyFill="1" applyBorder="1" applyAlignment="1">
      <alignment horizontal="center" vertical="center" wrapText="1"/>
    </xf>
    <xf numFmtId="14" fontId="26" fillId="8" borderId="21" xfId="0" applyNumberFormat="1" applyFont="1" applyFill="1" applyBorder="1" applyAlignment="1">
      <alignment horizontal="center" vertical="center" wrapText="1"/>
    </xf>
    <xf numFmtId="14" fontId="22" fillId="8" borderId="21" xfId="0" applyNumberFormat="1" applyFont="1" applyFill="1" applyBorder="1" applyAlignment="1">
      <alignment horizontal="center" vertical="center" wrapText="1"/>
    </xf>
    <xf numFmtId="170" fontId="22" fillId="8" borderId="22" xfId="0" applyNumberFormat="1" applyFont="1" applyFill="1" applyBorder="1" applyAlignment="1">
      <alignment horizontal="center" vertical="center" wrapText="1"/>
    </xf>
    <xf numFmtId="181" fontId="22" fillId="8" borderId="21" xfId="0" applyNumberFormat="1" applyFont="1" applyFill="1" applyBorder="1" applyAlignment="1">
      <alignment horizontal="center" vertical="center" wrapText="1"/>
    </xf>
    <xf numFmtId="0" fontId="22" fillId="8" borderId="22" xfId="0" applyFont="1" applyFill="1" applyBorder="1" applyAlignment="1">
      <alignment horizontal="center" vertical="center" wrapText="1"/>
    </xf>
    <xf numFmtId="14" fontId="22" fillId="8" borderId="20" xfId="0" applyNumberFormat="1" applyFont="1" applyFill="1" applyBorder="1" applyAlignment="1">
      <alignment horizontal="center" vertical="center" wrapText="1"/>
    </xf>
    <xf numFmtId="0" fontId="22" fillId="8" borderId="23" xfId="0" applyFont="1" applyFill="1" applyBorder="1" applyAlignment="1">
      <alignment horizontal="center" vertical="center" wrapText="1"/>
    </xf>
    <xf numFmtId="182" fontId="22" fillId="8" borderId="21" xfId="0" applyNumberFormat="1" applyFont="1" applyFill="1" applyBorder="1" applyAlignment="1">
      <alignment horizontal="center" vertical="center" wrapText="1"/>
    </xf>
    <xf numFmtId="15" fontId="22" fillId="8" borderId="21" xfId="0" applyNumberFormat="1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center"/>
    </xf>
    <xf numFmtId="0" fontId="28" fillId="0" borderId="21" xfId="0" applyFont="1" applyBorder="1" applyAlignment="1">
      <alignment horizontal="center"/>
    </xf>
    <xf numFmtId="0" fontId="29" fillId="0" borderId="21" xfId="0" applyFont="1" applyBorder="1" applyAlignment="1">
      <alignment horizontal="center"/>
    </xf>
    <xf numFmtId="14" fontId="28" fillId="0" borderId="21" xfId="0" applyNumberFormat="1" applyFont="1" applyBorder="1" applyAlignment="1">
      <alignment horizontal="center"/>
    </xf>
    <xf numFmtId="14" fontId="29" fillId="0" borderId="21" xfId="0" applyNumberFormat="1" applyFont="1" applyBorder="1" applyAlignment="1">
      <alignment horizontal="center"/>
    </xf>
    <xf numFmtId="164" fontId="28" fillId="0" borderId="21" xfId="0" applyNumberFormat="1" applyFont="1" applyBorder="1" applyAlignment="1">
      <alignment horizontal="right"/>
    </xf>
    <xf numFmtId="0" fontId="29" fillId="0" borderId="21" xfId="0" applyFont="1" applyFill="1" applyBorder="1" applyAlignment="1">
      <alignment horizontal="center"/>
    </xf>
    <xf numFmtId="0" fontId="27" fillId="0" borderId="21" xfId="0" applyFont="1" applyFill="1" applyBorder="1" applyAlignment="1">
      <alignment horizontal="center"/>
    </xf>
    <xf numFmtId="0" fontId="28" fillId="0" borderId="21" xfId="0" applyFont="1" applyBorder="1" applyAlignment="1">
      <alignment horizontal="left"/>
    </xf>
    <xf numFmtId="0" fontId="30" fillId="0" borderId="21" xfId="0" applyFont="1" applyBorder="1" applyAlignment="1">
      <alignment horizontal="center" vertical="center" wrapText="1"/>
    </xf>
    <xf numFmtId="0" fontId="31" fillId="0" borderId="0" xfId="0" applyFont="1" applyAlignment="1">
      <alignment horizontal="left" wrapText="1"/>
    </xf>
    <xf numFmtId="0" fontId="25" fillId="0" borderId="0" xfId="0" applyFont="1" applyAlignment="1">
      <alignment horizontal="center" vertical="center"/>
    </xf>
    <xf numFmtId="0" fontId="0" fillId="0" borderId="0" xfId="0" applyFont="1" applyAlignment="1"/>
    <xf numFmtId="0" fontId="17" fillId="4" borderId="1" xfId="0" applyFont="1" applyFill="1" applyBorder="1" applyAlignment="1">
      <alignment horizontal="center" vertical="center"/>
    </xf>
    <xf numFmtId="0" fontId="22" fillId="9" borderId="12" xfId="0" applyFont="1" applyFill="1" applyBorder="1" applyAlignment="1">
      <alignment horizontal="center" vertical="center" wrapText="1"/>
    </xf>
    <xf numFmtId="0" fontId="11" fillId="9" borderId="18" xfId="0" applyFont="1" applyFill="1" applyBorder="1"/>
    <xf numFmtId="0" fontId="21" fillId="9" borderId="17" xfId="0" applyFont="1" applyFill="1" applyBorder="1" applyAlignment="1">
      <alignment horizontal="center" vertical="center" wrapText="1"/>
    </xf>
    <xf numFmtId="0" fontId="24" fillId="9" borderId="24" xfId="0" applyFont="1" applyFill="1" applyBorder="1"/>
    <xf numFmtId="0" fontId="22" fillId="8" borderId="14" xfId="0" applyFont="1" applyFill="1" applyBorder="1" applyAlignment="1">
      <alignment horizontal="center" vertical="center" wrapText="1"/>
    </xf>
    <xf numFmtId="0" fontId="11" fillId="9" borderId="14" xfId="0" applyFont="1" applyFill="1" applyBorder="1"/>
    <xf numFmtId="0" fontId="11" fillId="9" borderId="15" xfId="0" applyFont="1" applyFill="1" applyBorder="1"/>
    <xf numFmtId="0" fontId="21" fillId="6" borderId="12" xfId="0" applyFont="1" applyFill="1" applyBorder="1" applyAlignment="1">
      <alignment horizontal="center" vertical="center" wrapText="1"/>
    </xf>
    <xf numFmtId="0" fontId="24" fillId="9" borderId="18" xfId="0" applyFont="1" applyFill="1" applyBorder="1"/>
    <xf numFmtId="0" fontId="22" fillId="7" borderId="13" xfId="0" applyFont="1" applyFill="1" applyBorder="1" applyAlignment="1">
      <alignment horizontal="center" vertical="center" wrapText="1"/>
    </xf>
    <xf numFmtId="0" fontId="11" fillId="9" borderId="19" xfId="0" applyFont="1" applyFill="1" applyBorder="1"/>
    <xf numFmtId="0" fontId="23" fillId="8" borderId="16" xfId="0" applyFont="1" applyFill="1" applyBorder="1" applyAlignment="1">
      <alignment horizontal="center" vertical="center" wrapText="1"/>
    </xf>
    <xf numFmtId="0" fontId="24" fillId="9" borderId="14" xfId="0" applyFont="1" applyFill="1" applyBorder="1"/>
    <xf numFmtId="0" fontId="24" fillId="9" borderId="15" xfId="0" applyFont="1" applyFill="1" applyBorder="1"/>
    <xf numFmtId="0" fontId="21" fillId="8" borderId="16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4" applyFont="1" applyBorder="1" applyAlignment="1">
      <alignment horizontal="center" vertical="center" wrapText="1"/>
    </xf>
    <xf numFmtId="0" fontId="19" fillId="0" borderId="9" xfId="4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2">
    <cellStyle name="Millares" xfId="6" builtinId="3"/>
    <cellStyle name="Millares [0]" xfId="8" builtinId="6"/>
    <cellStyle name="Moneda" xfId="1" builtinId="4"/>
    <cellStyle name="Moneda [0]" xfId="7" builtinId="7"/>
    <cellStyle name="Moneda 2" xfId="5"/>
    <cellStyle name="Moneda 2 2" xfId="11"/>
    <cellStyle name="Normal" xfId="0" builtinId="0"/>
    <cellStyle name="Normal 2" xfId="2"/>
    <cellStyle name="Normal 2 2" xfId="9"/>
    <cellStyle name="Normal 3" xfId="4"/>
    <cellStyle name="Normal 3 2" xfId="10"/>
    <cellStyle name="Porcentaje" xfId="3" builtinId="5"/>
  </cellStyles>
  <dxfs count="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o%20Londo&#241;o/Desktop/Verificacion%20informe%20SAMC-SI-034-2019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"/>
      <sheetName val="Cierre"/>
      <sheetName val="Capacidad Juridica"/>
      <sheetName val="Capacidad Financiera"/>
      <sheetName val="Experiencia"/>
      <sheetName val="Resumen Calificación"/>
      <sheetName val="SMML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workbookViewId="0">
      <selection activeCell="B4" sqref="B4"/>
    </sheetView>
  </sheetViews>
  <sheetFormatPr baseColWidth="10" defaultColWidth="11.42578125" defaultRowHeight="12.75" x14ac:dyDescent="0.2"/>
  <cols>
    <col min="1" max="1" width="57" style="5" customWidth="1"/>
    <col min="2" max="2" width="65.5703125" style="5" customWidth="1"/>
    <col min="3" max="3" width="39.7109375" style="5" bestFit="1" customWidth="1"/>
    <col min="4" max="4" width="15" style="7" bestFit="1" customWidth="1"/>
    <col min="5" max="5" width="15.5703125" style="20" bestFit="1" customWidth="1"/>
    <col min="6" max="6" width="11.42578125" style="5"/>
    <col min="7" max="7" width="7.85546875" style="5" customWidth="1"/>
    <col min="8" max="8" width="13.140625" style="5" bestFit="1" customWidth="1"/>
    <col min="9" max="10" width="11.42578125" style="5"/>
    <col min="11" max="11" width="17.5703125" style="5" customWidth="1"/>
    <col min="12" max="16384" width="11.42578125" style="5"/>
  </cols>
  <sheetData>
    <row r="1" spans="1:7" ht="15.75" x14ac:dyDescent="0.2">
      <c r="A1" s="152" t="s">
        <v>67</v>
      </c>
      <c r="B1" s="152"/>
    </row>
    <row r="2" spans="1:7" s="8" customFormat="1" ht="21.75" customHeight="1" x14ac:dyDescent="0.2">
      <c r="A2" s="27" t="s">
        <v>61</v>
      </c>
      <c r="B2" s="34" t="s">
        <v>116</v>
      </c>
      <c r="E2" s="9"/>
    </row>
    <row r="3" spans="1:7" ht="111" customHeight="1" x14ac:dyDescent="0.2">
      <c r="A3" s="27" t="s">
        <v>62</v>
      </c>
      <c r="B3" s="82" t="s">
        <v>115</v>
      </c>
      <c r="F3" s="7"/>
      <c r="G3" s="21"/>
    </row>
    <row r="4" spans="1:7" x14ac:dyDescent="0.2">
      <c r="A4" s="27" t="s">
        <v>106</v>
      </c>
      <c r="B4" s="26">
        <v>530217743</v>
      </c>
      <c r="C4" s="33"/>
      <c r="D4" s="92"/>
      <c r="F4" s="7"/>
      <c r="G4" s="21"/>
    </row>
    <row r="5" spans="1:7" x14ac:dyDescent="0.2">
      <c r="A5" s="27" t="s">
        <v>107</v>
      </c>
      <c r="B5" s="31">
        <v>1.5</v>
      </c>
      <c r="D5" s="93"/>
      <c r="F5" s="7"/>
      <c r="G5" s="21"/>
    </row>
    <row r="6" spans="1:7" x14ac:dyDescent="0.2">
      <c r="A6" s="27" t="s">
        <v>63</v>
      </c>
      <c r="B6" s="89">
        <v>43691</v>
      </c>
      <c r="F6" s="7"/>
      <c r="G6" s="21"/>
    </row>
    <row r="7" spans="1:7" x14ac:dyDescent="0.2">
      <c r="A7" s="27" t="s">
        <v>64</v>
      </c>
      <c r="B7" s="89">
        <v>43724</v>
      </c>
      <c r="F7" s="7"/>
      <c r="G7" s="21"/>
    </row>
    <row r="8" spans="1:7" x14ac:dyDescent="0.2">
      <c r="A8" s="8"/>
      <c r="F8" s="7"/>
      <c r="G8" s="21"/>
    </row>
    <row r="9" spans="1:7" ht="15.75" x14ac:dyDescent="0.2">
      <c r="A9" s="152" t="s">
        <v>68</v>
      </c>
      <c r="B9" s="152"/>
    </row>
    <row r="10" spans="1:7" ht="37.5" customHeight="1" x14ac:dyDescent="0.2">
      <c r="A10" s="28" t="s">
        <v>109</v>
      </c>
      <c r="B10" s="95">
        <v>1.4</v>
      </c>
    </row>
    <row r="11" spans="1:7" ht="37.5" customHeight="1" x14ac:dyDescent="0.2">
      <c r="A11" s="28" t="s">
        <v>110</v>
      </c>
      <c r="B11" s="95">
        <v>0.68</v>
      </c>
    </row>
    <row r="12" spans="1:7" ht="36" customHeight="1" x14ac:dyDescent="0.2">
      <c r="A12" s="28" t="s">
        <v>69</v>
      </c>
      <c r="B12" s="95">
        <v>1</v>
      </c>
    </row>
    <row r="13" spans="1:7" ht="33.75" customHeight="1" x14ac:dyDescent="0.2">
      <c r="A13" s="28" t="s">
        <v>111</v>
      </c>
      <c r="B13" s="96">
        <f>B4*0.3</f>
        <v>159065322.90000001</v>
      </c>
    </row>
    <row r="14" spans="1:7" x14ac:dyDescent="0.2">
      <c r="A14" s="97"/>
      <c r="B14" s="98"/>
      <c r="F14" s="7"/>
      <c r="G14" s="21"/>
    </row>
    <row r="15" spans="1:7" ht="15.75" x14ac:dyDescent="0.2">
      <c r="A15" s="152" t="s">
        <v>99</v>
      </c>
      <c r="B15" s="152"/>
    </row>
    <row r="16" spans="1:7" ht="37.5" customHeight="1" x14ac:dyDescent="0.2">
      <c r="A16" s="28" t="s">
        <v>112</v>
      </c>
      <c r="B16" s="99">
        <v>0.03</v>
      </c>
    </row>
    <row r="17" spans="1:2" ht="35.25" customHeight="1" x14ac:dyDescent="0.2">
      <c r="A17" s="28" t="s">
        <v>108</v>
      </c>
      <c r="B17" s="99">
        <v>0.01</v>
      </c>
    </row>
    <row r="18" spans="1:2" ht="35.25" customHeight="1" x14ac:dyDescent="0.2">
      <c r="A18" s="90"/>
      <c r="B18" s="91"/>
    </row>
    <row r="19" spans="1:2" ht="35.25" customHeight="1" x14ac:dyDescent="0.2">
      <c r="A19" s="90" t="s">
        <v>122</v>
      </c>
      <c r="B19" s="94">
        <v>424174194.39999998</v>
      </c>
    </row>
    <row r="21" spans="1:2" ht="15.75" x14ac:dyDescent="0.2">
      <c r="A21" s="152" t="s">
        <v>100</v>
      </c>
      <c r="B21" s="152"/>
    </row>
    <row r="22" spans="1:2" x14ac:dyDescent="0.2">
      <c r="A22" s="28" t="s">
        <v>78</v>
      </c>
      <c r="B22" s="32">
        <f>B4/828116</f>
        <v>640.26989334827488</v>
      </c>
    </row>
    <row r="23" spans="1:2" x14ac:dyDescent="0.2">
      <c r="A23" s="29" t="s">
        <v>98</v>
      </c>
      <c r="B23" s="32">
        <f>+B22/4</f>
        <v>160.06747333706872</v>
      </c>
    </row>
  </sheetData>
  <mergeCells count="4">
    <mergeCell ref="A1:B1"/>
    <mergeCell ref="A9:B9"/>
    <mergeCell ref="A21:B21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view="pageBreakPreview" zoomScale="90" zoomScaleNormal="80" zoomScaleSheetLayoutView="90" workbookViewId="0">
      <pane xSplit="2" ySplit="1" topLeftCell="E2" activePane="bottomRight" state="frozenSplit"/>
      <selection activeCell="K16" sqref="K16"/>
      <selection pane="topRight" activeCell="K16" sqref="K16"/>
      <selection pane="bottomLeft" activeCell="K16" sqref="K16"/>
      <selection pane="bottomRight" activeCell="L2" sqref="L2"/>
    </sheetView>
  </sheetViews>
  <sheetFormatPr baseColWidth="10" defaultColWidth="11.42578125" defaultRowHeight="12.75" x14ac:dyDescent="0.2"/>
  <cols>
    <col min="1" max="1" width="7" style="7" customWidth="1"/>
    <col min="2" max="3" width="40.7109375" style="6" bestFit="1" customWidth="1"/>
    <col min="4" max="4" width="37" style="6" bestFit="1" customWidth="1"/>
    <col min="5" max="5" width="8.5703125" style="19" bestFit="1" customWidth="1"/>
    <col min="6" max="6" width="30.5703125" style="36" bestFit="1" customWidth="1"/>
    <col min="7" max="7" width="21" style="37" bestFit="1" customWidth="1"/>
    <col min="8" max="8" width="17.85546875" style="37" bestFit="1" customWidth="1"/>
    <col min="9" max="9" width="13.7109375" style="7" customWidth="1"/>
    <col min="10" max="10" width="13.42578125" style="8" customWidth="1"/>
    <col min="11" max="11" width="10.7109375" style="6" bestFit="1" customWidth="1"/>
    <col min="12" max="12" width="16" style="6" bestFit="1" customWidth="1"/>
    <col min="13" max="16384" width="11.42578125" style="6"/>
  </cols>
  <sheetData>
    <row r="1" spans="1:12" s="87" customFormat="1" ht="39" customHeight="1" x14ac:dyDescent="0.2">
      <c r="A1" s="83" t="s">
        <v>0</v>
      </c>
      <c r="B1" s="84" t="s">
        <v>1</v>
      </c>
      <c r="C1" s="84" t="s">
        <v>6</v>
      </c>
      <c r="D1" s="84" t="s">
        <v>28</v>
      </c>
      <c r="E1" s="84" t="s">
        <v>27</v>
      </c>
      <c r="F1" s="84" t="s">
        <v>19</v>
      </c>
      <c r="G1" s="84" t="s">
        <v>20</v>
      </c>
      <c r="H1" s="85" t="s">
        <v>84</v>
      </c>
      <c r="I1" s="86" t="s">
        <v>21</v>
      </c>
      <c r="J1" s="86" t="s">
        <v>22</v>
      </c>
      <c r="K1" s="86" t="s">
        <v>83</v>
      </c>
      <c r="L1" s="86" t="s">
        <v>54</v>
      </c>
    </row>
    <row r="2" spans="1:12" s="7" customFormat="1" ht="30.75" customHeight="1" x14ac:dyDescent="0.2">
      <c r="A2" s="74">
        <v>1</v>
      </c>
      <c r="B2" s="82" t="s">
        <v>118</v>
      </c>
      <c r="C2" s="82" t="s">
        <v>117</v>
      </c>
      <c r="D2" s="73" t="s">
        <v>89</v>
      </c>
      <c r="E2" s="35">
        <v>1</v>
      </c>
      <c r="F2" s="82" t="s">
        <v>119</v>
      </c>
      <c r="G2" s="73" t="s">
        <v>120</v>
      </c>
      <c r="H2" s="110">
        <v>53021774.299999997</v>
      </c>
      <c r="I2" s="72">
        <v>43712</v>
      </c>
      <c r="J2" s="72">
        <v>43813</v>
      </c>
      <c r="K2" s="73" t="s">
        <v>105</v>
      </c>
      <c r="L2" s="82"/>
    </row>
    <row r="3" spans="1:12" ht="18" customHeight="1" x14ac:dyDescent="0.2"/>
    <row r="4" spans="1:12" ht="18" customHeight="1" x14ac:dyDescent="0.2"/>
  </sheetData>
  <autoFilter ref="B1:J2"/>
  <printOptions horizontalCentered="1"/>
  <pageMargins left="0.39370078740157483" right="0.39370078740157483" top="0.39370078740157483" bottom="0.39370078740157483" header="0.31496062992125984" footer="0.31496062992125984"/>
  <pageSetup paperSize="7" scale="36" fitToHeight="6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3"/>
  <sheetViews>
    <sheetView zoomScale="80" zoomScaleNormal="80" workbookViewId="0">
      <pane xSplit="2" ySplit="2" topLeftCell="AV3" activePane="bottomRight" state="frozenSplit"/>
      <selection activeCell="K16" sqref="K16"/>
      <selection pane="topRight" activeCell="K16" sqref="K16"/>
      <selection pane="bottomLeft" activeCell="K16" sqref="K16"/>
      <selection pane="bottomRight" activeCell="BL2" sqref="BL2"/>
    </sheetView>
  </sheetViews>
  <sheetFormatPr baseColWidth="10" defaultColWidth="11.42578125" defaultRowHeight="11.25" x14ac:dyDescent="0.2"/>
  <cols>
    <col min="1" max="1" width="5.42578125" style="1" bestFit="1" customWidth="1"/>
    <col min="2" max="2" width="37.7109375" style="48" bestFit="1" customWidth="1"/>
    <col min="3" max="3" width="14.42578125" style="1" bestFit="1" customWidth="1"/>
    <col min="4" max="4" width="36" style="47" customWidth="1"/>
    <col min="5" max="5" width="31.5703125" style="47" bestFit="1" customWidth="1"/>
    <col min="6" max="6" width="21.42578125" style="1" customWidth="1"/>
    <col min="7" max="7" width="18.140625" style="1" customWidth="1"/>
    <col min="8" max="8" width="18.7109375" style="4" customWidth="1"/>
    <col min="9" max="9" width="12.28515625" style="1" bestFit="1" customWidth="1"/>
    <col min="10" max="10" width="8.85546875" style="1" bestFit="1" customWidth="1"/>
    <col min="11" max="11" width="12" style="1" bestFit="1" customWidth="1"/>
    <col min="12" max="12" width="61.42578125" style="47" bestFit="1" customWidth="1"/>
    <col min="13" max="13" width="18" style="3" customWidth="1"/>
    <col min="14" max="14" width="12.140625" style="1" customWidth="1"/>
    <col min="15" max="15" width="13.42578125" style="2" bestFit="1" customWidth="1"/>
    <col min="16" max="16" width="16.85546875" style="48" customWidth="1"/>
    <col min="17" max="17" width="12" style="1" customWidth="1"/>
    <col min="18" max="18" width="15.140625" style="2" customWidth="1"/>
    <col min="19" max="19" width="32.42578125" style="47" customWidth="1"/>
    <col min="20" max="20" width="19.85546875" style="17" customWidth="1"/>
    <col min="21" max="21" width="16.28515625" style="17" customWidth="1"/>
    <col min="22" max="22" width="11.7109375" style="1" customWidth="1"/>
    <col min="23" max="24" width="16.42578125" style="1" customWidth="1"/>
    <col min="25" max="25" width="13.5703125" style="1" customWidth="1"/>
    <col min="26" max="26" width="16.85546875" style="1" customWidth="1"/>
    <col min="27" max="27" width="13.5703125" style="1" bestFit="1" customWidth="1"/>
    <col min="28" max="28" width="37.7109375" style="47" bestFit="1" customWidth="1"/>
    <col min="29" max="29" width="30.7109375" style="48" bestFit="1" customWidth="1"/>
    <col min="30" max="30" width="24.7109375" style="1" customWidth="1"/>
    <col min="31" max="31" width="19" style="30" customWidth="1"/>
    <col min="32" max="32" width="12.42578125" style="4" customWidth="1"/>
    <col min="33" max="33" width="10.28515625" style="4" bestFit="1" customWidth="1"/>
    <col min="34" max="34" width="16.42578125" style="1" customWidth="1"/>
    <col min="35" max="35" width="23.140625" style="17" customWidth="1"/>
    <col min="36" max="36" width="22.5703125" style="17" customWidth="1"/>
    <col min="37" max="37" width="17.42578125" style="17" customWidth="1"/>
    <col min="38" max="38" width="17.28515625" style="17" customWidth="1"/>
    <col min="39" max="39" width="16.85546875" style="17" customWidth="1"/>
    <col min="40" max="40" width="15.5703125" style="17" bestFit="1" customWidth="1"/>
    <col min="41" max="41" width="16.140625" style="17" bestFit="1" customWidth="1"/>
    <col min="42" max="42" width="11.42578125" style="17" bestFit="1" customWidth="1"/>
    <col min="43" max="43" width="18.140625" style="17" bestFit="1" customWidth="1"/>
    <col min="44" max="44" width="17.28515625" style="17" customWidth="1"/>
    <col min="45" max="45" width="14" style="18" bestFit="1" customWidth="1"/>
    <col min="46" max="46" width="27.5703125" style="47" customWidth="1"/>
    <col min="47" max="47" width="11.42578125" style="1"/>
    <col min="48" max="48" width="14.42578125" style="1" customWidth="1"/>
    <col min="49" max="49" width="11.42578125" style="1"/>
    <col min="50" max="50" width="17.7109375" style="1" customWidth="1"/>
    <col min="51" max="16384" width="11.42578125" style="1"/>
  </cols>
  <sheetData>
    <row r="1" spans="1:70" s="121" customFormat="1" ht="36" customHeight="1" x14ac:dyDescent="0.2">
      <c r="A1" s="160" t="s">
        <v>0</v>
      </c>
      <c r="B1" s="162" t="s">
        <v>1</v>
      </c>
      <c r="C1" s="157" t="s">
        <v>2</v>
      </c>
      <c r="D1" s="158"/>
      <c r="E1" s="158"/>
      <c r="F1" s="158"/>
      <c r="G1" s="158"/>
      <c r="H1" s="159"/>
      <c r="I1" s="164" t="s">
        <v>24</v>
      </c>
      <c r="J1" s="165"/>
      <c r="K1" s="165"/>
      <c r="L1" s="165"/>
      <c r="M1" s="166"/>
      <c r="N1" s="167" t="s">
        <v>3</v>
      </c>
      <c r="O1" s="165"/>
      <c r="P1" s="165"/>
      <c r="Q1" s="165"/>
      <c r="R1" s="165"/>
      <c r="S1" s="165"/>
      <c r="T1" s="165"/>
      <c r="U1" s="166"/>
      <c r="V1" s="167" t="s">
        <v>70</v>
      </c>
      <c r="W1" s="165"/>
      <c r="X1" s="165"/>
      <c r="Y1" s="165"/>
      <c r="Z1" s="165"/>
      <c r="AA1" s="166"/>
      <c r="AB1" s="167" t="s">
        <v>4</v>
      </c>
      <c r="AC1" s="165"/>
      <c r="AD1" s="165"/>
      <c r="AE1" s="165"/>
      <c r="AF1" s="165"/>
      <c r="AG1" s="165"/>
      <c r="AH1" s="165"/>
      <c r="AI1" s="166"/>
      <c r="AJ1" s="167" t="s">
        <v>71</v>
      </c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53" t="s">
        <v>126</v>
      </c>
      <c r="AX1" s="155" t="s">
        <v>60</v>
      </c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  <c r="BP1" s="120"/>
      <c r="BQ1" s="120"/>
      <c r="BR1" s="120"/>
    </row>
    <row r="2" spans="1:70" s="121" customFormat="1" ht="105" customHeight="1" x14ac:dyDescent="0.2">
      <c r="A2" s="161"/>
      <c r="B2" s="163"/>
      <c r="C2" s="122" t="s">
        <v>102</v>
      </c>
      <c r="D2" s="123" t="s">
        <v>6</v>
      </c>
      <c r="E2" s="123" t="s">
        <v>127</v>
      </c>
      <c r="F2" s="124" t="s">
        <v>128</v>
      </c>
      <c r="G2" s="123" t="s">
        <v>129</v>
      </c>
      <c r="H2" s="125" t="s">
        <v>101</v>
      </c>
      <c r="I2" s="126" t="s">
        <v>5</v>
      </c>
      <c r="J2" s="127" t="s">
        <v>130</v>
      </c>
      <c r="K2" s="128" t="s">
        <v>131</v>
      </c>
      <c r="L2" s="123" t="s">
        <v>132</v>
      </c>
      <c r="M2" s="129" t="s">
        <v>133</v>
      </c>
      <c r="N2" s="126" t="s">
        <v>5</v>
      </c>
      <c r="O2" s="130" t="s">
        <v>134</v>
      </c>
      <c r="P2" s="128" t="s">
        <v>9</v>
      </c>
      <c r="Q2" s="128" t="s">
        <v>23</v>
      </c>
      <c r="R2" s="130" t="s">
        <v>135</v>
      </c>
      <c r="S2" s="123" t="s">
        <v>6</v>
      </c>
      <c r="T2" s="123" t="s">
        <v>10</v>
      </c>
      <c r="U2" s="131" t="s">
        <v>11</v>
      </c>
      <c r="V2" s="126" t="s">
        <v>136</v>
      </c>
      <c r="W2" s="132" t="s">
        <v>137</v>
      </c>
      <c r="X2" s="130" t="s">
        <v>8</v>
      </c>
      <c r="Y2" s="128" t="s">
        <v>26</v>
      </c>
      <c r="Z2" s="128" t="s">
        <v>85</v>
      </c>
      <c r="AA2" s="131" t="s">
        <v>82</v>
      </c>
      <c r="AB2" s="133" t="s">
        <v>12</v>
      </c>
      <c r="AC2" s="123" t="s">
        <v>13</v>
      </c>
      <c r="AD2" s="123" t="s">
        <v>14</v>
      </c>
      <c r="AE2" s="123" t="s">
        <v>15</v>
      </c>
      <c r="AF2" s="134" t="s">
        <v>138</v>
      </c>
      <c r="AG2" s="135" t="s">
        <v>139</v>
      </c>
      <c r="AH2" s="135" t="s">
        <v>140</v>
      </c>
      <c r="AI2" s="131" t="s">
        <v>58</v>
      </c>
      <c r="AJ2" s="133" t="s">
        <v>16</v>
      </c>
      <c r="AK2" s="123" t="s">
        <v>17</v>
      </c>
      <c r="AL2" s="123" t="s">
        <v>25</v>
      </c>
      <c r="AM2" s="123" t="s">
        <v>141</v>
      </c>
      <c r="AN2" s="123" t="s">
        <v>77</v>
      </c>
      <c r="AO2" s="123" t="s">
        <v>142</v>
      </c>
      <c r="AP2" s="136" t="s">
        <v>143</v>
      </c>
      <c r="AQ2" s="137" t="s">
        <v>144</v>
      </c>
      <c r="AR2" s="123" t="s">
        <v>145</v>
      </c>
      <c r="AS2" s="123" t="s">
        <v>146</v>
      </c>
      <c r="AT2" s="123" t="s">
        <v>147</v>
      </c>
      <c r="AU2" s="123" t="s">
        <v>80</v>
      </c>
      <c r="AV2" s="131" t="s">
        <v>81</v>
      </c>
      <c r="AW2" s="154"/>
      <c r="AX2" s="156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</row>
    <row r="3" spans="1:70" s="151" customFormat="1" ht="31.5" customHeight="1" x14ac:dyDescent="0.25">
      <c r="A3" s="139">
        <v>1</v>
      </c>
      <c r="B3" s="139" t="s">
        <v>148</v>
      </c>
      <c r="C3" s="140" t="s">
        <v>88</v>
      </c>
      <c r="D3" s="141" t="s">
        <v>149</v>
      </c>
      <c r="E3" s="141" t="s">
        <v>150</v>
      </c>
      <c r="F3" s="141" t="s">
        <v>151</v>
      </c>
      <c r="G3" s="141" t="s">
        <v>136</v>
      </c>
      <c r="H3" s="141" t="s">
        <v>152</v>
      </c>
      <c r="I3" s="140" t="s">
        <v>89</v>
      </c>
      <c r="J3" s="140" t="s">
        <v>89</v>
      </c>
      <c r="K3" s="140" t="s">
        <v>89</v>
      </c>
      <c r="L3" s="140" t="s">
        <v>89</v>
      </c>
      <c r="M3" s="140" t="s">
        <v>89</v>
      </c>
      <c r="N3" s="141" t="s">
        <v>86</v>
      </c>
      <c r="O3" s="143">
        <v>43692</v>
      </c>
      <c r="P3" s="141" t="s">
        <v>153</v>
      </c>
      <c r="Q3" s="141" t="s">
        <v>154</v>
      </c>
      <c r="R3" s="141" t="s">
        <v>155</v>
      </c>
      <c r="S3" s="141" t="s">
        <v>149</v>
      </c>
      <c r="T3" s="140" t="s">
        <v>89</v>
      </c>
      <c r="U3" s="140" t="s">
        <v>89</v>
      </c>
      <c r="V3" s="140" t="s">
        <v>88</v>
      </c>
      <c r="W3" s="140" t="s">
        <v>88</v>
      </c>
      <c r="X3" s="142">
        <v>43692</v>
      </c>
      <c r="Y3" s="39" t="s">
        <v>156</v>
      </c>
      <c r="Z3" s="143" t="s">
        <v>157</v>
      </c>
      <c r="AA3" s="140" t="s">
        <v>88</v>
      </c>
      <c r="AB3" s="140" t="s">
        <v>88</v>
      </c>
      <c r="AC3" s="141" t="s">
        <v>158</v>
      </c>
      <c r="AD3" s="141" t="s">
        <v>159</v>
      </c>
      <c r="AE3" s="141" t="s">
        <v>120</v>
      </c>
      <c r="AF3" s="144">
        <v>53021774</v>
      </c>
      <c r="AG3" s="142">
        <v>43712</v>
      </c>
      <c r="AH3" s="142">
        <v>43813</v>
      </c>
      <c r="AI3" s="140" t="s">
        <v>88</v>
      </c>
      <c r="AJ3" s="140" t="s">
        <v>88</v>
      </c>
      <c r="AK3" s="140" t="s">
        <v>88</v>
      </c>
      <c r="AL3" s="140" t="s">
        <v>88</v>
      </c>
      <c r="AM3" s="140" t="s">
        <v>88</v>
      </c>
      <c r="AN3" s="140" t="s">
        <v>88</v>
      </c>
      <c r="AO3" s="140" t="s">
        <v>88</v>
      </c>
      <c r="AP3" s="145" t="s">
        <v>90</v>
      </c>
      <c r="AQ3" s="140" t="s">
        <v>88</v>
      </c>
      <c r="AR3" s="140" t="s">
        <v>88</v>
      </c>
      <c r="AS3" s="140" t="s">
        <v>88</v>
      </c>
      <c r="AT3" s="140" t="s">
        <v>88</v>
      </c>
      <c r="AU3" s="140" t="s">
        <v>88</v>
      </c>
      <c r="AV3" s="140" t="s">
        <v>88</v>
      </c>
      <c r="AW3" s="146" t="s">
        <v>160</v>
      </c>
      <c r="AX3" s="147"/>
      <c r="AY3" s="148"/>
      <c r="AZ3" s="148"/>
      <c r="BA3" s="149"/>
      <c r="BB3" s="150"/>
      <c r="BC3" s="150"/>
      <c r="BD3" s="150"/>
      <c r="BE3" s="150"/>
      <c r="BF3" s="150"/>
      <c r="BG3" s="150"/>
      <c r="BH3" s="150"/>
      <c r="BI3" s="150"/>
      <c r="BJ3" s="150"/>
      <c r="BK3" s="150"/>
      <c r="BL3" s="150"/>
      <c r="BM3" s="150"/>
      <c r="BN3" s="150"/>
      <c r="BO3" s="150"/>
      <c r="BP3" s="150"/>
      <c r="BQ3" s="150"/>
      <c r="BR3" s="150"/>
    </row>
    <row r="4" spans="1:70" x14ac:dyDescent="0.2">
      <c r="K4" s="39"/>
      <c r="Y4" s="39"/>
      <c r="AO4" s="39"/>
      <c r="AP4" s="39"/>
    </row>
    <row r="5" spans="1:70" x14ac:dyDescent="0.2">
      <c r="K5" s="39"/>
      <c r="Y5" s="39"/>
      <c r="AO5" s="39"/>
      <c r="AP5" s="39"/>
    </row>
    <row r="6" spans="1:70" x14ac:dyDescent="0.2">
      <c r="K6" s="39"/>
      <c r="Y6" s="39"/>
      <c r="AO6" s="39"/>
      <c r="AP6" s="39"/>
    </row>
    <row r="7" spans="1:70" x14ac:dyDescent="0.2">
      <c r="K7" s="39"/>
      <c r="Y7" s="39"/>
      <c r="AO7" s="39"/>
      <c r="AP7" s="39"/>
    </row>
    <row r="8" spans="1:70" x14ac:dyDescent="0.2">
      <c r="K8" s="39"/>
      <c r="Y8" s="39"/>
      <c r="AO8" s="39"/>
      <c r="AP8" s="39"/>
    </row>
    <row r="9" spans="1:70" x14ac:dyDescent="0.2">
      <c r="K9" s="39"/>
      <c r="Y9" s="39"/>
      <c r="AO9" s="39"/>
      <c r="AP9" s="39"/>
    </row>
    <row r="10" spans="1:70" x14ac:dyDescent="0.2">
      <c r="K10" s="39"/>
      <c r="Y10" s="39"/>
      <c r="AO10" s="39"/>
      <c r="AP10" s="39"/>
    </row>
    <row r="11" spans="1:70" x14ac:dyDescent="0.2">
      <c r="K11" s="39"/>
      <c r="Y11" s="39"/>
      <c r="AO11" s="39"/>
      <c r="AP11" s="39"/>
    </row>
    <row r="12" spans="1:70" x14ac:dyDescent="0.2">
      <c r="K12" s="39"/>
      <c r="Y12" s="39"/>
      <c r="AO12" s="39"/>
      <c r="AP12" s="39"/>
    </row>
    <row r="13" spans="1:70" x14ac:dyDescent="0.2">
      <c r="K13" s="39"/>
      <c r="Y13" s="39"/>
      <c r="AO13" s="39"/>
      <c r="AP13" s="39"/>
    </row>
    <row r="14" spans="1:70" x14ac:dyDescent="0.2">
      <c r="K14" s="39"/>
      <c r="Y14" s="39"/>
      <c r="AO14" s="39"/>
      <c r="AP14" s="39"/>
    </row>
    <row r="15" spans="1:70" x14ac:dyDescent="0.2">
      <c r="K15" s="39"/>
      <c r="Y15" s="39"/>
      <c r="AO15" s="39"/>
      <c r="AP15" s="39"/>
    </row>
    <row r="16" spans="1:70" x14ac:dyDescent="0.2">
      <c r="K16" s="39"/>
      <c r="Y16" s="39"/>
      <c r="AO16" s="39"/>
      <c r="AP16" s="39"/>
    </row>
    <row r="17" spans="11:42" x14ac:dyDescent="0.2">
      <c r="K17" s="39"/>
      <c r="Y17" s="39"/>
      <c r="AO17" s="39"/>
      <c r="AP17" s="39"/>
    </row>
    <row r="18" spans="11:42" x14ac:dyDescent="0.2">
      <c r="K18" s="39"/>
      <c r="Y18" s="39"/>
      <c r="AO18" s="39"/>
      <c r="AP18" s="39"/>
    </row>
    <row r="19" spans="11:42" x14ac:dyDescent="0.2">
      <c r="K19" s="39"/>
      <c r="Y19" s="39"/>
      <c r="AO19" s="39"/>
      <c r="AP19" s="39"/>
    </row>
    <row r="20" spans="11:42" x14ac:dyDescent="0.2">
      <c r="K20" s="39"/>
      <c r="Y20" s="39"/>
      <c r="AO20" s="39"/>
      <c r="AP20" s="39"/>
    </row>
    <row r="21" spans="11:42" x14ac:dyDescent="0.2">
      <c r="K21" s="39"/>
    </row>
    <row r="22" spans="11:42" x14ac:dyDescent="0.2">
      <c r="K22" s="39"/>
    </row>
    <row r="23" spans="11:42" x14ac:dyDescent="0.2">
      <c r="K23" s="39"/>
    </row>
  </sheetData>
  <mergeCells count="10">
    <mergeCell ref="AW1:AW2"/>
    <mergeCell ref="AX1:AX2"/>
    <mergeCell ref="C1:H1"/>
    <mergeCell ref="A1:A2"/>
    <mergeCell ref="B1:B2"/>
    <mergeCell ref="I1:M1"/>
    <mergeCell ref="N1:U1"/>
    <mergeCell ref="V1:AA1"/>
    <mergeCell ref="AB1:AI1"/>
    <mergeCell ref="AJ1:AV1"/>
  </mergeCells>
  <phoneticPr fontId="4" type="noConversion"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62" operator="lessThan" id="{E9BCE229-9927-4E7A-9CBB-F181EC79FB75}">
            <xm:f>Información!$B$4*0.1</xm:f>
            <x14:dxf>
              <font>
                <color rgb="FF9C0006"/>
              </font>
              <fill>
                <patternFill>
                  <bgColor rgb="FFFF0000"/>
                </patternFill>
              </fill>
            </x14:dxf>
          </x14:cfRule>
          <xm:sqref>AE3</xm:sqref>
        </x14:conditionalFormatting>
        <x14:conditionalFormatting xmlns:xm="http://schemas.microsoft.com/office/excel/2006/main">
          <x14:cfRule type="cellIs" priority="425" operator="lessThan" id="{9F78E73B-801D-4CF3-972F-4C1A52A3B6AE}">
            <xm:f>Información!$B$7</xm:f>
            <x14:dxf>
              <fill>
                <patternFill>
                  <bgColor rgb="FFFF0000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ontainsText" priority="422" operator="containsText" id="{88EC03BB-9169-412C-9806-1C1006974E83}">
            <xm:f>NOT(ISERROR(SEARCH(SMMLV!$A$55,AI3)))</xm:f>
            <xm:f>SMMLV!$A$55</xm:f>
            <x14:dxf>
              <fill>
                <patternFill>
                  <bgColor rgb="FFFF0000"/>
                </patternFill>
              </fill>
            </x14:dxf>
          </x14:cfRule>
          <xm:sqref>AI3:AR3</xm:sqref>
        </x14:conditionalFormatting>
        <x14:conditionalFormatting xmlns:xm="http://schemas.microsoft.com/office/excel/2006/main">
          <x14:cfRule type="containsText" priority="410" operator="containsText" id="{6FF2F52A-4FDE-4499-8E94-29FB0751AD84}">
            <xm:f>NOT(ISERROR(SEARCH(SMMLV!$A$44,AH3)))</xm:f>
            <xm:f>SMMLV!$A$44</xm:f>
            <x14:dxf>
              <fill>
                <patternFill>
                  <bgColor rgb="FFFF0000"/>
                </patternFill>
              </fill>
            </x14:dxf>
          </x14:cfRule>
          <x14:cfRule type="containsText" priority="421" operator="containsText" id="{8271A45D-99B3-4719-B861-58D4FCFBA949}">
            <xm:f>NOT(ISERROR(SEARCH(SMMLV!$A$55,AH3)))</xm:f>
            <xm:f>SMMLV!$A$55</xm:f>
            <x14:dxf>
              <fill>
                <patternFill>
                  <bgColor rgb="FFFF0000"/>
                </patternFill>
              </fill>
            </x14:dxf>
          </x14:cfRule>
          <xm:sqref>AH3</xm:sqref>
        </x14:conditionalFormatting>
        <x14:conditionalFormatting xmlns:xm="http://schemas.microsoft.com/office/excel/2006/main">
          <x14:cfRule type="containsText" priority="420" operator="containsText" id="{7FD3BD34-CA69-401D-BF6E-3188C36367DF}">
            <xm:f>NOT(ISERROR(SEARCH(SMMLV!$A$44,AA3)))</xm:f>
            <xm:f>SMMLV!$A$44</xm:f>
            <x14:dxf>
              <fill>
                <patternFill>
                  <bgColor rgb="FFFF0000"/>
                </patternFill>
              </fill>
            </x14:dxf>
          </x14:cfRule>
          <xm:sqref>AA3</xm:sqref>
        </x14:conditionalFormatting>
        <x14:conditionalFormatting xmlns:xm="http://schemas.microsoft.com/office/excel/2006/main">
          <x14:cfRule type="containsText" priority="419" operator="containsText" id="{7D7CDE4D-ED05-4CE9-8033-5DA59D766967}">
            <xm:f>NOT(ISERROR(SEARCH(SMMLV!$A$44,X3)))</xm:f>
            <xm:f>SMMLV!$A$44</xm:f>
            <x14:dxf>
              <fill>
                <patternFill>
                  <bgColor rgb="FFFF0000"/>
                </patternFill>
              </fill>
            </x14:dxf>
          </x14:cfRule>
          <xm:sqref>X3</xm:sqref>
        </x14:conditionalFormatting>
        <x14:conditionalFormatting xmlns:xm="http://schemas.microsoft.com/office/excel/2006/main">
          <x14:cfRule type="containsText" priority="418" operator="containsText" id="{9B1A0BF3-54F9-4106-BBC5-5C203B72FA07}">
            <xm:f>NOT(ISERROR(SEARCH(SMMLV!$A$47,C3)))</xm:f>
            <xm:f>SMMLV!$A$47</xm:f>
            <x14:dxf>
              <fill>
                <patternFill>
                  <bgColor rgb="FFFF0000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ontainsText" priority="417" operator="containsText" id="{2CF756F6-164E-4E97-AD16-C18E67CD6540}">
            <xm:f>NOT(ISERROR(SEARCH(SMMLV!$A$44,I3)))</xm:f>
            <xm:f>SMMLV!$A$44</xm:f>
            <x14:dxf>
              <fill>
                <patternFill>
                  <bgColor rgb="FFFF0000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ontainsText" priority="416" operator="containsText" id="{CD921CEB-77F8-49F5-A429-CDA8DA714A8B}">
            <xm:f>NOT(ISERROR(SEARCH(SMMLV!$A$55,K3)))</xm:f>
            <xm:f>SMMLV!$A$55</xm:f>
            <x14:dxf>
              <fill>
                <patternFill>
                  <bgColor rgb="FFFF0000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containsText" priority="414" operator="containsText" id="{FF9ADB28-31CC-4113-BCF7-6B1716C6EB29}">
            <xm:f>NOT(ISERROR(SEARCH(SMMLV!$A$44,N3)))</xm:f>
            <xm:f>SMMLV!$A$44</xm:f>
            <x14:dxf>
              <fill>
                <patternFill>
                  <bgColor rgb="FFFF000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containsText" priority="413" operator="containsText" id="{D1B594B3-EBF2-4266-BD74-F310CF5175A4}">
            <xm:f>NOT(ISERROR(SEARCH(SMMLV!$A$44,V3)))</xm:f>
            <xm:f>SMMLV!$A$44</xm:f>
            <x14:dxf>
              <fill>
                <patternFill>
                  <bgColor rgb="FFFF0000"/>
                </patternFill>
              </fill>
            </x14:dxf>
          </x14:cfRule>
          <xm:sqref>V3</xm:sqref>
        </x14:conditionalFormatting>
        <x14:conditionalFormatting xmlns:xm="http://schemas.microsoft.com/office/excel/2006/main">
          <x14:cfRule type="containsText" priority="412" operator="containsText" id="{87B4A357-44EB-4409-B633-884FCAEC5B99}">
            <xm:f>NOT(ISERROR(SEARCH(SMMLV!$A$44,Z3)))</xm:f>
            <xm:f>SMMLV!$A$44</xm:f>
            <x14:dxf>
              <fill>
                <patternFill>
                  <bgColor rgb="FFFF0000"/>
                </patternFill>
              </fill>
            </x14:dxf>
          </x14:cfRule>
          <xm:sqref>Z3</xm:sqref>
        </x14:conditionalFormatting>
        <x14:conditionalFormatting xmlns:xm="http://schemas.microsoft.com/office/excel/2006/main">
          <x14:cfRule type="containsText" priority="411" operator="containsText" id="{57857348-C4F9-4108-9952-7F375C3DFDE5}">
            <xm:f>NOT(ISERROR(SEARCH(SMMLV!$A$44,X3)))</xm:f>
            <xm:f>SMMLV!$A$44</xm:f>
            <x14:dxf>
              <fill>
                <patternFill>
                  <bgColor rgb="FFFF0000"/>
                </patternFill>
              </fill>
            </x14:dxf>
          </x14:cfRule>
          <xm:sqref>X3 Z3</xm:sqref>
        </x14:conditionalFormatting>
        <x14:conditionalFormatting xmlns:xm="http://schemas.microsoft.com/office/excel/2006/main">
          <x14:cfRule type="containsText" priority="357" operator="containsText" id="{1CB64D82-C249-4350-A841-B926603B9C28}">
            <xm:f>NOT(ISERROR(SEARCH(SMMLV!$A$47,G3)))</xm:f>
            <xm:f>SMMLV!$A$47</xm:f>
            <x14:dxf>
              <fill>
                <patternFill>
                  <bgColor rgb="FFFF0000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ontainsText" priority="356" operator="containsText" id="{7063C463-F703-4016-897D-CFE60764B62A}">
            <xm:f>NOT(ISERROR(SEARCH(SMMLV!$A$62,AS3)))</xm:f>
            <xm:f>SMMLV!$A$62</xm:f>
            <x14:dxf>
              <fill>
                <patternFill>
                  <bgColor rgb="FFFF0000"/>
                </patternFill>
              </fill>
            </x14:dxf>
          </x14:cfRule>
          <xm:sqref>AS3</xm:sqref>
        </x14:conditionalFormatting>
        <x14:conditionalFormatting xmlns:xm="http://schemas.microsoft.com/office/excel/2006/main">
          <x14:cfRule type="cellIs" priority="345" operator="lessThan" id="{D11B6113-A6CD-443B-8CC8-CCA3262C4CCD}">
            <xm:f>Información!$B$7-30</xm:f>
            <x14:dxf>
              <fill>
                <patternFill>
                  <bgColor rgb="FFFF0000"/>
                </patternFill>
              </fill>
            </x14:dxf>
          </x14:cfRule>
          <xm:sqref>W3</xm:sqref>
        </x14:conditionalFormatting>
        <x14:conditionalFormatting xmlns:xm="http://schemas.microsoft.com/office/excel/2006/main">
          <x14:cfRule type="containsText" priority="3" operator="containsText" id="{0D49EAC9-59CE-4B58-9E56-437130D65669}">
            <xm:f>NOT(ISERROR(SEARCH(SMMLV!$A$44,O3)))</xm:f>
            <xm:f>SMMLV!$A$44</xm:f>
            <x14:dxf>
              <fill>
                <patternFill>
                  <bgColor rgb="FFFF0000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containsText" priority="1" operator="containsText" id="{54114BCE-3830-4423-A5DC-71CAA515B94C}">
            <xm:f>NOT(ISERROR(SEARCH(SMMLV!$A$44,AG3)))</xm:f>
            <xm:f>SMMLV!$A$44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D99E5997-34D8-4F90-B3F4-EDA774526BCA}">
            <xm:f>NOT(ISERROR(SEARCH(SMMLV!$A$55,AG3)))</xm:f>
            <xm:f>SMMLV!$A$55</xm:f>
            <x14:dxf>
              <fill>
                <patternFill>
                  <bgColor rgb="FFFF0000"/>
                </patternFill>
              </fill>
            </x14:dxf>
          </x14:cfRule>
          <xm:sqref>AG3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A3"/>
  <sheetViews>
    <sheetView zoomScale="80" zoomScaleNormal="80" workbookViewId="0">
      <pane xSplit="4" ySplit="2" topLeftCell="R3" activePane="bottomRight" state="frozenSplit"/>
      <selection activeCell="K16" sqref="K16"/>
      <selection pane="topRight" activeCell="K16" sqref="K16"/>
      <selection pane="bottomLeft" activeCell="K16" sqref="K16"/>
      <selection pane="bottomRight" activeCell="Z1" sqref="Z1"/>
    </sheetView>
  </sheetViews>
  <sheetFormatPr baseColWidth="10" defaultColWidth="11.42578125" defaultRowHeight="24.95" customHeight="1" x14ac:dyDescent="0.2"/>
  <cols>
    <col min="1" max="1" width="5.42578125" style="67" bestFit="1" customWidth="1"/>
    <col min="2" max="2" width="30.5703125" style="68" bestFit="1" customWidth="1"/>
    <col min="3" max="3" width="35" style="38" bestFit="1" customWidth="1"/>
    <col min="4" max="4" width="14.5703125" style="68" customWidth="1"/>
    <col min="5" max="5" width="15.85546875" style="68" customWidth="1"/>
    <col min="6" max="6" width="15.5703125" style="68" customWidth="1"/>
    <col min="7" max="7" width="16.5703125" style="68" customWidth="1"/>
    <col min="8" max="8" width="16.5703125" style="68" bestFit="1" customWidth="1"/>
    <col min="9" max="9" width="16.28515625" style="68" bestFit="1" customWidth="1"/>
    <col min="10" max="10" width="14.5703125" style="68" bestFit="1" customWidth="1"/>
    <col min="11" max="11" width="21.5703125" style="68" bestFit="1" customWidth="1"/>
    <col min="12" max="12" width="15" style="69" customWidth="1"/>
    <col min="13" max="13" width="18.5703125" style="67" customWidth="1"/>
    <col min="14" max="14" width="17.28515625" style="67" customWidth="1"/>
    <col min="15" max="15" width="21.5703125" style="67" bestFit="1" customWidth="1"/>
    <col min="16" max="16" width="21.5703125" style="67" customWidth="1"/>
    <col min="17" max="17" width="15.7109375" style="70" customWidth="1"/>
    <col min="18" max="18" width="15.5703125" style="70" customWidth="1"/>
    <col min="19" max="20" width="16.42578125" style="67" customWidth="1"/>
    <col min="21" max="21" width="15.140625" style="76" customWidth="1"/>
    <col min="22" max="22" width="16.5703125" style="76" customWidth="1"/>
    <col min="23" max="131" width="11.42578125" style="76"/>
    <col min="132" max="16384" width="11.42578125" style="67"/>
  </cols>
  <sheetData>
    <row r="1" spans="1:22" ht="24.95" customHeight="1" x14ac:dyDescent="0.2">
      <c r="A1" s="171" t="s">
        <v>0</v>
      </c>
      <c r="B1" s="173" t="s">
        <v>161</v>
      </c>
      <c r="C1" s="173" t="s">
        <v>162</v>
      </c>
      <c r="D1" s="174" t="s">
        <v>163</v>
      </c>
      <c r="E1" s="177" t="s">
        <v>164</v>
      </c>
      <c r="F1" s="178"/>
      <c r="G1" s="178"/>
      <c r="H1" s="178"/>
      <c r="I1" s="178"/>
      <c r="J1" s="179"/>
      <c r="K1" s="176" t="s">
        <v>41</v>
      </c>
      <c r="L1" s="176"/>
      <c r="M1" s="176"/>
      <c r="N1" s="176"/>
      <c r="O1" s="176"/>
      <c r="P1" s="168" t="s">
        <v>121</v>
      </c>
      <c r="Q1" s="170" t="s">
        <v>42</v>
      </c>
      <c r="R1" s="170"/>
      <c r="S1" s="170" t="s">
        <v>165</v>
      </c>
      <c r="T1" s="168" t="s">
        <v>121</v>
      </c>
      <c r="U1" s="170" t="s">
        <v>41</v>
      </c>
      <c r="V1" s="170" t="s">
        <v>42</v>
      </c>
    </row>
    <row r="2" spans="1:22" ht="40.5" customHeight="1" x14ac:dyDescent="0.2">
      <c r="A2" s="172"/>
      <c r="B2" s="170"/>
      <c r="C2" s="170"/>
      <c r="D2" s="175"/>
      <c r="E2" s="80" t="s">
        <v>43</v>
      </c>
      <c r="F2" s="78" t="s">
        <v>45</v>
      </c>
      <c r="G2" s="78" t="s">
        <v>44</v>
      </c>
      <c r="H2" s="78" t="s">
        <v>46</v>
      </c>
      <c r="I2" s="78" t="s">
        <v>47</v>
      </c>
      <c r="J2" s="100" t="s">
        <v>56</v>
      </c>
      <c r="K2" s="88" t="s">
        <v>48</v>
      </c>
      <c r="L2" s="88" t="s">
        <v>49</v>
      </c>
      <c r="M2" s="88" t="s">
        <v>50</v>
      </c>
      <c r="N2" s="88" t="s">
        <v>55</v>
      </c>
      <c r="O2" s="88" t="s">
        <v>51</v>
      </c>
      <c r="P2" s="169"/>
      <c r="Q2" s="102" t="s">
        <v>52</v>
      </c>
      <c r="R2" s="102" t="s">
        <v>53</v>
      </c>
      <c r="S2" s="170"/>
      <c r="T2" s="169"/>
      <c r="U2" s="170"/>
      <c r="V2" s="170"/>
    </row>
    <row r="3" spans="1:22" ht="24.95" customHeight="1" x14ac:dyDescent="0.2">
      <c r="A3" s="51">
        <v>1</v>
      </c>
      <c r="B3" s="52" t="str">
        <f>VLOOKUP($A3,Cierre!$A:$H,2,FALSE)</f>
        <v>IMPORLED S.A.S.</v>
      </c>
      <c r="C3" s="49" t="s">
        <v>89</v>
      </c>
      <c r="D3" s="79">
        <v>1</v>
      </c>
      <c r="E3" s="81">
        <v>1035239296</v>
      </c>
      <c r="F3" s="75">
        <v>1035239296</v>
      </c>
      <c r="G3" s="75">
        <v>423379656</v>
      </c>
      <c r="H3" s="75">
        <v>511471161</v>
      </c>
      <c r="I3" s="75">
        <v>345738950</v>
      </c>
      <c r="J3" s="101">
        <v>13986295</v>
      </c>
      <c r="K3" s="75">
        <f t="shared" ref="K3" si="0">E3-G3</f>
        <v>611859640</v>
      </c>
      <c r="L3" s="77">
        <f t="shared" ref="L3" si="1">IFERROR((E3*D3)/(G3*D3),0)</f>
        <v>2.4451795954976165</v>
      </c>
      <c r="M3" s="103">
        <f t="shared" ref="M3" si="2">IFERROR((H3*D3)/(F3*D3),0)</f>
        <v>0.49406080601484431</v>
      </c>
      <c r="N3" s="77">
        <f t="shared" ref="N3" si="3">IFERROR((I3*D3)/(J3*D3),0)</f>
        <v>24.71983824165013</v>
      </c>
      <c r="O3" s="104">
        <v>523768135</v>
      </c>
      <c r="P3" s="105">
        <v>2126656803.3299999</v>
      </c>
      <c r="Q3" s="106">
        <f t="shared" ref="Q3" si="4">IFERROR((I3*D3)/(O3*D3),0)</f>
        <v>0.66009924410540932</v>
      </c>
      <c r="R3" s="106">
        <f t="shared" ref="R3" si="5">IFERROR((I3*D3)/(F3*D3),0)</f>
        <v>0.33397007951290131</v>
      </c>
      <c r="S3" s="107"/>
      <c r="T3" s="107" t="s">
        <v>123</v>
      </c>
      <c r="U3" s="108" t="s">
        <v>123</v>
      </c>
      <c r="V3" s="108" t="s">
        <v>123</v>
      </c>
    </row>
  </sheetData>
  <mergeCells count="12">
    <mergeCell ref="P1:P2"/>
    <mergeCell ref="U1:U2"/>
    <mergeCell ref="V1:V2"/>
    <mergeCell ref="A1:A2"/>
    <mergeCell ref="B1:B2"/>
    <mergeCell ref="C1:C2"/>
    <mergeCell ref="D1:D2"/>
    <mergeCell ref="K1:O1"/>
    <mergeCell ref="T1:T2"/>
    <mergeCell ref="S1:S2"/>
    <mergeCell ref="E1:J1"/>
    <mergeCell ref="Q1:R1"/>
  </mergeCell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6" operator="lessThan" id="{0DFCC63B-2A76-4C78-9E77-6013D9F08602}">
            <xm:f>Información!$B$10</xm:f>
            <x14:dxf>
              <fill>
                <patternFill>
                  <bgColor rgb="FFFF0000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cellIs" priority="65" operator="greaterThan" id="{0E28296E-3A12-432E-A350-43E0D6D9FFCD}">
            <xm:f>Información!$B$11</xm:f>
            <x14:dxf>
              <fill>
                <patternFill>
                  <bgColor rgb="FFFF000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cellIs" priority="64" operator="lessThan" id="{1643F8C4-A91F-488A-8B77-BBDFBBE8237B}">
            <xm:f>Información!$B$12</xm:f>
            <x14:dxf>
              <fill>
                <patternFill>
                  <bgColor rgb="FFFF000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cellIs" priority="62" operator="lessThan" id="{989B7EA4-A984-4640-95C8-9FC72EE150B9}">
            <xm:f>Información!$B$16</xm:f>
            <x14:dxf>
              <fill>
                <patternFill>
                  <bgColor rgb="FFFF0000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cellIs" priority="61" operator="lessThan" id="{93BF712D-5190-4279-BF63-9C5956CBCD33}">
            <xm:f>Información!$B$17</xm:f>
            <x14:dxf>
              <fill>
                <patternFill>
                  <bgColor rgb="FFFF000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ellIs" priority="9" operator="lessThan" id="{63F9D815-67C7-49CC-912C-139393787478}">
            <xm:f>Información!$B$13</xm:f>
            <x14:dxf>
              <fill>
                <patternFill>
                  <bgColor rgb="FFFF0000"/>
                </patternFill>
              </fill>
            </x14:dxf>
          </x14:cfRule>
          <xm:sqref>K3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zoomScale="80" zoomScaleNormal="80" workbookViewId="0">
      <pane xSplit="2" ySplit="1" topLeftCell="R2" activePane="bottomRight" state="frozenSplit"/>
      <selection activeCell="G11" sqref="G11:G12"/>
      <selection pane="topRight" activeCell="G11" sqref="G11:G12"/>
      <selection pane="bottomLeft" activeCell="G11" sqref="G11:G12"/>
      <selection pane="bottomRight" activeCell="AF1" sqref="AF1"/>
    </sheetView>
  </sheetViews>
  <sheetFormatPr baseColWidth="10" defaultRowHeight="12.75" x14ac:dyDescent="0.2"/>
  <cols>
    <col min="1" max="1" width="9.42578125" bestFit="1" customWidth="1"/>
    <col min="2" max="2" width="35.5703125" bestFit="1" customWidth="1"/>
    <col min="3" max="3" width="41.42578125" customWidth="1"/>
    <col min="4" max="4" width="39.85546875" customWidth="1"/>
    <col min="5" max="5" width="21.28515625" bestFit="1" customWidth="1"/>
    <col min="7" max="7" width="11.42578125" style="66"/>
    <col min="8" max="8" width="13.7109375" customWidth="1"/>
    <col min="9" max="9" width="15.28515625" customWidth="1"/>
    <col min="10" max="10" width="13" style="63" bestFit="1" customWidth="1"/>
    <col min="11" max="11" width="13.5703125" style="63" customWidth="1"/>
    <col min="12" max="12" width="23.5703125" customWidth="1"/>
    <col min="13" max="13" width="23.28515625" customWidth="1"/>
    <col min="14" max="14" width="16.140625" style="59" customWidth="1"/>
    <col min="15" max="15" width="15" style="59" bestFit="1" customWidth="1"/>
    <col min="16" max="16" width="15.5703125" style="59" customWidth="1"/>
  </cols>
  <sheetData>
    <row r="1" spans="1:32" ht="96.75" customHeight="1" x14ac:dyDescent="0.2">
      <c r="A1" s="11" t="s">
        <v>0</v>
      </c>
      <c r="B1" s="11" t="s">
        <v>1</v>
      </c>
      <c r="C1" s="11" t="s">
        <v>7</v>
      </c>
      <c r="D1" s="11" t="s">
        <v>29</v>
      </c>
      <c r="E1" s="11" t="s">
        <v>113</v>
      </c>
      <c r="F1" s="11" t="s">
        <v>30</v>
      </c>
      <c r="G1" s="64" t="s">
        <v>31</v>
      </c>
      <c r="H1" s="12" t="s">
        <v>32</v>
      </c>
      <c r="I1" s="12" t="s">
        <v>33</v>
      </c>
      <c r="J1" s="61" t="s">
        <v>34</v>
      </c>
      <c r="K1" s="61" t="s">
        <v>35</v>
      </c>
      <c r="L1" s="13" t="s">
        <v>36</v>
      </c>
      <c r="M1" s="13" t="s">
        <v>72</v>
      </c>
      <c r="N1" s="56" t="s">
        <v>73</v>
      </c>
      <c r="O1" s="56" t="s">
        <v>75</v>
      </c>
      <c r="P1" s="56" t="s">
        <v>74</v>
      </c>
      <c r="Q1" s="14"/>
      <c r="R1" s="180" t="s">
        <v>37</v>
      </c>
      <c r="S1" s="180"/>
      <c r="T1" s="180" t="s">
        <v>38</v>
      </c>
      <c r="U1" s="180"/>
      <c r="V1" s="180" t="s">
        <v>39</v>
      </c>
      <c r="W1" s="180"/>
      <c r="X1" s="180" t="s">
        <v>40</v>
      </c>
      <c r="Y1" s="180"/>
      <c r="Z1" s="180" t="s">
        <v>79</v>
      </c>
      <c r="AA1" s="180"/>
    </row>
    <row r="2" spans="1:32" s="119" customFormat="1" x14ac:dyDescent="0.2">
      <c r="A2" s="40">
        <v>1</v>
      </c>
      <c r="B2" s="111" t="str">
        <f>IF($A2="","",VLOOKUP($A2,Cierre!$A:$L,2,FALSE))</f>
        <v>IMPORLED S.A.S.</v>
      </c>
      <c r="C2" s="42" t="str">
        <f>IF($A2="","",VLOOKUP($A2,Cierre!$A:$L,3,FALSE))</f>
        <v>LUIS FELIPE BETANCUR ARISTIZABAL</v>
      </c>
      <c r="D2" s="112"/>
      <c r="E2" s="42"/>
      <c r="F2" s="42"/>
      <c r="G2" s="65"/>
      <c r="H2" s="43"/>
      <c r="I2" s="43"/>
      <c r="J2" s="62">
        <f t="shared" ref="J2" si="0">AB2+AC2+AD2+AE2+AF2</f>
        <v>0</v>
      </c>
      <c r="K2" s="62">
        <f t="shared" ref="K2:K3" si="1">IF(H2="",0,ROUND(((((I2-H2)+1)/360)*12)-J2,3))</f>
        <v>0</v>
      </c>
      <c r="L2" s="113"/>
      <c r="M2" s="114">
        <f t="shared" ref="M2:M3" si="2">ROUND(L2*G2,3)</f>
        <v>0</v>
      </c>
      <c r="N2" s="57" t="str">
        <f>IF(I2="","",ROUND(M2/VLOOKUP(YEAR(I2),SMMLV!$A$2:$B$41,2,FALSE),3))</f>
        <v/>
      </c>
      <c r="O2" s="57" t="str">
        <f t="shared" ref="O2:O3" si="3">IFERROR(ROUND(N2/K2,3),"")</f>
        <v/>
      </c>
      <c r="P2" s="57" t="str">
        <f t="shared" ref="P2" si="4">N2</f>
        <v/>
      </c>
      <c r="Q2" s="115"/>
      <c r="R2" s="116"/>
      <c r="S2" s="116"/>
      <c r="T2" s="116"/>
      <c r="U2" s="116"/>
      <c r="V2" s="116"/>
      <c r="W2" s="117"/>
      <c r="X2" s="117"/>
      <c r="Y2" s="117"/>
      <c r="Z2" s="117"/>
      <c r="AA2" s="117"/>
      <c r="AB2" s="118">
        <f t="shared" ref="AB2:AB5" si="5">IF(R2="",0,ROUND((((S2-R2)+1)/30),3))</f>
        <v>0</v>
      </c>
      <c r="AC2" s="118">
        <f t="shared" ref="AC2:AC5" si="6">IF(T2="",0,ROUND((((U2-T2)+1)/30),3))</f>
        <v>0</v>
      </c>
      <c r="AD2" s="118">
        <f t="shared" ref="AD2:AD5" si="7">IF(V2="",0,ROUND((((W2-V2)+1)/30),3))</f>
        <v>0</v>
      </c>
      <c r="AE2" s="118">
        <f t="shared" ref="AE2" si="8">IF(X2="",0,ROUND((((Y2-X2)+1)/30),3))</f>
        <v>0</v>
      </c>
      <c r="AF2" s="118">
        <f t="shared" ref="AF2:AF5" si="9">IF(Z2="",0,ROUND((((AA2-Z2)+1)/30),3))</f>
        <v>0</v>
      </c>
    </row>
    <row r="3" spans="1:32" x14ac:dyDescent="0.2">
      <c r="A3" s="40"/>
      <c r="B3" s="53" t="str">
        <f>IF($A3="","",VLOOKUP($A3,Cierre!$A:$L,2,FALSE))</f>
        <v/>
      </c>
      <c r="C3" s="41"/>
      <c r="D3" s="41"/>
      <c r="E3" s="42"/>
      <c r="F3" s="42"/>
      <c r="G3" s="65"/>
      <c r="H3" s="43"/>
      <c r="I3" s="43"/>
      <c r="J3" s="62">
        <f t="shared" ref="J3:J53" si="10">AB3+AC3+AD3+AE3+AF3</f>
        <v>0</v>
      </c>
      <c r="K3" s="62">
        <f t="shared" si="1"/>
        <v>0</v>
      </c>
      <c r="L3" s="44"/>
      <c r="M3" s="15">
        <f t="shared" si="2"/>
        <v>0</v>
      </c>
      <c r="N3" s="57" t="str">
        <f>IF(I3="","",ROUND(M3/VLOOKUP(YEAR(I3),SMMLV!$A$2:$B$40,2,FALSE),3))</f>
        <v/>
      </c>
      <c r="O3" s="58" t="str">
        <f t="shared" si="3"/>
        <v/>
      </c>
      <c r="P3" s="58" t="str">
        <f t="shared" ref="P3:P53" si="11">N3</f>
        <v/>
      </c>
      <c r="Q3" s="16"/>
      <c r="R3" s="45"/>
      <c r="S3" s="45"/>
      <c r="T3" s="45"/>
      <c r="U3" s="45"/>
      <c r="V3" s="45"/>
      <c r="W3" s="46"/>
      <c r="X3" s="46"/>
      <c r="Y3" s="46"/>
      <c r="Z3" s="46"/>
      <c r="AA3" s="46"/>
      <c r="AB3" s="60">
        <f t="shared" si="5"/>
        <v>0</v>
      </c>
      <c r="AC3" s="60">
        <f t="shared" si="6"/>
        <v>0</v>
      </c>
      <c r="AD3" s="60">
        <f t="shared" si="7"/>
        <v>0</v>
      </c>
      <c r="AE3" s="60">
        <f t="shared" ref="AE3:AE5" si="12">IF(X3="",0,ROUND((((Y3-X3)+1)/30),3))</f>
        <v>0</v>
      </c>
      <c r="AF3" s="60">
        <f t="shared" si="9"/>
        <v>0</v>
      </c>
    </row>
    <row r="4" spans="1:32" x14ac:dyDescent="0.2">
      <c r="A4" s="40"/>
      <c r="B4" s="53" t="str">
        <f>IF($A4="","",VLOOKUP($A4,Cierre!$A:$L,2,FALSE))</f>
        <v/>
      </c>
      <c r="C4" s="41"/>
      <c r="D4" s="41"/>
      <c r="E4" s="42"/>
      <c r="F4" s="42"/>
      <c r="G4" s="65"/>
      <c r="H4" s="43"/>
      <c r="I4" s="43"/>
      <c r="J4" s="62">
        <f t="shared" si="10"/>
        <v>0</v>
      </c>
      <c r="K4" s="62">
        <f t="shared" ref="K4:K53" si="13">IF(H4="",0,ROUND(((((I4-H4)+1)/360)*12)-J4,3))</f>
        <v>0</v>
      </c>
      <c r="L4" s="44"/>
      <c r="M4" s="15">
        <f t="shared" ref="M4:M53" si="14">ROUND(L4*G4,3)</f>
        <v>0</v>
      </c>
      <c r="N4" s="57" t="str">
        <f>IF(I4="","",ROUND(M4/VLOOKUP(YEAR(I4),SMMLV!$A$2:$B$40,2,FALSE),3))</f>
        <v/>
      </c>
      <c r="O4" s="58" t="str">
        <f t="shared" ref="O4:O53" si="15">IFERROR(ROUND(N4/K4,3),"")</f>
        <v/>
      </c>
      <c r="P4" s="58" t="str">
        <f t="shared" si="11"/>
        <v/>
      </c>
      <c r="Q4" s="16"/>
      <c r="R4" s="45"/>
      <c r="S4" s="45"/>
      <c r="T4" s="45"/>
      <c r="U4" s="45"/>
      <c r="V4" s="45"/>
      <c r="W4" s="46"/>
      <c r="X4" s="46"/>
      <c r="Y4" s="46"/>
      <c r="Z4" s="46"/>
      <c r="AA4" s="46"/>
      <c r="AB4" s="60">
        <f t="shared" si="5"/>
        <v>0</v>
      </c>
      <c r="AC4" s="60">
        <f t="shared" si="6"/>
        <v>0</v>
      </c>
      <c r="AD4" s="60">
        <f t="shared" si="7"/>
        <v>0</v>
      </c>
      <c r="AE4" s="60">
        <f t="shared" si="12"/>
        <v>0</v>
      </c>
      <c r="AF4" s="60">
        <f t="shared" si="9"/>
        <v>0</v>
      </c>
    </row>
    <row r="5" spans="1:32" x14ac:dyDescent="0.2">
      <c r="A5" s="40"/>
      <c r="B5" s="53" t="str">
        <f>IF($A5="","",VLOOKUP($A5,Cierre!$A:$L,2,FALSE))</f>
        <v/>
      </c>
      <c r="C5" s="41"/>
      <c r="D5" s="41"/>
      <c r="E5" s="42"/>
      <c r="F5" s="42"/>
      <c r="G5" s="65"/>
      <c r="H5" s="43"/>
      <c r="I5" s="43"/>
      <c r="J5" s="62">
        <f t="shared" si="10"/>
        <v>0</v>
      </c>
      <c r="K5" s="62">
        <f t="shared" si="13"/>
        <v>0</v>
      </c>
      <c r="L5" s="44"/>
      <c r="M5" s="15">
        <f t="shared" si="14"/>
        <v>0</v>
      </c>
      <c r="N5" s="57" t="str">
        <f>IF(I5="","",ROUND(M5/VLOOKUP(YEAR(I5),SMMLV!$A$2:$B$40,2,FALSE),3))</f>
        <v/>
      </c>
      <c r="O5" s="58" t="str">
        <f t="shared" si="15"/>
        <v/>
      </c>
      <c r="P5" s="58" t="str">
        <f t="shared" si="11"/>
        <v/>
      </c>
      <c r="Q5" s="16"/>
      <c r="R5" s="45"/>
      <c r="S5" s="45"/>
      <c r="T5" s="45"/>
      <c r="U5" s="45"/>
      <c r="V5" s="45"/>
      <c r="W5" s="46"/>
      <c r="X5" s="46"/>
      <c r="Y5" s="46"/>
      <c r="Z5" s="46"/>
      <c r="AA5" s="46"/>
      <c r="AB5" s="60">
        <f t="shared" si="5"/>
        <v>0</v>
      </c>
      <c r="AC5" s="60">
        <f t="shared" si="6"/>
        <v>0</v>
      </c>
      <c r="AD5" s="60">
        <f t="shared" si="7"/>
        <v>0</v>
      </c>
      <c r="AE5" s="60">
        <f t="shared" si="12"/>
        <v>0</v>
      </c>
      <c r="AF5" s="60">
        <f t="shared" si="9"/>
        <v>0</v>
      </c>
    </row>
    <row r="6" spans="1:32" x14ac:dyDescent="0.2">
      <c r="A6" s="40"/>
      <c r="B6" s="53" t="str">
        <f>IF($A6="","",VLOOKUP($A6,Cierre!$A:$L,2,FALSE))</f>
        <v/>
      </c>
      <c r="C6" s="41"/>
      <c r="D6" s="41"/>
      <c r="E6" s="42"/>
      <c r="F6" s="42"/>
      <c r="G6" s="65"/>
      <c r="H6" s="43"/>
      <c r="I6" s="43"/>
      <c r="J6" s="62">
        <f t="shared" si="10"/>
        <v>0</v>
      </c>
      <c r="K6" s="62">
        <f t="shared" si="13"/>
        <v>0</v>
      </c>
      <c r="L6" s="44"/>
      <c r="M6" s="15">
        <f t="shared" si="14"/>
        <v>0</v>
      </c>
      <c r="N6" s="57" t="str">
        <f>IF(I6="","",ROUND(M6/VLOOKUP(YEAR(I6),SMMLV!$A$2:$B$40,2,FALSE),3))</f>
        <v/>
      </c>
      <c r="O6" s="58" t="str">
        <f t="shared" si="15"/>
        <v/>
      </c>
      <c r="P6" s="58" t="str">
        <f t="shared" si="11"/>
        <v/>
      </c>
      <c r="Q6" s="16"/>
      <c r="R6" s="45"/>
      <c r="S6" s="45"/>
      <c r="T6" s="45"/>
      <c r="U6" s="45"/>
      <c r="V6" s="45"/>
      <c r="W6" s="46"/>
      <c r="X6" s="46"/>
      <c r="Y6" s="46"/>
      <c r="Z6" s="46"/>
      <c r="AA6" s="46"/>
      <c r="AB6" s="60">
        <f t="shared" ref="AB6:AB46" si="16">IF(R6="",0,ROUND((((S6-R6)+1)/30),3))</f>
        <v>0</v>
      </c>
      <c r="AC6" s="60">
        <f t="shared" ref="AC6:AC46" si="17">IF(T6="",0,ROUND((((U6-T6)+1)/30),3))</f>
        <v>0</v>
      </c>
      <c r="AD6" s="60">
        <f t="shared" ref="AD6:AD46" si="18">IF(V6="",0,ROUND((((W6-V6)+1)/30),3))</f>
        <v>0</v>
      </c>
      <c r="AE6" s="60">
        <f t="shared" ref="AE6:AE46" si="19">IF(X6="",0,ROUND((((Y6-X6)+1)/30),3))</f>
        <v>0</v>
      </c>
      <c r="AF6" s="60">
        <f t="shared" ref="AF6:AF46" si="20">IF(Z6="",0,ROUND((((AA6-Z6)+1)/30),3))</f>
        <v>0</v>
      </c>
    </row>
    <row r="7" spans="1:32" x14ac:dyDescent="0.2">
      <c r="A7" s="40"/>
      <c r="B7" s="53" t="str">
        <f>IF($A7="","",VLOOKUP($A7,Cierre!$A:$L,2,FALSE))</f>
        <v/>
      </c>
      <c r="C7" s="41"/>
      <c r="D7" s="41"/>
      <c r="E7" s="42"/>
      <c r="F7" s="42"/>
      <c r="G7" s="65"/>
      <c r="H7" s="43"/>
      <c r="I7" s="43"/>
      <c r="J7" s="62">
        <f t="shared" si="10"/>
        <v>0</v>
      </c>
      <c r="K7" s="62">
        <f t="shared" si="13"/>
        <v>0</v>
      </c>
      <c r="L7" s="44"/>
      <c r="M7" s="15">
        <f t="shared" si="14"/>
        <v>0</v>
      </c>
      <c r="N7" s="57" t="str">
        <f>IF(I7="","",ROUND(M7/VLOOKUP(YEAR(I7),SMMLV!$A$2:$B$40,2,FALSE),3))</f>
        <v/>
      </c>
      <c r="O7" s="58" t="str">
        <f t="shared" si="15"/>
        <v/>
      </c>
      <c r="P7" s="58" t="str">
        <f t="shared" si="11"/>
        <v/>
      </c>
      <c r="Q7" s="16"/>
      <c r="R7" s="45"/>
      <c r="S7" s="45"/>
      <c r="T7" s="45"/>
      <c r="U7" s="45"/>
      <c r="V7" s="45"/>
      <c r="W7" s="46"/>
      <c r="X7" s="46"/>
      <c r="Y7" s="46"/>
      <c r="Z7" s="46"/>
      <c r="AA7" s="46"/>
      <c r="AB7" s="60">
        <f t="shared" si="16"/>
        <v>0</v>
      </c>
      <c r="AC7" s="60">
        <f t="shared" si="17"/>
        <v>0</v>
      </c>
      <c r="AD7" s="60">
        <f t="shared" si="18"/>
        <v>0</v>
      </c>
      <c r="AE7" s="60">
        <f t="shared" si="19"/>
        <v>0</v>
      </c>
      <c r="AF7" s="60">
        <f t="shared" si="20"/>
        <v>0</v>
      </c>
    </row>
    <row r="8" spans="1:32" x14ac:dyDescent="0.2">
      <c r="A8" s="40"/>
      <c r="B8" s="53" t="str">
        <f>IF($A8="","",VLOOKUP($A8,Cierre!$A:$L,2,FALSE))</f>
        <v/>
      </c>
      <c r="C8" s="50"/>
      <c r="D8" s="41"/>
      <c r="E8" s="42"/>
      <c r="F8" s="42"/>
      <c r="G8" s="65"/>
      <c r="H8" s="43"/>
      <c r="I8" s="43"/>
      <c r="J8" s="62">
        <f t="shared" si="10"/>
        <v>0</v>
      </c>
      <c r="K8" s="62">
        <f t="shared" si="13"/>
        <v>0</v>
      </c>
      <c r="L8" s="44"/>
      <c r="M8" s="15">
        <f t="shared" si="14"/>
        <v>0</v>
      </c>
      <c r="N8" s="57" t="str">
        <f>IF(I8="","",ROUND(M8/VLOOKUP(YEAR(I8),SMMLV!$A$2:$B$40,2,FALSE),3))</f>
        <v/>
      </c>
      <c r="O8" s="58" t="str">
        <f t="shared" si="15"/>
        <v/>
      </c>
      <c r="P8" s="58" t="str">
        <f t="shared" si="11"/>
        <v/>
      </c>
      <c r="Q8" s="16"/>
      <c r="R8" s="45"/>
      <c r="S8" s="45"/>
      <c r="T8" s="45"/>
      <c r="U8" s="45"/>
      <c r="V8" s="45"/>
      <c r="W8" s="46"/>
      <c r="X8" s="46"/>
      <c r="Y8" s="46"/>
      <c r="Z8" s="46"/>
      <c r="AA8" s="46"/>
      <c r="AB8" s="60">
        <f t="shared" si="16"/>
        <v>0</v>
      </c>
      <c r="AC8" s="60">
        <f t="shared" si="17"/>
        <v>0</v>
      </c>
      <c r="AD8" s="60">
        <f t="shared" si="18"/>
        <v>0</v>
      </c>
      <c r="AE8" s="60">
        <f t="shared" si="19"/>
        <v>0</v>
      </c>
      <c r="AF8" s="60">
        <f t="shared" si="20"/>
        <v>0</v>
      </c>
    </row>
    <row r="9" spans="1:32" x14ac:dyDescent="0.2">
      <c r="A9" s="40"/>
      <c r="B9" s="53" t="str">
        <f>IF($A9="","",VLOOKUP($A9,Cierre!$A:$L,2,FALSE))</f>
        <v/>
      </c>
      <c r="C9" s="50"/>
      <c r="D9" s="41"/>
      <c r="E9" s="42"/>
      <c r="F9" s="42"/>
      <c r="G9" s="65"/>
      <c r="H9" s="43"/>
      <c r="I9" s="43"/>
      <c r="J9" s="62">
        <f t="shared" si="10"/>
        <v>0</v>
      </c>
      <c r="K9" s="62">
        <f t="shared" si="13"/>
        <v>0</v>
      </c>
      <c r="L9" s="44"/>
      <c r="M9" s="15">
        <f t="shared" si="14"/>
        <v>0</v>
      </c>
      <c r="N9" s="57" t="str">
        <f>IF(I9="","",ROUND(M9/VLOOKUP(YEAR(I9),SMMLV!$A$2:$B$40,2,FALSE),3))</f>
        <v/>
      </c>
      <c r="O9" s="58" t="str">
        <f t="shared" si="15"/>
        <v/>
      </c>
      <c r="P9" s="58" t="str">
        <f t="shared" si="11"/>
        <v/>
      </c>
      <c r="Q9" s="16"/>
      <c r="R9" s="45"/>
      <c r="S9" s="45"/>
      <c r="T9" s="45"/>
      <c r="U9" s="45"/>
      <c r="V9" s="45"/>
      <c r="W9" s="46"/>
      <c r="X9" s="46"/>
      <c r="Y9" s="46"/>
      <c r="Z9" s="46"/>
      <c r="AA9" s="46"/>
      <c r="AB9" s="60">
        <f t="shared" si="16"/>
        <v>0</v>
      </c>
      <c r="AC9" s="60">
        <f t="shared" si="17"/>
        <v>0</v>
      </c>
      <c r="AD9" s="60">
        <f t="shared" si="18"/>
        <v>0</v>
      </c>
      <c r="AE9" s="60">
        <f t="shared" si="19"/>
        <v>0</v>
      </c>
      <c r="AF9" s="60">
        <f t="shared" si="20"/>
        <v>0</v>
      </c>
    </row>
    <row r="10" spans="1:32" x14ac:dyDescent="0.2">
      <c r="A10" s="40"/>
      <c r="B10" s="53" t="str">
        <f>IF($A10="","",VLOOKUP($A10,Cierre!$A:$L,2,FALSE))</f>
        <v/>
      </c>
      <c r="C10" s="41"/>
      <c r="D10" s="41"/>
      <c r="E10" s="42"/>
      <c r="F10" s="42"/>
      <c r="G10" s="65"/>
      <c r="H10" s="43"/>
      <c r="I10" s="43"/>
      <c r="J10" s="62">
        <f t="shared" si="10"/>
        <v>0</v>
      </c>
      <c r="K10" s="62">
        <f t="shared" si="13"/>
        <v>0</v>
      </c>
      <c r="L10" s="44"/>
      <c r="M10" s="15">
        <f t="shared" si="14"/>
        <v>0</v>
      </c>
      <c r="N10" s="57" t="str">
        <f>IF(I10="","",ROUND(M10/VLOOKUP(YEAR(I10),SMMLV!$A$2:$B$40,2,FALSE),3))</f>
        <v/>
      </c>
      <c r="O10" s="58" t="str">
        <f t="shared" si="15"/>
        <v/>
      </c>
      <c r="P10" s="58" t="str">
        <f t="shared" si="11"/>
        <v/>
      </c>
      <c r="Q10" s="16"/>
      <c r="R10" s="45"/>
      <c r="S10" s="45"/>
      <c r="T10" s="45"/>
      <c r="U10" s="45"/>
      <c r="V10" s="45"/>
      <c r="W10" s="46"/>
      <c r="X10" s="46"/>
      <c r="Y10" s="46"/>
      <c r="Z10" s="46"/>
      <c r="AA10" s="46"/>
      <c r="AB10" s="60">
        <f t="shared" si="16"/>
        <v>0</v>
      </c>
      <c r="AC10" s="60">
        <f t="shared" si="17"/>
        <v>0</v>
      </c>
      <c r="AD10" s="60">
        <f t="shared" si="18"/>
        <v>0</v>
      </c>
      <c r="AE10" s="60">
        <f t="shared" si="19"/>
        <v>0</v>
      </c>
      <c r="AF10" s="60">
        <f t="shared" si="20"/>
        <v>0</v>
      </c>
    </row>
    <row r="11" spans="1:32" x14ac:dyDescent="0.2">
      <c r="A11" s="40"/>
      <c r="B11" s="53" t="str">
        <f>IF($A11="","",VLOOKUP($A11,Cierre!$A:$L,2,FALSE))</f>
        <v/>
      </c>
      <c r="C11" s="50"/>
      <c r="D11" s="41"/>
      <c r="E11" s="42"/>
      <c r="F11" s="42"/>
      <c r="G11" s="65"/>
      <c r="H11" s="43"/>
      <c r="I11" s="43"/>
      <c r="J11" s="62">
        <f t="shared" si="10"/>
        <v>0</v>
      </c>
      <c r="K11" s="62">
        <f t="shared" si="13"/>
        <v>0</v>
      </c>
      <c r="L11" s="44"/>
      <c r="M11" s="15">
        <f t="shared" si="14"/>
        <v>0</v>
      </c>
      <c r="N11" s="57" t="str">
        <f>IF(I11="","",ROUND(M11/VLOOKUP(YEAR(I11),SMMLV!$A$2:$B$40,2,FALSE),3))</f>
        <v/>
      </c>
      <c r="O11" s="58" t="str">
        <f t="shared" si="15"/>
        <v/>
      </c>
      <c r="P11" s="58" t="str">
        <f t="shared" si="11"/>
        <v/>
      </c>
      <c r="Q11" s="16"/>
      <c r="R11" s="45"/>
      <c r="S11" s="45"/>
      <c r="T11" s="45"/>
      <c r="U11" s="45"/>
      <c r="V11" s="45"/>
      <c r="W11" s="46"/>
      <c r="X11" s="46"/>
      <c r="Y11" s="46"/>
      <c r="Z11" s="46"/>
      <c r="AA11" s="46"/>
      <c r="AB11" s="60">
        <f t="shared" si="16"/>
        <v>0</v>
      </c>
      <c r="AC11" s="60">
        <f t="shared" si="17"/>
        <v>0</v>
      </c>
      <c r="AD11" s="60">
        <f t="shared" si="18"/>
        <v>0</v>
      </c>
      <c r="AE11" s="60">
        <f t="shared" si="19"/>
        <v>0</v>
      </c>
      <c r="AF11" s="60">
        <f t="shared" si="20"/>
        <v>0</v>
      </c>
    </row>
    <row r="12" spans="1:32" x14ac:dyDescent="0.2">
      <c r="A12" s="40"/>
      <c r="B12" s="53" t="str">
        <f>IF($A12="","",VLOOKUP($A12,Cierre!$A:$L,2,FALSE))</f>
        <v/>
      </c>
      <c r="C12" s="50"/>
      <c r="D12" s="41"/>
      <c r="E12" s="42"/>
      <c r="F12" s="42"/>
      <c r="G12" s="65"/>
      <c r="H12" s="43"/>
      <c r="I12" s="43"/>
      <c r="J12" s="62">
        <f t="shared" si="10"/>
        <v>0</v>
      </c>
      <c r="K12" s="62">
        <f t="shared" si="13"/>
        <v>0</v>
      </c>
      <c r="L12" s="44"/>
      <c r="M12" s="15">
        <f t="shared" si="14"/>
        <v>0</v>
      </c>
      <c r="N12" s="57" t="str">
        <f>IF(I12="","",ROUND(M12/VLOOKUP(YEAR(I12),SMMLV!$A$2:$B$40,2,FALSE),3))</f>
        <v/>
      </c>
      <c r="O12" s="58" t="str">
        <f t="shared" si="15"/>
        <v/>
      </c>
      <c r="P12" s="58" t="str">
        <f t="shared" si="11"/>
        <v/>
      </c>
      <c r="Q12" s="16"/>
      <c r="R12" s="45"/>
      <c r="S12" s="45"/>
      <c r="T12" s="45"/>
      <c r="U12" s="45"/>
      <c r="V12" s="45"/>
      <c r="W12" s="46"/>
      <c r="X12" s="46"/>
      <c r="Y12" s="46"/>
      <c r="Z12" s="46"/>
      <c r="AA12" s="46"/>
      <c r="AB12" s="60">
        <f t="shared" si="16"/>
        <v>0</v>
      </c>
      <c r="AC12" s="60">
        <f t="shared" si="17"/>
        <v>0</v>
      </c>
      <c r="AD12" s="60">
        <f t="shared" si="18"/>
        <v>0</v>
      </c>
      <c r="AE12" s="60">
        <f t="shared" si="19"/>
        <v>0</v>
      </c>
      <c r="AF12" s="60">
        <f t="shared" si="20"/>
        <v>0</v>
      </c>
    </row>
    <row r="13" spans="1:32" x14ac:dyDescent="0.2">
      <c r="A13" s="40"/>
      <c r="B13" s="53" t="str">
        <f>IF($A13="","",VLOOKUP($A13,Cierre!$A:$L,2,FALSE))</f>
        <v/>
      </c>
      <c r="C13" s="50"/>
      <c r="D13" s="41"/>
      <c r="E13" s="42"/>
      <c r="F13" s="42"/>
      <c r="G13" s="65"/>
      <c r="H13" s="43"/>
      <c r="I13" s="43"/>
      <c r="J13" s="62">
        <f t="shared" si="10"/>
        <v>0</v>
      </c>
      <c r="K13" s="62">
        <f t="shared" si="13"/>
        <v>0</v>
      </c>
      <c r="L13" s="44"/>
      <c r="M13" s="15">
        <f t="shared" si="14"/>
        <v>0</v>
      </c>
      <c r="N13" s="57" t="str">
        <f>IF(I13="","",ROUND(M13/VLOOKUP(YEAR(I13),SMMLV!$A$2:$B$40,2,FALSE),3))</f>
        <v/>
      </c>
      <c r="O13" s="58" t="str">
        <f t="shared" si="15"/>
        <v/>
      </c>
      <c r="P13" s="58" t="str">
        <f t="shared" si="11"/>
        <v/>
      </c>
      <c r="Q13" s="16"/>
      <c r="R13" s="45"/>
      <c r="S13" s="45"/>
      <c r="T13" s="45"/>
      <c r="U13" s="45"/>
      <c r="V13" s="45"/>
      <c r="W13" s="46"/>
      <c r="X13" s="46"/>
      <c r="Y13" s="46"/>
      <c r="Z13" s="46"/>
      <c r="AA13" s="46"/>
      <c r="AB13" s="60">
        <f t="shared" si="16"/>
        <v>0</v>
      </c>
      <c r="AC13" s="60">
        <f t="shared" si="17"/>
        <v>0</v>
      </c>
      <c r="AD13" s="60">
        <f t="shared" si="18"/>
        <v>0</v>
      </c>
      <c r="AE13" s="60">
        <f t="shared" si="19"/>
        <v>0</v>
      </c>
      <c r="AF13" s="60">
        <f t="shared" si="20"/>
        <v>0</v>
      </c>
    </row>
    <row r="14" spans="1:32" x14ac:dyDescent="0.2">
      <c r="A14" s="40"/>
      <c r="B14" s="53" t="str">
        <f>IF($A14="","",VLOOKUP($A14,Cierre!$A:$L,2,FALSE))</f>
        <v/>
      </c>
      <c r="C14" s="50"/>
      <c r="D14" s="41"/>
      <c r="E14" s="42"/>
      <c r="F14" s="42"/>
      <c r="G14" s="65"/>
      <c r="H14" s="43"/>
      <c r="I14" s="43"/>
      <c r="J14" s="62">
        <f t="shared" si="10"/>
        <v>0</v>
      </c>
      <c r="K14" s="62">
        <f t="shared" si="13"/>
        <v>0</v>
      </c>
      <c r="L14" s="44"/>
      <c r="M14" s="15">
        <f t="shared" si="14"/>
        <v>0</v>
      </c>
      <c r="N14" s="57" t="str">
        <f>IF(I14="","",ROUND(M14/VLOOKUP(YEAR(I14),SMMLV!$A$2:$B$40,2,FALSE),3))</f>
        <v/>
      </c>
      <c r="O14" s="58" t="str">
        <f t="shared" si="15"/>
        <v/>
      </c>
      <c r="P14" s="58" t="str">
        <f t="shared" si="11"/>
        <v/>
      </c>
      <c r="Q14" s="16"/>
      <c r="R14" s="45"/>
      <c r="S14" s="45"/>
      <c r="T14" s="45"/>
      <c r="U14" s="45"/>
      <c r="V14" s="45"/>
      <c r="W14" s="46"/>
      <c r="X14" s="46"/>
      <c r="Y14" s="46"/>
      <c r="Z14" s="46"/>
      <c r="AA14" s="46"/>
      <c r="AB14" s="60">
        <f t="shared" si="16"/>
        <v>0</v>
      </c>
      <c r="AC14" s="60">
        <f t="shared" si="17"/>
        <v>0</v>
      </c>
      <c r="AD14" s="60">
        <f t="shared" si="18"/>
        <v>0</v>
      </c>
      <c r="AE14" s="60">
        <f t="shared" si="19"/>
        <v>0</v>
      </c>
      <c r="AF14" s="60">
        <f t="shared" si="20"/>
        <v>0</v>
      </c>
    </row>
    <row r="15" spans="1:32" x14ac:dyDescent="0.2">
      <c r="A15" s="40"/>
      <c r="B15" s="53" t="str">
        <f>IF($A15="","",VLOOKUP($A15,Cierre!$A:$L,2,FALSE))</f>
        <v/>
      </c>
      <c r="C15" s="41"/>
      <c r="D15" s="41"/>
      <c r="E15" s="55"/>
      <c r="F15" s="42"/>
      <c r="G15" s="65"/>
      <c r="H15" s="43"/>
      <c r="I15" s="43"/>
      <c r="J15" s="62">
        <f t="shared" si="10"/>
        <v>0</v>
      </c>
      <c r="K15" s="62">
        <f t="shared" si="13"/>
        <v>0</v>
      </c>
      <c r="L15" s="44"/>
      <c r="M15" s="15">
        <f t="shared" si="14"/>
        <v>0</v>
      </c>
      <c r="N15" s="57" t="str">
        <f>IF(I15="","",ROUND(M15/VLOOKUP(YEAR(I15),SMMLV!$A$2:$B$40,2,FALSE),3))</f>
        <v/>
      </c>
      <c r="O15" s="58" t="str">
        <f t="shared" si="15"/>
        <v/>
      </c>
      <c r="P15" s="58" t="str">
        <f t="shared" si="11"/>
        <v/>
      </c>
      <c r="Q15" s="16"/>
      <c r="R15" s="45"/>
      <c r="S15" s="45"/>
      <c r="T15" s="45"/>
      <c r="U15" s="45"/>
      <c r="V15" s="45"/>
      <c r="W15" s="46"/>
      <c r="X15" s="46"/>
      <c r="Y15" s="46"/>
      <c r="Z15" s="46"/>
      <c r="AA15" s="46"/>
      <c r="AB15" s="60">
        <f t="shared" si="16"/>
        <v>0</v>
      </c>
      <c r="AC15" s="60">
        <f t="shared" si="17"/>
        <v>0</v>
      </c>
      <c r="AD15" s="60">
        <f t="shared" si="18"/>
        <v>0</v>
      </c>
      <c r="AE15" s="60">
        <f t="shared" si="19"/>
        <v>0</v>
      </c>
      <c r="AF15" s="60">
        <f t="shared" si="20"/>
        <v>0</v>
      </c>
    </row>
    <row r="16" spans="1:32" x14ac:dyDescent="0.2">
      <c r="A16" s="40"/>
      <c r="B16" s="53" t="str">
        <f>IF($A16="","",VLOOKUP($A16,Cierre!$A:$L,2,FALSE))</f>
        <v/>
      </c>
      <c r="C16" s="41"/>
      <c r="D16" s="41"/>
      <c r="E16" s="55"/>
      <c r="F16" s="42"/>
      <c r="G16" s="65"/>
      <c r="H16" s="43"/>
      <c r="I16" s="43"/>
      <c r="J16" s="62">
        <f t="shared" si="10"/>
        <v>0</v>
      </c>
      <c r="K16" s="62">
        <f t="shared" si="13"/>
        <v>0</v>
      </c>
      <c r="L16" s="44"/>
      <c r="M16" s="15">
        <f t="shared" si="14"/>
        <v>0</v>
      </c>
      <c r="N16" s="57" t="str">
        <f>IF(I16="","",ROUND(M16/VLOOKUP(YEAR(I16),SMMLV!$A$2:$B$40,2,FALSE),3))</f>
        <v/>
      </c>
      <c r="O16" s="58" t="str">
        <f t="shared" si="15"/>
        <v/>
      </c>
      <c r="P16" s="58" t="str">
        <f t="shared" si="11"/>
        <v/>
      </c>
      <c r="Q16" s="16"/>
      <c r="R16" s="45"/>
      <c r="S16" s="45"/>
      <c r="T16" s="45"/>
      <c r="U16" s="45"/>
      <c r="V16" s="45"/>
      <c r="W16" s="46"/>
      <c r="X16" s="46"/>
      <c r="Y16" s="46"/>
      <c r="Z16" s="46"/>
      <c r="AA16" s="46"/>
      <c r="AB16" s="60">
        <f t="shared" si="16"/>
        <v>0</v>
      </c>
      <c r="AC16" s="60">
        <f t="shared" si="17"/>
        <v>0</v>
      </c>
      <c r="AD16" s="60">
        <f t="shared" si="18"/>
        <v>0</v>
      </c>
      <c r="AE16" s="60">
        <f t="shared" si="19"/>
        <v>0</v>
      </c>
      <c r="AF16" s="60">
        <f t="shared" si="20"/>
        <v>0</v>
      </c>
    </row>
    <row r="17" spans="1:32" x14ac:dyDescent="0.2">
      <c r="A17" s="40"/>
      <c r="B17" s="53" t="str">
        <f>IF($A17="","",VLOOKUP($A17,Cierre!$A:$L,2,FALSE))</f>
        <v/>
      </c>
      <c r="C17" s="41"/>
      <c r="D17" s="41"/>
      <c r="E17" s="42"/>
      <c r="F17" s="42"/>
      <c r="G17" s="65"/>
      <c r="H17" s="43"/>
      <c r="I17" s="43"/>
      <c r="J17" s="62">
        <f t="shared" si="10"/>
        <v>0</v>
      </c>
      <c r="K17" s="62">
        <f t="shared" si="13"/>
        <v>0</v>
      </c>
      <c r="L17" s="44"/>
      <c r="M17" s="15">
        <f t="shared" si="14"/>
        <v>0</v>
      </c>
      <c r="N17" s="57" t="str">
        <f>IF(I17="","",ROUND(M17/VLOOKUP(YEAR(I17),SMMLV!$A$2:$B$40,2,FALSE),3))</f>
        <v/>
      </c>
      <c r="O17" s="58" t="str">
        <f t="shared" si="15"/>
        <v/>
      </c>
      <c r="P17" s="58" t="str">
        <f t="shared" si="11"/>
        <v/>
      </c>
      <c r="Q17" s="16"/>
      <c r="R17" s="45"/>
      <c r="S17" s="45"/>
      <c r="T17" s="45"/>
      <c r="U17" s="45"/>
      <c r="V17" s="45"/>
      <c r="W17" s="46"/>
      <c r="X17" s="46"/>
      <c r="Y17" s="46"/>
      <c r="Z17" s="46"/>
      <c r="AA17" s="46"/>
      <c r="AB17" s="60">
        <f t="shared" si="16"/>
        <v>0</v>
      </c>
      <c r="AC17" s="60">
        <f t="shared" si="17"/>
        <v>0</v>
      </c>
      <c r="AD17" s="60">
        <f t="shared" si="18"/>
        <v>0</v>
      </c>
      <c r="AE17" s="60">
        <f t="shared" si="19"/>
        <v>0</v>
      </c>
      <c r="AF17" s="60">
        <f t="shared" si="20"/>
        <v>0</v>
      </c>
    </row>
    <row r="18" spans="1:32" x14ac:dyDescent="0.2">
      <c r="A18" s="40"/>
      <c r="B18" s="53" t="str">
        <f>IF($A18="","",VLOOKUP($A18,Cierre!$A:$L,2,FALSE))</f>
        <v/>
      </c>
      <c r="C18" s="41"/>
      <c r="D18" s="41"/>
      <c r="E18" s="42"/>
      <c r="F18" s="42"/>
      <c r="G18" s="65"/>
      <c r="H18" s="43"/>
      <c r="I18" s="43"/>
      <c r="J18" s="62">
        <f t="shared" si="10"/>
        <v>0</v>
      </c>
      <c r="K18" s="62">
        <f t="shared" si="13"/>
        <v>0</v>
      </c>
      <c r="L18" s="44"/>
      <c r="M18" s="15">
        <f t="shared" si="14"/>
        <v>0</v>
      </c>
      <c r="N18" s="57" t="str">
        <f>IF(I18="","",ROUND(M18/VLOOKUP(YEAR(I18),SMMLV!$A$2:$B$40,2,FALSE),3))</f>
        <v/>
      </c>
      <c r="O18" s="58" t="str">
        <f t="shared" si="15"/>
        <v/>
      </c>
      <c r="P18" s="58" t="str">
        <f t="shared" si="11"/>
        <v/>
      </c>
      <c r="Q18" s="16"/>
      <c r="R18" s="45"/>
      <c r="S18" s="45"/>
      <c r="T18" s="45"/>
      <c r="U18" s="45"/>
      <c r="V18" s="45"/>
      <c r="W18" s="46"/>
      <c r="X18" s="46"/>
      <c r="Y18" s="46"/>
      <c r="Z18" s="46"/>
      <c r="AA18" s="46"/>
      <c r="AB18" s="60">
        <f t="shared" si="16"/>
        <v>0</v>
      </c>
      <c r="AC18" s="60">
        <f t="shared" si="17"/>
        <v>0</v>
      </c>
      <c r="AD18" s="60">
        <f t="shared" si="18"/>
        <v>0</v>
      </c>
      <c r="AE18" s="60">
        <f t="shared" si="19"/>
        <v>0</v>
      </c>
      <c r="AF18" s="60">
        <f t="shared" si="20"/>
        <v>0</v>
      </c>
    </row>
    <row r="19" spans="1:32" x14ac:dyDescent="0.2">
      <c r="A19" s="40"/>
      <c r="B19" s="53" t="str">
        <f>IF($A19="","",VLOOKUP($A19,Cierre!$A:$L,2,FALSE))</f>
        <v/>
      </c>
      <c r="C19" s="41"/>
      <c r="D19" s="41"/>
      <c r="E19" s="42"/>
      <c r="F19" s="42"/>
      <c r="G19" s="65"/>
      <c r="H19" s="43"/>
      <c r="I19" s="43"/>
      <c r="J19" s="62">
        <f t="shared" si="10"/>
        <v>0</v>
      </c>
      <c r="K19" s="62">
        <f t="shared" si="13"/>
        <v>0</v>
      </c>
      <c r="L19" s="44"/>
      <c r="M19" s="15">
        <f t="shared" si="14"/>
        <v>0</v>
      </c>
      <c r="N19" s="57" t="str">
        <f>IF(I19="","",ROUND(M19/VLOOKUP(YEAR(I19),SMMLV!$A$2:$B$40,2,FALSE),3))</f>
        <v/>
      </c>
      <c r="O19" s="58" t="str">
        <f t="shared" si="15"/>
        <v/>
      </c>
      <c r="P19" s="58" t="str">
        <f t="shared" si="11"/>
        <v/>
      </c>
      <c r="Q19" s="16"/>
      <c r="R19" s="45"/>
      <c r="S19" s="45"/>
      <c r="T19" s="45"/>
      <c r="U19" s="45"/>
      <c r="V19" s="45"/>
      <c r="W19" s="46"/>
      <c r="X19" s="46"/>
      <c r="Y19" s="46"/>
      <c r="Z19" s="46"/>
      <c r="AA19" s="46"/>
      <c r="AB19" s="60">
        <f t="shared" si="16"/>
        <v>0</v>
      </c>
      <c r="AC19" s="60">
        <f t="shared" si="17"/>
        <v>0</v>
      </c>
      <c r="AD19" s="60">
        <f t="shared" si="18"/>
        <v>0</v>
      </c>
      <c r="AE19" s="60">
        <f t="shared" si="19"/>
        <v>0</v>
      </c>
      <c r="AF19" s="60">
        <f t="shared" si="20"/>
        <v>0</v>
      </c>
    </row>
    <row r="20" spans="1:32" x14ac:dyDescent="0.2">
      <c r="A20" s="40"/>
      <c r="B20" s="53" t="str">
        <f>IF($A20="","",VLOOKUP($A20,Cierre!$A:$L,2,FALSE))</f>
        <v/>
      </c>
      <c r="C20" s="41"/>
      <c r="D20" s="41"/>
      <c r="E20" s="42"/>
      <c r="F20" s="42"/>
      <c r="G20" s="65"/>
      <c r="H20" s="43"/>
      <c r="I20" s="43"/>
      <c r="J20" s="62">
        <f t="shared" si="10"/>
        <v>0</v>
      </c>
      <c r="K20" s="62">
        <f t="shared" si="13"/>
        <v>0</v>
      </c>
      <c r="L20" s="44"/>
      <c r="M20" s="15">
        <f t="shared" si="14"/>
        <v>0</v>
      </c>
      <c r="N20" s="57" t="str">
        <f>IF(I20="","",ROUND(M20/VLOOKUP(YEAR(I20),SMMLV!$A$2:$B$40,2,FALSE),3))</f>
        <v/>
      </c>
      <c r="O20" s="58" t="str">
        <f t="shared" si="15"/>
        <v/>
      </c>
      <c r="P20" s="58" t="str">
        <f t="shared" si="11"/>
        <v/>
      </c>
      <c r="Q20" s="16"/>
      <c r="R20" s="45"/>
      <c r="S20" s="45"/>
      <c r="T20" s="45"/>
      <c r="U20" s="45"/>
      <c r="V20" s="45"/>
      <c r="W20" s="46"/>
      <c r="X20" s="46"/>
      <c r="Y20" s="46"/>
      <c r="Z20" s="46"/>
      <c r="AA20" s="46"/>
      <c r="AB20" s="60">
        <f t="shared" si="16"/>
        <v>0</v>
      </c>
      <c r="AC20" s="60">
        <f t="shared" si="17"/>
        <v>0</v>
      </c>
      <c r="AD20" s="60">
        <f t="shared" si="18"/>
        <v>0</v>
      </c>
      <c r="AE20" s="60">
        <f t="shared" si="19"/>
        <v>0</v>
      </c>
      <c r="AF20" s="60">
        <f t="shared" si="20"/>
        <v>0</v>
      </c>
    </row>
    <row r="21" spans="1:32" x14ac:dyDescent="0.2">
      <c r="A21" s="40"/>
      <c r="B21" s="53" t="str">
        <f>IF($A21="","",VLOOKUP($A21,Cierre!$A:$L,2,FALSE))</f>
        <v/>
      </c>
      <c r="C21" s="41"/>
      <c r="D21" s="41"/>
      <c r="E21" s="42"/>
      <c r="F21" s="42"/>
      <c r="G21" s="65"/>
      <c r="H21" s="43"/>
      <c r="I21" s="43"/>
      <c r="J21" s="62">
        <f t="shared" si="10"/>
        <v>0</v>
      </c>
      <c r="K21" s="62">
        <f t="shared" si="13"/>
        <v>0</v>
      </c>
      <c r="L21" s="44"/>
      <c r="M21" s="15">
        <f t="shared" si="14"/>
        <v>0</v>
      </c>
      <c r="N21" s="57" t="str">
        <f>IF(I21="","",ROUND(M21/VLOOKUP(YEAR(I21),SMMLV!$A$2:$B$40,2,FALSE),3))</f>
        <v/>
      </c>
      <c r="O21" s="58" t="str">
        <f t="shared" si="15"/>
        <v/>
      </c>
      <c r="P21" s="58" t="str">
        <f t="shared" si="11"/>
        <v/>
      </c>
      <c r="Q21" s="16"/>
      <c r="R21" s="45"/>
      <c r="S21" s="45"/>
      <c r="T21" s="45"/>
      <c r="U21" s="45"/>
      <c r="V21" s="45"/>
      <c r="W21" s="46"/>
      <c r="X21" s="46"/>
      <c r="Y21" s="46"/>
      <c r="Z21" s="46"/>
      <c r="AA21" s="46"/>
      <c r="AB21" s="60">
        <f t="shared" si="16"/>
        <v>0</v>
      </c>
      <c r="AC21" s="60">
        <f t="shared" si="17"/>
        <v>0</v>
      </c>
      <c r="AD21" s="60">
        <f t="shared" si="18"/>
        <v>0</v>
      </c>
      <c r="AE21" s="60">
        <f t="shared" si="19"/>
        <v>0</v>
      </c>
      <c r="AF21" s="60">
        <f t="shared" si="20"/>
        <v>0</v>
      </c>
    </row>
    <row r="22" spans="1:32" x14ac:dyDescent="0.2">
      <c r="A22" s="40"/>
      <c r="B22" s="53" t="str">
        <f>IF($A22="","",VLOOKUP($A22,Cierre!$A:$L,2,FALSE))</f>
        <v/>
      </c>
      <c r="C22" s="41"/>
      <c r="D22" s="41"/>
      <c r="E22" s="42"/>
      <c r="F22" s="42"/>
      <c r="G22" s="65"/>
      <c r="H22" s="43"/>
      <c r="I22" s="43"/>
      <c r="J22" s="62">
        <f t="shared" si="10"/>
        <v>0</v>
      </c>
      <c r="K22" s="62">
        <f t="shared" si="13"/>
        <v>0</v>
      </c>
      <c r="L22" s="44"/>
      <c r="M22" s="15">
        <f t="shared" si="14"/>
        <v>0</v>
      </c>
      <c r="N22" s="57" t="str">
        <f>IF(I22="","",ROUND(M22/VLOOKUP(YEAR(I22),SMMLV!$A$2:$B$40,2,FALSE),3))</f>
        <v/>
      </c>
      <c r="O22" s="58" t="str">
        <f t="shared" si="15"/>
        <v/>
      </c>
      <c r="P22" s="58" t="str">
        <f t="shared" si="11"/>
        <v/>
      </c>
      <c r="Q22" s="16"/>
      <c r="R22" s="45"/>
      <c r="S22" s="45"/>
      <c r="T22" s="45"/>
      <c r="U22" s="45"/>
      <c r="V22" s="45"/>
      <c r="W22" s="46"/>
      <c r="X22" s="46"/>
      <c r="Y22" s="46"/>
      <c r="Z22" s="46"/>
      <c r="AA22" s="46"/>
      <c r="AB22" s="60">
        <f t="shared" si="16"/>
        <v>0</v>
      </c>
      <c r="AC22" s="60">
        <f t="shared" si="17"/>
        <v>0</v>
      </c>
      <c r="AD22" s="60">
        <f t="shared" si="18"/>
        <v>0</v>
      </c>
      <c r="AE22" s="60">
        <f t="shared" si="19"/>
        <v>0</v>
      </c>
      <c r="AF22" s="60">
        <f t="shared" si="20"/>
        <v>0</v>
      </c>
    </row>
    <row r="23" spans="1:32" x14ac:dyDescent="0.2">
      <c r="A23" s="40"/>
      <c r="B23" s="53" t="str">
        <f>IF($A23="","",VLOOKUP($A23,Cierre!$A:$L,2,FALSE))</f>
        <v/>
      </c>
      <c r="C23" s="41"/>
      <c r="D23" s="41"/>
      <c r="E23" s="42"/>
      <c r="F23" s="42"/>
      <c r="G23" s="65"/>
      <c r="H23" s="43"/>
      <c r="I23" s="43"/>
      <c r="J23" s="62">
        <f t="shared" si="10"/>
        <v>0</v>
      </c>
      <c r="K23" s="62">
        <f t="shared" si="13"/>
        <v>0</v>
      </c>
      <c r="L23" s="44"/>
      <c r="M23" s="15">
        <f t="shared" si="14"/>
        <v>0</v>
      </c>
      <c r="N23" s="57" t="str">
        <f>IF(I23="","",ROUND(M23/VLOOKUP(YEAR(I23),SMMLV!$A$2:$B$40,2,FALSE),3))</f>
        <v/>
      </c>
      <c r="O23" s="58" t="str">
        <f t="shared" si="15"/>
        <v/>
      </c>
      <c r="P23" s="58" t="str">
        <f t="shared" si="11"/>
        <v/>
      </c>
      <c r="Q23" s="16"/>
      <c r="R23" s="45"/>
      <c r="S23" s="45"/>
      <c r="T23" s="45"/>
      <c r="U23" s="45"/>
      <c r="V23" s="45"/>
      <c r="W23" s="46"/>
      <c r="X23" s="46"/>
      <c r="Y23" s="46"/>
      <c r="Z23" s="46"/>
      <c r="AA23" s="46"/>
      <c r="AB23" s="60">
        <f t="shared" si="16"/>
        <v>0</v>
      </c>
      <c r="AC23" s="60">
        <f t="shared" si="17"/>
        <v>0</v>
      </c>
      <c r="AD23" s="60">
        <f t="shared" si="18"/>
        <v>0</v>
      </c>
      <c r="AE23" s="60">
        <f t="shared" si="19"/>
        <v>0</v>
      </c>
      <c r="AF23" s="60">
        <f t="shared" si="20"/>
        <v>0</v>
      </c>
    </row>
    <row r="24" spans="1:32" x14ac:dyDescent="0.2">
      <c r="A24" s="40"/>
      <c r="B24" s="53" t="str">
        <f>IF($A24="","",VLOOKUP($A24,Cierre!$A:$L,2,FALSE))</f>
        <v/>
      </c>
      <c r="C24" s="41"/>
      <c r="D24" s="41"/>
      <c r="E24" s="42"/>
      <c r="F24" s="42"/>
      <c r="G24" s="65"/>
      <c r="H24" s="43"/>
      <c r="I24" s="43"/>
      <c r="J24" s="62">
        <f t="shared" si="10"/>
        <v>0</v>
      </c>
      <c r="K24" s="62">
        <f t="shared" si="13"/>
        <v>0</v>
      </c>
      <c r="L24" s="44"/>
      <c r="M24" s="15">
        <f t="shared" si="14"/>
        <v>0</v>
      </c>
      <c r="N24" s="57" t="str">
        <f>IF(I24="","",ROUND(M24/VLOOKUP(YEAR(I24),SMMLV!$A$2:$B$40,2,FALSE),3))</f>
        <v/>
      </c>
      <c r="O24" s="58" t="str">
        <f t="shared" si="15"/>
        <v/>
      </c>
      <c r="P24" s="58" t="str">
        <f t="shared" si="11"/>
        <v/>
      </c>
      <c r="Q24" s="16"/>
      <c r="R24" s="45"/>
      <c r="S24" s="45"/>
      <c r="T24" s="45"/>
      <c r="U24" s="45"/>
      <c r="V24" s="45"/>
      <c r="W24" s="46"/>
      <c r="X24" s="46"/>
      <c r="Y24" s="46"/>
      <c r="Z24" s="46"/>
      <c r="AA24" s="46"/>
      <c r="AB24" s="60">
        <f t="shared" si="16"/>
        <v>0</v>
      </c>
      <c r="AC24" s="60">
        <f t="shared" si="17"/>
        <v>0</v>
      </c>
      <c r="AD24" s="60">
        <f t="shared" si="18"/>
        <v>0</v>
      </c>
      <c r="AE24" s="60">
        <f t="shared" si="19"/>
        <v>0</v>
      </c>
      <c r="AF24" s="60">
        <f t="shared" si="20"/>
        <v>0</v>
      </c>
    </row>
    <row r="25" spans="1:32" x14ac:dyDescent="0.2">
      <c r="A25" s="40"/>
      <c r="B25" s="53" t="str">
        <f>IF($A25="","",VLOOKUP($A25,Cierre!$A:$L,2,FALSE))</f>
        <v/>
      </c>
      <c r="C25" s="41"/>
      <c r="D25" s="41"/>
      <c r="E25" s="42"/>
      <c r="F25" s="42"/>
      <c r="G25" s="65"/>
      <c r="H25" s="43"/>
      <c r="I25" s="43"/>
      <c r="J25" s="62">
        <f t="shared" si="10"/>
        <v>0</v>
      </c>
      <c r="K25" s="62">
        <f t="shared" si="13"/>
        <v>0</v>
      </c>
      <c r="L25" s="44"/>
      <c r="M25" s="15">
        <f t="shared" si="14"/>
        <v>0</v>
      </c>
      <c r="N25" s="57" t="str">
        <f>IF(I25="","",ROUND(M25/VLOOKUP(YEAR(I25),SMMLV!$A$2:$B$40,2,FALSE),3))</f>
        <v/>
      </c>
      <c r="O25" s="58" t="str">
        <f t="shared" si="15"/>
        <v/>
      </c>
      <c r="P25" s="58" t="str">
        <f t="shared" si="11"/>
        <v/>
      </c>
      <c r="Q25" s="16"/>
      <c r="R25" s="45"/>
      <c r="S25" s="45"/>
      <c r="T25" s="45"/>
      <c r="U25" s="45"/>
      <c r="V25" s="45"/>
      <c r="W25" s="46"/>
      <c r="X25" s="46"/>
      <c r="Y25" s="46"/>
      <c r="Z25" s="46"/>
      <c r="AA25" s="46"/>
      <c r="AB25" s="60">
        <f t="shared" si="16"/>
        <v>0</v>
      </c>
      <c r="AC25" s="60">
        <f t="shared" si="17"/>
        <v>0</v>
      </c>
      <c r="AD25" s="60">
        <f t="shared" si="18"/>
        <v>0</v>
      </c>
      <c r="AE25" s="60">
        <f t="shared" si="19"/>
        <v>0</v>
      </c>
      <c r="AF25" s="60">
        <f t="shared" si="20"/>
        <v>0</v>
      </c>
    </row>
    <row r="26" spans="1:32" x14ac:dyDescent="0.2">
      <c r="A26" s="40"/>
      <c r="B26" s="53" t="str">
        <f>IF($A26="","",VLOOKUP($A26,Cierre!$A:$L,2,FALSE))</f>
        <v/>
      </c>
      <c r="C26" s="41"/>
      <c r="D26" s="41"/>
      <c r="E26" s="42"/>
      <c r="F26" s="42"/>
      <c r="G26" s="65"/>
      <c r="H26" s="43"/>
      <c r="I26" s="43"/>
      <c r="J26" s="62">
        <f t="shared" si="10"/>
        <v>0</v>
      </c>
      <c r="K26" s="62">
        <f t="shared" si="13"/>
        <v>0</v>
      </c>
      <c r="L26" s="44"/>
      <c r="M26" s="15">
        <f t="shared" si="14"/>
        <v>0</v>
      </c>
      <c r="N26" s="57" t="str">
        <f>IF(I26="","",ROUND(M26/VLOOKUP(YEAR(I26),SMMLV!$A$2:$B$40,2,FALSE),3))</f>
        <v/>
      </c>
      <c r="O26" s="58" t="str">
        <f t="shared" si="15"/>
        <v/>
      </c>
      <c r="P26" s="58" t="str">
        <f t="shared" si="11"/>
        <v/>
      </c>
      <c r="Q26" s="16"/>
      <c r="R26" s="45"/>
      <c r="S26" s="45"/>
      <c r="T26" s="45"/>
      <c r="U26" s="45"/>
      <c r="V26" s="45"/>
      <c r="W26" s="46"/>
      <c r="X26" s="46"/>
      <c r="Y26" s="46"/>
      <c r="Z26" s="46"/>
      <c r="AA26" s="46"/>
      <c r="AB26" s="60">
        <f t="shared" si="16"/>
        <v>0</v>
      </c>
      <c r="AC26" s="60">
        <f t="shared" si="17"/>
        <v>0</v>
      </c>
      <c r="AD26" s="60">
        <f t="shared" si="18"/>
        <v>0</v>
      </c>
      <c r="AE26" s="60">
        <f t="shared" si="19"/>
        <v>0</v>
      </c>
      <c r="AF26" s="60">
        <f t="shared" si="20"/>
        <v>0</v>
      </c>
    </row>
    <row r="27" spans="1:32" x14ac:dyDescent="0.2">
      <c r="A27" s="40"/>
      <c r="B27" s="53" t="str">
        <f>IF($A27="","",VLOOKUP($A27,Cierre!$A:$L,2,FALSE))</f>
        <v/>
      </c>
      <c r="C27" s="41"/>
      <c r="D27" s="41"/>
      <c r="E27" s="42"/>
      <c r="F27" s="42"/>
      <c r="G27" s="65"/>
      <c r="H27" s="43"/>
      <c r="I27" s="43"/>
      <c r="J27" s="62">
        <f t="shared" si="10"/>
        <v>0</v>
      </c>
      <c r="K27" s="62">
        <f t="shared" si="13"/>
        <v>0</v>
      </c>
      <c r="L27" s="44"/>
      <c r="M27" s="15">
        <f t="shared" si="14"/>
        <v>0</v>
      </c>
      <c r="N27" s="57" t="str">
        <f>IF(I27="","",ROUND(M27/VLOOKUP(YEAR(I27),SMMLV!$A$2:$B$40,2,FALSE),3))</f>
        <v/>
      </c>
      <c r="O27" s="58" t="str">
        <f t="shared" si="15"/>
        <v/>
      </c>
      <c r="P27" s="58" t="str">
        <f t="shared" si="11"/>
        <v/>
      </c>
      <c r="Q27" s="16"/>
      <c r="R27" s="45"/>
      <c r="S27" s="45"/>
      <c r="T27" s="45"/>
      <c r="U27" s="45"/>
      <c r="V27" s="45"/>
      <c r="W27" s="46"/>
      <c r="X27" s="46"/>
      <c r="Y27" s="46"/>
      <c r="Z27" s="46"/>
      <c r="AA27" s="46"/>
      <c r="AB27" s="60">
        <f t="shared" si="16"/>
        <v>0</v>
      </c>
      <c r="AC27" s="60">
        <f t="shared" si="17"/>
        <v>0</v>
      </c>
      <c r="AD27" s="60">
        <f t="shared" si="18"/>
        <v>0</v>
      </c>
      <c r="AE27" s="60">
        <f t="shared" si="19"/>
        <v>0</v>
      </c>
      <c r="AF27" s="60">
        <f t="shared" si="20"/>
        <v>0</v>
      </c>
    </row>
    <row r="28" spans="1:32" x14ac:dyDescent="0.2">
      <c r="A28" s="40"/>
      <c r="B28" s="53" t="str">
        <f>IF($A28="","",VLOOKUP($A28,Cierre!$A:$L,2,FALSE))</f>
        <v/>
      </c>
      <c r="C28" s="41"/>
      <c r="D28" s="41"/>
      <c r="E28" s="42"/>
      <c r="F28" s="42"/>
      <c r="G28" s="65"/>
      <c r="H28" s="43"/>
      <c r="I28" s="43"/>
      <c r="J28" s="62">
        <f t="shared" si="10"/>
        <v>0</v>
      </c>
      <c r="K28" s="62">
        <f t="shared" si="13"/>
        <v>0</v>
      </c>
      <c r="L28" s="44"/>
      <c r="M28" s="15">
        <f t="shared" si="14"/>
        <v>0</v>
      </c>
      <c r="N28" s="57" t="str">
        <f>IF(I28="","",ROUND(M28/VLOOKUP(YEAR(I28),SMMLV!$A$2:$B$40,2,FALSE),3))</f>
        <v/>
      </c>
      <c r="O28" s="58" t="str">
        <f t="shared" si="15"/>
        <v/>
      </c>
      <c r="P28" s="58" t="str">
        <f t="shared" si="11"/>
        <v/>
      </c>
      <c r="Q28" s="16"/>
      <c r="R28" s="45"/>
      <c r="S28" s="45"/>
      <c r="T28" s="45"/>
      <c r="U28" s="45"/>
      <c r="V28" s="45"/>
      <c r="W28" s="46"/>
      <c r="X28" s="46"/>
      <c r="Y28" s="46"/>
      <c r="Z28" s="46"/>
      <c r="AA28" s="46"/>
      <c r="AB28" s="60">
        <f t="shared" si="16"/>
        <v>0</v>
      </c>
      <c r="AC28" s="60">
        <f t="shared" si="17"/>
        <v>0</v>
      </c>
      <c r="AD28" s="60">
        <f t="shared" si="18"/>
        <v>0</v>
      </c>
      <c r="AE28" s="60">
        <f t="shared" si="19"/>
        <v>0</v>
      </c>
      <c r="AF28" s="60">
        <f t="shared" si="20"/>
        <v>0</v>
      </c>
    </row>
    <row r="29" spans="1:32" x14ac:dyDescent="0.2">
      <c r="A29" s="40"/>
      <c r="B29" s="53" t="str">
        <f>IF($A29="","",VLOOKUP($A29,Cierre!$A:$L,2,FALSE))</f>
        <v/>
      </c>
      <c r="C29" s="41"/>
      <c r="D29" s="41"/>
      <c r="E29" s="54"/>
      <c r="F29" s="42"/>
      <c r="G29" s="65"/>
      <c r="H29" s="43"/>
      <c r="I29" s="43"/>
      <c r="J29" s="62">
        <f t="shared" si="10"/>
        <v>0</v>
      </c>
      <c r="K29" s="62">
        <f t="shared" si="13"/>
        <v>0</v>
      </c>
      <c r="L29" s="44"/>
      <c r="M29" s="15">
        <f t="shared" si="14"/>
        <v>0</v>
      </c>
      <c r="N29" s="57" t="str">
        <f>IF(I29="","",ROUND(M29/VLOOKUP(YEAR(I29),SMMLV!$A$2:$B$40,2,FALSE),3))</f>
        <v/>
      </c>
      <c r="O29" s="58" t="str">
        <f t="shared" si="15"/>
        <v/>
      </c>
      <c r="P29" s="58" t="str">
        <f t="shared" si="11"/>
        <v/>
      </c>
      <c r="Q29" s="16"/>
      <c r="R29" s="45"/>
      <c r="S29" s="45"/>
      <c r="T29" s="45"/>
      <c r="U29" s="45"/>
      <c r="V29" s="45"/>
      <c r="W29" s="46"/>
      <c r="X29" s="46"/>
      <c r="Y29" s="46"/>
      <c r="Z29" s="46"/>
      <c r="AA29" s="46"/>
      <c r="AB29" s="60">
        <f t="shared" si="16"/>
        <v>0</v>
      </c>
      <c r="AC29" s="60">
        <f t="shared" si="17"/>
        <v>0</v>
      </c>
      <c r="AD29" s="60">
        <f t="shared" si="18"/>
        <v>0</v>
      </c>
      <c r="AE29" s="60">
        <f t="shared" si="19"/>
        <v>0</v>
      </c>
      <c r="AF29" s="60">
        <f t="shared" si="20"/>
        <v>0</v>
      </c>
    </row>
    <row r="30" spans="1:32" x14ac:dyDescent="0.2">
      <c r="A30" s="40"/>
      <c r="B30" s="53" t="str">
        <f>IF($A30="","",VLOOKUP($A30,Cierre!$A:$L,2,FALSE))</f>
        <v/>
      </c>
      <c r="C30" s="41"/>
      <c r="D30" s="41"/>
      <c r="E30" s="42"/>
      <c r="F30" s="42"/>
      <c r="G30" s="65"/>
      <c r="H30" s="43"/>
      <c r="I30" s="43"/>
      <c r="J30" s="62">
        <f t="shared" si="10"/>
        <v>0</v>
      </c>
      <c r="K30" s="62">
        <f t="shared" si="13"/>
        <v>0</v>
      </c>
      <c r="L30" s="44"/>
      <c r="M30" s="15">
        <f t="shared" si="14"/>
        <v>0</v>
      </c>
      <c r="N30" s="57" t="str">
        <f>IF(I30="","",ROUND(M30/VLOOKUP(YEAR(I30),SMMLV!$A$2:$B$40,2,FALSE),3))</f>
        <v/>
      </c>
      <c r="O30" s="58" t="str">
        <f t="shared" si="15"/>
        <v/>
      </c>
      <c r="P30" s="58" t="str">
        <f t="shared" si="11"/>
        <v/>
      </c>
      <c r="Q30" s="16"/>
      <c r="R30" s="45"/>
      <c r="S30" s="45"/>
      <c r="T30" s="45"/>
      <c r="U30" s="45"/>
      <c r="V30" s="45"/>
      <c r="W30" s="46"/>
      <c r="X30" s="46"/>
      <c r="Y30" s="46"/>
      <c r="Z30" s="46"/>
      <c r="AA30" s="46"/>
      <c r="AB30" s="60">
        <f t="shared" si="16"/>
        <v>0</v>
      </c>
      <c r="AC30" s="60">
        <f t="shared" si="17"/>
        <v>0</v>
      </c>
      <c r="AD30" s="60">
        <f t="shared" si="18"/>
        <v>0</v>
      </c>
      <c r="AE30" s="60">
        <f t="shared" si="19"/>
        <v>0</v>
      </c>
      <c r="AF30" s="60">
        <f t="shared" si="20"/>
        <v>0</v>
      </c>
    </row>
    <row r="31" spans="1:32" x14ac:dyDescent="0.2">
      <c r="A31" s="40"/>
      <c r="B31" s="53" t="str">
        <f>IF($A31="","",VLOOKUP($A31,Cierre!$A:$L,2,FALSE))</f>
        <v/>
      </c>
      <c r="C31" s="41"/>
      <c r="D31" s="41"/>
      <c r="E31" s="42"/>
      <c r="F31" s="42"/>
      <c r="G31" s="65"/>
      <c r="H31" s="43"/>
      <c r="I31" s="43"/>
      <c r="J31" s="62">
        <f t="shared" si="10"/>
        <v>0</v>
      </c>
      <c r="K31" s="62">
        <f t="shared" si="13"/>
        <v>0</v>
      </c>
      <c r="L31" s="44"/>
      <c r="M31" s="15">
        <f t="shared" si="14"/>
        <v>0</v>
      </c>
      <c r="N31" s="57" t="str">
        <f>IF(I31="","",ROUND(M31/VLOOKUP(YEAR(I31),SMMLV!$A$2:$B$40,2,FALSE),3))</f>
        <v/>
      </c>
      <c r="O31" s="58" t="str">
        <f t="shared" si="15"/>
        <v/>
      </c>
      <c r="P31" s="58" t="str">
        <f t="shared" si="11"/>
        <v/>
      </c>
      <c r="Q31" s="16"/>
      <c r="R31" s="45"/>
      <c r="S31" s="45"/>
      <c r="T31" s="45"/>
      <c r="U31" s="45"/>
      <c r="V31" s="45"/>
      <c r="W31" s="46"/>
      <c r="X31" s="46"/>
      <c r="Y31" s="46"/>
      <c r="Z31" s="46"/>
      <c r="AA31" s="46"/>
      <c r="AB31" s="60">
        <f t="shared" si="16"/>
        <v>0</v>
      </c>
      <c r="AC31" s="60">
        <f t="shared" si="17"/>
        <v>0</v>
      </c>
      <c r="AD31" s="60">
        <f t="shared" si="18"/>
        <v>0</v>
      </c>
      <c r="AE31" s="60">
        <f t="shared" si="19"/>
        <v>0</v>
      </c>
      <c r="AF31" s="60">
        <f t="shared" si="20"/>
        <v>0</v>
      </c>
    </row>
    <row r="32" spans="1:32" x14ac:dyDescent="0.2">
      <c r="A32" s="40"/>
      <c r="B32" s="53" t="str">
        <f>IF($A32="","",VLOOKUP($A32,Cierre!$A:$L,2,FALSE))</f>
        <v/>
      </c>
      <c r="C32" s="41"/>
      <c r="D32" s="41"/>
      <c r="E32" s="42"/>
      <c r="F32" s="42"/>
      <c r="G32" s="65"/>
      <c r="H32" s="43"/>
      <c r="I32" s="43"/>
      <c r="J32" s="62">
        <f t="shared" si="10"/>
        <v>0</v>
      </c>
      <c r="K32" s="62">
        <f t="shared" si="13"/>
        <v>0</v>
      </c>
      <c r="L32" s="44"/>
      <c r="M32" s="15">
        <f t="shared" si="14"/>
        <v>0</v>
      </c>
      <c r="N32" s="57" t="str">
        <f>IF(I32="","",ROUND(M32/VLOOKUP(YEAR(I32),SMMLV!$A$2:$B$40,2,FALSE),3))</f>
        <v/>
      </c>
      <c r="O32" s="58" t="str">
        <f t="shared" si="15"/>
        <v/>
      </c>
      <c r="P32" s="58" t="str">
        <f t="shared" si="11"/>
        <v/>
      </c>
      <c r="Q32" s="16"/>
      <c r="R32" s="45"/>
      <c r="S32" s="45"/>
      <c r="T32" s="45"/>
      <c r="U32" s="45"/>
      <c r="V32" s="45"/>
      <c r="W32" s="46"/>
      <c r="X32" s="46"/>
      <c r="Y32" s="46"/>
      <c r="Z32" s="46"/>
      <c r="AA32" s="46"/>
      <c r="AB32" s="60">
        <f t="shared" si="16"/>
        <v>0</v>
      </c>
      <c r="AC32" s="60">
        <f t="shared" si="17"/>
        <v>0</v>
      </c>
      <c r="AD32" s="60">
        <f t="shared" si="18"/>
        <v>0</v>
      </c>
      <c r="AE32" s="60">
        <f t="shared" si="19"/>
        <v>0</v>
      </c>
      <c r="AF32" s="60">
        <f t="shared" si="20"/>
        <v>0</v>
      </c>
    </row>
    <row r="33" spans="1:32" x14ac:dyDescent="0.2">
      <c r="A33" s="40"/>
      <c r="B33" s="53" t="str">
        <f>IF($A33="","",VLOOKUP($A33,Cierre!$A:$L,2,FALSE))</f>
        <v/>
      </c>
      <c r="C33" s="41"/>
      <c r="D33" s="41"/>
      <c r="E33" s="42"/>
      <c r="F33" s="42"/>
      <c r="G33" s="65"/>
      <c r="H33" s="43"/>
      <c r="I33" s="43"/>
      <c r="J33" s="62">
        <f t="shared" si="10"/>
        <v>0</v>
      </c>
      <c r="K33" s="62">
        <f t="shared" si="13"/>
        <v>0</v>
      </c>
      <c r="L33" s="44"/>
      <c r="M33" s="15">
        <f t="shared" si="14"/>
        <v>0</v>
      </c>
      <c r="N33" s="57" t="str">
        <f>IF(I33="","",ROUND(M33/VLOOKUP(YEAR(I33),SMMLV!$A$2:$B$40,2,FALSE),3))</f>
        <v/>
      </c>
      <c r="O33" s="58" t="str">
        <f t="shared" si="15"/>
        <v/>
      </c>
      <c r="P33" s="58" t="str">
        <f t="shared" si="11"/>
        <v/>
      </c>
      <c r="Q33" s="16"/>
      <c r="R33" s="45"/>
      <c r="S33" s="45"/>
      <c r="T33" s="45"/>
      <c r="U33" s="45"/>
      <c r="V33" s="45"/>
      <c r="W33" s="46"/>
      <c r="X33" s="46"/>
      <c r="Y33" s="46"/>
      <c r="Z33" s="46"/>
      <c r="AA33" s="46"/>
      <c r="AB33" s="60">
        <f t="shared" si="16"/>
        <v>0</v>
      </c>
      <c r="AC33" s="60">
        <f t="shared" si="17"/>
        <v>0</v>
      </c>
      <c r="AD33" s="60">
        <f t="shared" si="18"/>
        <v>0</v>
      </c>
      <c r="AE33" s="60">
        <f t="shared" si="19"/>
        <v>0</v>
      </c>
      <c r="AF33" s="60">
        <f t="shared" si="20"/>
        <v>0</v>
      </c>
    </row>
    <row r="34" spans="1:32" x14ac:dyDescent="0.2">
      <c r="A34" s="40"/>
      <c r="B34" s="53" t="str">
        <f>IF($A34="","",VLOOKUP($A34,Cierre!$A:$L,2,FALSE))</f>
        <v/>
      </c>
      <c r="C34" s="41"/>
      <c r="D34" s="41"/>
      <c r="E34" s="42"/>
      <c r="F34" s="42"/>
      <c r="G34" s="65"/>
      <c r="H34" s="43"/>
      <c r="I34" s="43"/>
      <c r="J34" s="62">
        <f t="shared" si="10"/>
        <v>0</v>
      </c>
      <c r="K34" s="62">
        <f t="shared" si="13"/>
        <v>0</v>
      </c>
      <c r="L34" s="44"/>
      <c r="M34" s="15">
        <f t="shared" si="14"/>
        <v>0</v>
      </c>
      <c r="N34" s="57" t="str">
        <f>IF(I34="","",ROUND(M34/VLOOKUP(YEAR(I34),SMMLV!$A$2:$B$40,2,FALSE),3))</f>
        <v/>
      </c>
      <c r="O34" s="58" t="str">
        <f t="shared" si="15"/>
        <v/>
      </c>
      <c r="P34" s="58" t="str">
        <f t="shared" si="11"/>
        <v/>
      </c>
      <c r="Q34" s="16"/>
      <c r="R34" s="45"/>
      <c r="S34" s="45"/>
      <c r="T34" s="45"/>
      <c r="U34" s="45"/>
      <c r="V34" s="45"/>
      <c r="W34" s="46"/>
      <c r="X34" s="46"/>
      <c r="Y34" s="46"/>
      <c r="Z34" s="46"/>
      <c r="AA34" s="46"/>
      <c r="AB34" s="60">
        <f t="shared" si="16"/>
        <v>0</v>
      </c>
      <c r="AC34" s="60">
        <f t="shared" si="17"/>
        <v>0</v>
      </c>
      <c r="AD34" s="60">
        <f t="shared" si="18"/>
        <v>0</v>
      </c>
      <c r="AE34" s="60">
        <f t="shared" si="19"/>
        <v>0</v>
      </c>
      <c r="AF34" s="60">
        <f t="shared" si="20"/>
        <v>0</v>
      </c>
    </row>
    <row r="35" spans="1:32" x14ac:dyDescent="0.2">
      <c r="A35" s="40"/>
      <c r="B35" s="53" t="str">
        <f>IF($A35="","",VLOOKUP($A35,Cierre!$A:$L,2,FALSE))</f>
        <v/>
      </c>
      <c r="C35" s="41"/>
      <c r="D35" s="41"/>
      <c r="E35" s="42"/>
      <c r="F35" s="42"/>
      <c r="G35" s="65"/>
      <c r="H35" s="43"/>
      <c r="I35" s="43"/>
      <c r="J35" s="62">
        <f t="shared" si="10"/>
        <v>0</v>
      </c>
      <c r="K35" s="62">
        <f t="shared" si="13"/>
        <v>0</v>
      </c>
      <c r="L35" s="44"/>
      <c r="M35" s="15">
        <f t="shared" si="14"/>
        <v>0</v>
      </c>
      <c r="N35" s="57" t="str">
        <f>IF(I35="","",ROUND(M35/VLOOKUP(YEAR(I35),SMMLV!$A$2:$B$40,2,FALSE),3))</f>
        <v/>
      </c>
      <c r="O35" s="58" t="str">
        <f t="shared" si="15"/>
        <v/>
      </c>
      <c r="P35" s="58" t="str">
        <f t="shared" si="11"/>
        <v/>
      </c>
      <c r="Q35" s="16"/>
      <c r="R35" s="45"/>
      <c r="S35" s="45"/>
      <c r="T35" s="45"/>
      <c r="U35" s="45"/>
      <c r="V35" s="45"/>
      <c r="W35" s="46"/>
      <c r="X35" s="46"/>
      <c r="Y35" s="46"/>
      <c r="Z35" s="46"/>
      <c r="AA35" s="46"/>
      <c r="AB35" s="60">
        <f t="shared" si="16"/>
        <v>0</v>
      </c>
      <c r="AC35" s="60">
        <f t="shared" si="17"/>
        <v>0</v>
      </c>
      <c r="AD35" s="60">
        <f t="shared" si="18"/>
        <v>0</v>
      </c>
      <c r="AE35" s="60">
        <f t="shared" si="19"/>
        <v>0</v>
      </c>
      <c r="AF35" s="60">
        <f t="shared" si="20"/>
        <v>0</v>
      </c>
    </row>
    <row r="36" spans="1:32" x14ac:dyDescent="0.2">
      <c r="A36" s="40"/>
      <c r="B36" s="53" t="str">
        <f>IF($A36="","",VLOOKUP($A36,Cierre!$A:$L,2,FALSE))</f>
        <v/>
      </c>
      <c r="C36" s="41"/>
      <c r="D36" s="41"/>
      <c r="E36" s="42"/>
      <c r="F36" s="42"/>
      <c r="G36" s="65"/>
      <c r="H36" s="43"/>
      <c r="I36" s="43"/>
      <c r="J36" s="62">
        <f t="shared" si="10"/>
        <v>0</v>
      </c>
      <c r="K36" s="62">
        <f t="shared" si="13"/>
        <v>0</v>
      </c>
      <c r="L36" s="44"/>
      <c r="M36" s="15">
        <f t="shared" si="14"/>
        <v>0</v>
      </c>
      <c r="N36" s="57" t="str">
        <f>IF(I36="","",ROUND(M36/VLOOKUP(YEAR(I36),SMMLV!$A$2:$B$40,2,FALSE),3))</f>
        <v/>
      </c>
      <c r="O36" s="58" t="str">
        <f t="shared" si="15"/>
        <v/>
      </c>
      <c r="P36" s="58" t="str">
        <f t="shared" si="11"/>
        <v/>
      </c>
      <c r="Q36" s="16"/>
      <c r="R36" s="45"/>
      <c r="S36" s="45"/>
      <c r="T36" s="45"/>
      <c r="U36" s="45"/>
      <c r="V36" s="45"/>
      <c r="W36" s="46"/>
      <c r="X36" s="46"/>
      <c r="Y36" s="46"/>
      <c r="Z36" s="46"/>
      <c r="AA36" s="46"/>
      <c r="AB36" s="60">
        <f t="shared" si="16"/>
        <v>0</v>
      </c>
      <c r="AC36" s="60">
        <f t="shared" si="17"/>
        <v>0</v>
      </c>
      <c r="AD36" s="60">
        <f t="shared" si="18"/>
        <v>0</v>
      </c>
      <c r="AE36" s="60">
        <f t="shared" si="19"/>
        <v>0</v>
      </c>
      <c r="AF36" s="60">
        <f t="shared" si="20"/>
        <v>0</v>
      </c>
    </row>
    <row r="37" spans="1:32" x14ac:dyDescent="0.2">
      <c r="A37" s="40"/>
      <c r="B37" s="53" t="str">
        <f>IF($A37="","",VLOOKUP($A37,Cierre!$A:$L,2,FALSE))</f>
        <v/>
      </c>
      <c r="C37" s="41"/>
      <c r="D37" s="41"/>
      <c r="E37" s="42"/>
      <c r="F37" s="42"/>
      <c r="G37" s="65"/>
      <c r="H37" s="43"/>
      <c r="I37" s="43"/>
      <c r="J37" s="62">
        <f t="shared" si="10"/>
        <v>0</v>
      </c>
      <c r="K37" s="62">
        <f t="shared" si="13"/>
        <v>0</v>
      </c>
      <c r="L37" s="44"/>
      <c r="M37" s="15">
        <f t="shared" si="14"/>
        <v>0</v>
      </c>
      <c r="N37" s="57" t="str">
        <f>IF(I37="","",ROUND(M37/VLOOKUP(YEAR(I37),SMMLV!$A$2:$B$40,2,FALSE),3))</f>
        <v/>
      </c>
      <c r="O37" s="58" t="str">
        <f t="shared" si="15"/>
        <v/>
      </c>
      <c r="P37" s="58" t="str">
        <f t="shared" si="11"/>
        <v/>
      </c>
      <c r="Q37" s="16"/>
      <c r="R37" s="45"/>
      <c r="S37" s="45"/>
      <c r="T37" s="45"/>
      <c r="U37" s="45"/>
      <c r="V37" s="45"/>
      <c r="W37" s="46"/>
      <c r="X37" s="46"/>
      <c r="Y37" s="46"/>
      <c r="Z37" s="46"/>
      <c r="AA37" s="46"/>
      <c r="AB37" s="60">
        <f t="shared" si="16"/>
        <v>0</v>
      </c>
      <c r="AC37" s="60">
        <f t="shared" si="17"/>
        <v>0</v>
      </c>
      <c r="AD37" s="60">
        <f t="shared" si="18"/>
        <v>0</v>
      </c>
      <c r="AE37" s="60">
        <f t="shared" si="19"/>
        <v>0</v>
      </c>
      <c r="AF37" s="60">
        <f t="shared" si="20"/>
        <v>0</v>
      </c>
    </row>
    <row r="38" spans="1:32" x14ac:dyDescent="0.2">
      <c r="A38" s="40"/>
      <c r="B38" s="53" t="str">
        <f>IF($A38="","",VLOOKUP($A38,Cierre!$A:$L,2,FALSE))</f>
        <v/>
      </c>
      <c r="C38" s="41"/>
      <c r="D38" s="41"/>
      <c r="E38" s="42"/>
      <c r="F38" s="42"/>
      <c r="G38" s="65"/>
      <c r="H38" s="43"/>
      <c r="I38" s="43"/>
      <c r="J38" s="62">
        <f t="shared" si="10"/>
        <v>0</v>
      </c>
      <c r="K38" s="62">
        <f t="shared" si="13"/>
        <v>0</v>
      </c>
      <c r="L38" s="44"/>
      <c r="M38" s="15">
        <f t="shared" si="14"/>
        <v>0</v>
      </c>
      <c r="N38" s="57" t="str">
        <f>IF(I38="","",ROUND(M38/VLOOKUP(YEAR(I38),SMMLV!$A$2:$B$40,2,FALSE),3))</f>
        <v/>
      </c>
      <c r="O38" s="58" t="str">
        <f t="shared" si="15"/>
        <v/>
      </c>
      <c r="P38" s="58" t="str">
        <f t="shared" si="11"/>
        <v/>
      </c>
      <c r="Q38" s="16"/>
      <c r="R38" s="45"/>
      <c r="S38" s="45"/>
      <c r="T38" s="45"/>
      <c r="U38" s="45"/>
      <c r="V38" s="45"/>
      <c r="W38" s="46"/>
      <c r="X38" s="46"/>
      <c r="Y38" s="46"/>
      <c r="Z38" s="46"/>
      <c r="AA38" s="46"/>
      <c r="AB38" s="60">
        <f t="shared" si="16"/>
        <v>0</v>
      </c>
      <c r="AC38" s="60">
        <f t="shared" si="17"/>
        <v>0</v>
      </c>
      <c r="AD38" s="60">
        <f t="shared" si="18"/>
        <v>0</v>
      </c>
      <c r="AE38" s="60">
        <f t="shared" si="19"/>
        <v>0</v>
      </c>
      <c r="AF38" s="60">
        <f t="shared" si="20"/>
        <v>0</v>
      </c>
    </row>
    <row r="39" spans="1:32" x14ac:dyDescent="0.2">
      <c r="A39" s="40"/>
      <c r="B39" s="53" t="str">
        <f>IF($A39="","",VLOOKUP($A39,Cierre!$A:$L,2,FALSE))</f>
        <v/>
      </c>
      <c r="C39" s="41"/>
      <c r="D39" s="41"/>
      <c r="E39" s="42"/>
      <c r="F39" s="42"/>
      <c r="G39" s="65"/>
      <c r="H39" s="43"/>
      <c r="I39" s="43"/>
      <c r="J39" s="62">
        <f t="shared" si="10"/>
        <v>0</v>
      </c>
      <c r="K39" s="62">
        <f t="shared" si="13"/>
        <v>0</v>
      </c>
      <c r="L39" s="44"/>
      <c r="M39" s="15">
        <f t="shared" si="14"/>
        <v>0</v>
      </c>
      <c r="N39" s="57" t="str">
        <f>IF(I39="","",ROUND(M39/VLOOKUP(YEAR(I39),SMMLV!$A$2:$B$40,2,FALSE),3))</f>
        <v/>
      </c>
      <c r="O39" s="58" t="str">
        <f t="shared" si="15"/>
        <v/>
      </c>
      <c r="P39" s="58" t="str">
        <f t="shared" si="11"/>
        <v/>
      </c>
      <c r="Q39" s="16"/>
      <c r="R39" s="45"/>
      <c r="S39" s="45"/>
      <c r="T39" s="45"/>
      <c r="U39" s="45"/>
      <c r="V39" s="45"/>
      <c r="W39" s="46"/>
      <c r="X39" s="46"/>
      <c r="Y39" s="46"/>
      <c r="Z39" s="46"/>
      <c r="AA39" s="46"/>
      <c r="AB39" s="60">
        <f t="shared" si="16"/>
        <v>0</v>
      </c>
      <c r="AC39" s="60">
        <f t="shared" si="17"/>
        <v>0</v>
      </c>
      <c r="AD39" s="60">
        <f t="shared" si="18"/>
        <v>0</v>
      </c>
      <c r="AE39" s="60">
        <f t="shared" si="19"/>
        <v>0</v>
      </c>
      <c r="AF39" s="60">
        <f t="shared" si="20"/>
        <v>0</v>
      </c>
    </row>
    <row r="40" spans="1:32" x14ac:dyDescent="0.2">
      <c r="A40" s="40"/>
      <c r="B40" s="53" t="str">
        <f>IF($A40="","",VLOOKUP($A40,Cierre!$A:$L,2,FALSE))</f>
        <v/>
      </c>
      <c r="C40" s="41"/>
      <c r="D40" s="41"/>
      <c r="E40" s="42"/>
      <c r="F40" s="42"/>
      <c r="G40" s="65"/>
      <c r="H40" s="43"/>
      <c r="I40" s="43"/>
      <c r="J40" s="62">
        <f t="shared" si="10"/>
        <v>0</v>
      </c>
      <c r="K40" s="62">
        <f t="shared" si="13"/>
        <v>0</v>
      </c>
      <c r="L40" s="44"/>
      <c r="M40" s="15">
        <f t="shared" si="14"/>
        <v>0</v>
      </c>
      <c r="N40" s="57" t="str">
        <f>IF(I40="","",ROUND(M40/VLOOKUP(YEAR(I40),SMMLV!$A$2:$B$40,2,FALSE),3))</f>
        <v/>
      </c>
      <c r="O40" s="58" t="str">
        <f t="shared" si="15"/>
        <v/>
      </c>
      <c r="P40" s="58" t="str">
        <f t="shared" si="11"/>
        <v/>
      </c>
      <c r="Q40" s="16"/>
      <c r="R40" s="45"/>
      <c r="S40" s="45"/>
      <c r="T40" s="45"/>
      <c r="U40" s="45"/>
      <c r="V40" s="45"/>
      <c r="W40" s="46"/>
      <c r="X40" s="46"/>
      <c r="Y40" s="46"/>
      <c r="Z40" s="46"/>
      <c r="AA40" s="46"/>
      <c r="AB40" s="60">
        <f t="shared" si="16"/>
        <v>0</v>
      </c>
      <c r="AC40" s="60">
        <f t="shared" si="17"/>
        <v>0</v>
      </c>
      <c r="AD40" s="60">
        <f t="shared" si="18"/>
        <v>0</v>
      </c>
      <c r="AE40" s="60">
        <f t="shared" si="19"/>
        <v>0</v>
      </c>
      <c r="AF40" s="60">
        <f t="shared" si="20"/>
        <v>0</v>
      </c>
    </row>
    <row r="41" spans="1:32" x14ac:dyDescent="0.2">
      <c r="A41" s="40"/>
      <c r="B41" s="53" t="str">
        <f>IF($A41="","",VLOOKUP($A41,Cierre!$A:$L,2,FALSE))</f>
        <v/>
      </c>
      <c r="C41" s="41"/>
      <c r="D41" s="41"/>
      <c r="E41" s="42"/>
      <c r="F41" s="42"/>
      <c r="G41" s="65"/>
      <c r="H41" s="43"/>
      <c r="I41" s="43"/>
      <c r="J41" s="62">
        <f t="shared" si="10"/>
        <v>0</v>
      </c>
      <c r="K41" s="62">
        <f t="shared" si="13"/>
        <v>0</v>
      </c>
      <c r="L41" s="44"/>
      <c r="M41" s="15">
        <f t="shared" si="14"/>
        <v>0</v>
      </c>
      <c r="N41" s="57" t="str">
        <f>IF(I41="","",ROUND(M41/VLOOKUP(YEAR(I41),SMMLV!$A$2:$B$40,2,FALSE),3))</f>
        <v/>
      </c>
      <c r="O41" s="58" t="str">
        <f t="shared" si="15"/>
        <v/>
      </c>
      <c r="P41" s="58" t="str">
        <f t="shared" si="11"/>
        <v/>
      </c>
      <c r="Q41" s="16"/>
      <c r="R41" s="45"/>
      <c r="S41" s="45"/>
      <c r="T41" s="45"/>
      <c r="U41" s="45"/>
      <c r="V41" s="45"/>
      <c r="W41" s="46"/>
      <c r="X41" s="46"/>
      <c r="Y41" s="46"/>
      <c r="Z41" s="46"/>
      <c r="AA41" s="46"/>
      <c r="AB41" s="60">
        <f t="shared" si="16"/>
        <v>0</v>
      </c>
      <c r="AC41" s="60">
        <f t="shared" si="17"/>
        <v>0</v>
      </c>
      <c r="AD41" s="60">
        <f t="shared" si="18"/>
        <v>0</v>
      </c>
      <c r="AE41" s="60">
        <f t="shared" si="19"/>
        <v>0</v>
      </c>
      <c r="AF41" s="60">
        <f t="shared" si="20"/>
        <v>0</v>
      </c>
    </row>
    <row r="42" spans="1:32" x14ac:dyDescent="0.2">
      <c r="A42" s="40"/>
      <c r="B42" s="53" t="str">
        <f>IF($A42="","",VLOOKUP($A42,Cierre!$A:$L,2,FALSE))</f>
        <v/>
      </c>
      <c r="C42" s="41"/>
      <c r="D42" s="41"/>
      <c r="E42" s="42"/>
      <c r="F42" s="42"/>
      <c r="G42" s="65"/>
      <c r="H42" s="43"/>
      <c r="I42" s="43"/>
      <c r="J42" s="62">
        <f t="shared" si="10"/>
        <v>0</v>
      </c>
      <c r="K42" s="62">
        <f t="shared" si="13"/>
        <v>0</v>
      </c>
      <c r="L42" s="44"/>
      <c r="M42" s="15">
        <f t="shared" si="14"/>
        <v>0</v>
      </c>
      <c r="N42" s="57" t="str">
        <f>IF(I42="","",ROUND(M42/VLOOKUP(YEAR(I42),SMMLV!$A$2:$B$40,2,FALSE),3))</f>
        <v/>
      </c>
      <c r="O42" s="58" t="str">
        <f t="shared" si="15"/>
        <v/>
      </c>
      <c r="P42" s="58" t="str">
        <f t="shared" si="11"/>
        <v/>
      </c>
      <c r="Q42" s="16"/>
      <c r="R42" s="45"/>
      <c r="S42" s="45"/>
      <c r="T42" s="45"/>
      <c r="U42" s="45"/>
      <c r="V42" s="45"/>
      <c r="W42" s="46"/>
      <c r="X42" s="46"/>
      <c r="Y42" s="46"/>
      <c r="Z42" s="46"/>
      <c r="AA42" s="46"/>
      <c r="AB42" s="60">
        <f t="shared" si="16"/>
        <v>0</v>
      </c>
      <c r="AC42" s="60">
        <f t="shared" si="17"/>
        <v>0</v>
      </c>
      <c r="AD42" s="60">
        <f t="shared" si="18"/>
        <v>0</v>
      </c>
      <c r="AE42" s="60">
        <f t="shared" si="19"/>
        <v>0</v>
      </c>
      <c r="AF42" s="60">
        <f t="shared" si="20"/>
        <v>0</v>
      </c>
    </row>
    <row r="43" spans="1:32" x14ac:dyDescent="0.2">
      <c r="A43" s="40"/>
      <c r="B43" s="53" t="str">
        <f>IF($A43="","",VLOOKUP($A43,Cierre!$A:$L,2,FALSE))</f>
        <v/>
      </c>
      <c r="C43" s="41"/>
      <c r="D43" s="41"/>
      <c r="E43" s="42"/>
      <c r="F43" s="42"/>
      <c r="G43" s="65"/>
      <c r="H43" s="43"/>
      <c r="I43" s="43"/>
      <c r="J43" s="62">
        <f t="shared" si="10"/>
        <v>0</v>
      </c>
      <c r="K43" s="62">
        <f t="shared" si="13"/>
        <v>0</v>
      </c>
      <c r="L43" s="44"/>
      <c r="M43" s="15">
        <f t="shared" si="14"/>
        <v>0</v>
      </c>
      <c r="N43" s="57" t="str">
        <f>IF(I43="","",ROUND(M43/VLOOKUP(YEAR(I43),SMMLV!$A$2:$B$40,2,FALSE),3))</f>
        <v/>
      </c>
      <c r="O43" s="58" t="str">
        <f t="shared" si="15"/>
        <v/>
      </c>
      <c r="P43" s="58" t="str">
        <f t="shared" si="11"/>
        <v/>
      </c>
      <c r="Q43" s="16"/>
      <c r="R43" s="45"/>
      <c r="S43" s="45"/>
      <c r="T43" s="45"/>
      <c r="U43" s="45"/>
      <c r="V43" s="45"/>
      <c r="W43" s="46"/>
      <c r="X43" s="46"/>
      <c r="Y43" s="46"/>
      <c r="Z43" s="46"/>
      <c r="AA43" s="46"/>
      <c r="AB43" s="60">
        <f t="shared" si="16"/>
        <v>0</v>
      </c>
      <c r="AC43" s="60">
        <f t="shared" si="17"/>
        <v>0</v>
      </c>
      <c r="AD43" s="60">
        <f t="shared" si="18"/>
        <v>0</v>
      </c>
      <c r="AE43" s="60">
        <f t="shared" si="19"/>
        <v>0</v>
      </c>
      <c r="AF43" s="60">
        <f t="shared" si="20"/>
        <v>0</v>
      </c>
    </row>
    <row r="44" spans="1:32" x14ac:dyDescent="0.2">
      <c r="A44" s="40"/>
      <c r="B44" s="53" t="str">
        <f>IF($A44="","",VLOOKUP($A44,Cierre!$A:$L,2,FALSE))</f>
        <v/>
      </c>
      <c r="C44" s="41"/>
      <c r="D44" s="41"/>
      <c r="E44" s="42"/>
      <c r="F44" s="42"/>
      <c r="G44" s="65"/>
      <c r="H44" s="43"/>
      <c r="I44" s="43"/>
      <c r="J44" s="62">
        <f t="shared" si="10"/>
        <v>0</v>
      </c>
      <c r="K44" s="62">
        <f t="shared" si="13"/>
        <v>0</v>
      </c>
      <c r="L44" s="44"/>
      <c r="M44" s="15">
        <f t="shared" si="14"/>
        <v>0</v>
      </c>
      <c r="N44" s="57" t="str">
        <f>IF(I44="","",ROUND(M44/VLOOKUP(YEAR(I44),SMMLV!$A$2:$B$40,2,FALSE),3))</f>
        <v/>
      </c>
      <c r="O44" s="58" t="str">
        <f t="shared" si="15"/>
        <v/>
      </c>
      <c r="P44" s="58" t="str">
        <f t="shared" si="11"/>
        <v/>
      </c>
      <c r="Q44" s="16"/>
      <c r="R44" s="45"/>
      <c r="S44" s="45"/>
      <c r="T44" s="45"/>
      <c r="U44" s="45"/>
      <c r="V44" s="45"/>
      <c r="W44" s="46"/>
      <c r="X44" s="46"/>
      <c r="Y44" s="46"/>
      <c r="Z44" s="46"/>
      <c r="AA44" s="46"/>
      <c r="AB44" s="60">
        <f t="shared" si="16"/>
        <v>0</v>
      </c>
      <c r="AC44" s="60">
        <f t="shared" si="17"/>
        <v>0</v>
      </c>
      <c r="AD44" s="60">
        <f t="shared" si="18"/>
        <v>0</v>
      </c>
      <c r="AE44" s="60">
        <f t="shared" si="19"/>
        <v>0</v>
      </c>
      <c r="AF44" s="60">
        <f t="shared" si="20"/>
        <v>0</v>
      </c>
    </row>
    <row r="45" spans="1:32" x14ac:dyDescent="0.2">
      <c r="A45" s="40"/>
      <c r="B45" s="53" t="str">
        <f>IF($A45="","",VLOOKUP($A45,Cierre!$A:$L,2,FALSE))</f>
        <v/>
      </c>
      <c r="C45" s="41"/>
      <c r="D45" s="41"/>
      <c r="E45" s="42"/>
      <c r="F45" s="42"/>
      <c r="G45" s="65"/>
      <c r="H45" s="43"/>
      <c r="I45" s="43"/>
      <c r="J45" s="62">
        <f t="shared" si="10"/>
        <v>0</v>
      </c>
      <c r="K45" s="62">
        <f t="shared" si="13"/>
        <v>0</v>
      </c>
      <c r="L45" s="44"/>
      <c r="M45" s="15">
        <f t="shared" si="14"/>
        <v>0</v>
      </c>
      <c r="N45" s="57" t="str">
        <f>IF(I45="","",ROUND(M45/VLOOKUP(YEAR(I45),SMMLV!$A$2:$B$40,2,FALSE),3))</f>
        <v/>
      </c>
      <c r="O45" s="58" t="str">
        <f t="shared" si="15"/>
        <v/>
      </c>
      <c r="P45" s="58" t="str">
        <f t="shared" si="11"/>
        <v/>
      </c>
      <c r="Q45" s="16"/>
      <c r="R45" s="45"/>
      <c r="S45" s="45"/>
      <c r="T45" s="45"/>
      <c r="U45" s="45"/>
      <c r="V45" s="45"/>
      <c r="W45" s="46"/>
      <c r="X45" s="46"/>
      <c r="Y45" s="46"/>
      <c r="Z45" s="46"/>
      <c r="AA45" s="46"/>
      <c r="AB45" s="60">
        <f t="shared" si="16"/>
        <v>0</v>
      </c>
      <c r="AC45" s="60">
        <f t="shared" si="17"/>
        <v>0</v>
      </c>
      <c r="AD45" s="60">
        <f t="shared" si="18"/>
        <v>0</v>
      </c>
      <c r="AE45" s="60">
        <f t="shared" si="19"/>
        <v>0</v>
      </c>
      <c r="AF45" s="60">
        <f t="shared" si="20"/>
        <v>0</v>
      </c>
    </row>
    <row r="46" spans="1:32" x14ac:dyDescent="0.2">
      <c r="A46" s="40"/>
      <c r="B46" s="53" t="str">
        <f>IF($A46="","",VLOOKUP($A46,Cierre!$A:$L,2,FALSE))</f>
        <v/>
      </c>
      <c r="C46" s="41"/>
      <c r="D46" s="41"/>
      <c r="E46" s="42"/>
      <c r="F46" s="42"/>
      <c r="G46" s="65"/>
      <c r="H46" s="43"/>
      <c r="I46" s="43"/>
      <c r="J46" s="62">
        <f t="shared" si="10"/>
        <v>0</v>
      </c>
      <c r="K46" s="62">
        <f t="shared" si="13"/>
        <v>0</v>
      </c>
      <c r="L46" s="44"/>
      <c r="M46" s="15">
        <f t="shared" si="14"/>
        <v>0</v>
      </c>
      <c r="N46" s="57" t="str">
        <f>IF(I46="","",ROUND(M46/VLOOKUP(YEAR(I46),SMMLV!$A$2:$B$40,2,FALSE),3))</f>
        <v/>
      </c>
      <c r="O46" s="58" t="str">
        <f t="shared" si="15"/>
        <v/>
      </c>
      <c r="P46" s="58" t="str">
        <f t="shared" si="11"/>
        <v/>
      </c>
      <c r="Q46" s="16"/>
      <c r="R46" s="45"/>
      <c r="S46" s="45"/>
      <c r="T46" s="45"/>
      <c r="U46" s="45"/>
      <c r="V46" s="45"/>
      <c r="W46" s="46"/>
      <c r="X46" s="46"/>
      <c r="Y46" s="46"/>
      <c r="Z46" s="46"/>
      <c r="AA46" s="46"/>
      <c r="AB46" s="60">
        <f t="shared" si="16"/>
        <v>0</v>
      </c>
      <c r="AC46" s="60">
        <f t="shared" si="17"/>
        <v>0</v>
      </c>
      <c r="AD46" s="60">
        <f t="shared" si="18"/>
        <v>0</v>
      </c>
      <c r="AE46" s="60">
        <f t="shared" si="19"/>
        <v>0</v>
      </c>
      <c r="AF46" s="60">
        <f t="shared" si="20"/>
        <v>0</v>
      </c>
    </row>
    <row r="47" spans="1:32" x14ac:dyDescent="0.2">
      <c r="A47" s="40"/>
      <c r="B47" s="53" t="str">
        <f>IF($A47="","",VLOOKUP($A47,Cierre!$A:$L,2,FALSE))</f>
        <v/>
      </c>
      <c r="C47" s="41"/>
      <c r="D47" s="41"/>
      <c r="E47" s="42"/>
      <c r="F47" s="42"/>
      <c r="G47" s="65"/>
      <c r="H47" s="43"/>
      <c r="I47" s="43"/>
      <c r="J47" s="62">
        <f t="shared" si="10"/>
        <v>0</v>
      </c>
      <c r="K47" s="62">
        <f t="shared" si="13"/>
        <v>0</v>
      </c>
      <c r="L47" s="44"/>
      <c r="M47" s="15">
        <f t="shared" si="14"/>
        <v>0</v>
      </c>
      <c r="N47" s="57" t="str">
        <f>IF(I47="","",ROUND(M47/VLOOKUP(YEAR(I47),SMMLV!$A$2:$B$40,2,FALSE),3))</f>
        <v/>
      </c>
      <c r="O47" s="58" t="str">
        <f t="shared" si="15"/>
        <v/>
      </c>
      <c r="P47" s="58" t="str">
        <f t="shared" si="11"/>
        <v/>
      </c>
      <c r="Q47" s="16"/>
      <c r="R47" s="45"/>
      <c r="S47" s="45"/>
      <c r="T47" s="45"/>
      <c r="U47" s="45"/>
      <c r="V47" s="45"/>
      <c r="W47" s="46"/>
      <c r="X47" s="46"/>
      <c r="Y47" s="46"/>
      <c r="Z47" s="46"/>
      <c r="AA47" s="46"/>
      <c r="AB47" s="60">
        <f t="shared" ref="AB47:AB53" si="21">IF(R47="",0,ROUND((((S47-R47)+1)/30),3))</f>
        <v>0</v>
      </c>
      <c r="AC47" s="60">
        <f t="shared" ref="AC47:AC53" si="22">IF(T47="",0,ROUND((((U47-T47)+1)/30),3))</f>
        <v>0</v>
      </c>
      <c r="AD47" s="60">
        <f t="shared" ref="AD47:AD53" si="23">IF(V47="",0,ROUND((((W47-V47)+1)/30),3))</f>
        <v>0</v>
      </c>
      <c r="AE47" s="60">
        <f t="shared" ref="AE47:AE53" si="24">IF(X47="",0,ROUND((((Y47-X47)+1)/30),3))</f>
        <v>0</v>
      </c>
      <c r="AF47" s="60">
        <f t="shared" ref="AF47:AF53" si="25">IF(Z47="",0,ROUND((((AA47-Z47)+1)/30),3))</f>
        <v>0</v>
      </c>
    </row>
    <row r="48" spans="1:32" x14ac:dyDescent="0.2">
      <c r="A48" s="40"/>
      <c r="B48" s="53" t="str">
        <f>IF($A48="","",VLOOKUP($A48,Cierre!$A:$L,2,FALSE))</f>
        <v/>
      </c>
      <c r="C48" s="41"/>
      <c r="D48" s="41"/>
      <c r="E48" s="42"/>
      <c r="F48" s="42"/>
      <c r="G48" s="65"/>
      <c r="H48" s="43"/>
      <c r="I48" s="43"/>
      <c r="J48" s="62">
        <f t="shared" si="10"/>
        <v>0</v>
      </c>
      <c r="K48" s="62">
        <f t="shared" si="13"/>
        <v>0</v>
      </c>
      <c r="L48" s="44"/>
      <c r="M48" s="15">
        <f t="shared" si="14"/>
        <v>0</v>
      </c>
      <c r="N48" s="57" t="str">
        <f>IF(I48="","",ROUND(M48/VLOOKUP(YEAR(I48),SMMLV!$A$2:$B$40,2,FALSE),3))</f>
        <v/>
      </c>
      <c r="O48" s="58" t="str">
        <f t="shared" si="15"/>
        <v/>
      </c>
      <c r="P48" s="58" t="str">
        <f t="shared" si="11"/>
        <v/>
      </c>
      <c r="Q48" s="16"/>
      <c r="R48" s="45"/>
      <c r="S48" s="45"/>
      <c r="T48" s="45"/>
      <c r="U48" s="45"/>
      <c r="V48" s="45"/>
      <c r="W48" s="46"/>
      <c r="X48" s="46"/>
      <c r="Y48" s="46"/>
      <c r="Z48" s="46"/>
      <c r="AA48" s="46"/>
      <c r="AB48" s="60">
        <f t="shared" si="21"/>
        <v>0</v>
      </c>
      <c r="AC48" s="60">
        <f t="shared" si="22"/>
        <v>0</v>
      </c>
      <c r="AD48" s="60">
        <f t="shared" si="23"/>
        <v>0</v>
      </c>
      <c r="AE48" s="60">
        <f t="shared" si="24"/>
        <v>0</v>
      </c>
      <c r="AF48" s="60">
        <f t="shared" si="25"/>
        <v>0</v>
      </c>
    </row>
    <row r="49" spans="1:32" x14ac:dyDescent="0.2">
      <c r="A49" s="40"/>
      <c r="B49" s="53" t="str">
        <f>IF($A49="","",VLOOKUP($A49,Cierre!$A:$L,2,FALSE))</f>
        <v/>
      </c>
      <c r="C49" s="41"/>
      <c r="D49" s="41"/>
      <c r="E49" s="42"/>
      <c r="F49" s="42"/>
      <c r="G49" s="65"/>
      <c r="H49" s="43"/>
      <c r="I49" s="43"/>
      <c r="J49" s="62">
        <f t="shared" si="10"/>
        <v>0</v>
      </c>
      <c r="K49" s="62">
        <f t="shared" si="13"/>
        <v>0</v>
      </c>
      <c r="L49" s="44"/>
      <c r="M49" s="15">
        <f t="shared" si="14"/>
        <v>0</v>
      </c>
      <c r="N49" s="57" t="str">
        <f>IF(I49="","",ROUND(M49/VLOOKUP(YEAR(I49),SMMLV!$A$2:$B$40,2,FALSE),3))</f>
        <v/>
      </c>
      <c r="O49" s="58" t="str">
        <f t="shared" si="15"/>
        <v/>
      </c>
      <c r="P49" s="58" t="str">
        <f t="shared" si="11"/>
        <v/>
      </c>
      <c r="Q49" s="16"/>
      <c r="R49" s="45"/>
      <c r="S49" s="45"/>
      <c r="T49" s="45"/>
      <c r="U49" s="45"/>
      <c r="V49" s="45"/>
      <c r="W49" s="46"/>
      <c r="X49" s="46"/>
      <c r="Y49" s="46"/>
      <c r="Z49" s="46"/>
      <c r="AA49" s="46"/>
      <c r="AB49" s="60">
        <f t="shared" si="21"/>
        <v>0</v>
      </c>
      <c r="AC49" s="60">
        <f t="shared" si="22"/>
        <v>0</v>
      </c>
      <c r="AD49" s="60">
        <f t="shared" si="23"/>
        <v>0</v>
      </c>
      <c r="AE49" s="60">
        <f t="shared" si="24"/>
        <v>0</v>
      </c>
      <c r="AF49" s="60">
        <f t="shared" si="25"/>
        <v>0</v>
      </c>
    </row>
    <row r="50" spans="1:32" x14ac:dyDescent="0.2">
      <c r="A50" s="40"/>
      <c r="B50" s="53" t="str">
        <f>IF($A50="","",VLOOKUP($A50,Cierre!$A:$L,2,FALSE))</f>
        <v/>
      </c>
      <c r="C50" s="41"/>
      <c r="D50" s="41"/>
      <c r="E50" s="42"/>
      <c r="F50" s="42"/>
      <c r="G50" s="65"/>
      <c r="H50" s="43"/>
      <c r="I50" s="43"/>
      <c r="J50" s="62">
        <f t="shared" si="10"/>
        <v>0</v>
      </c>
      <c r="K50" s="62">
        <f t="shared" si="13"/>
        <v>0</v>
      </c>
      <c r="L50" s="44"/>
      <c r="M50" s="15">
        <f t="shared" si="14"/>
        <v>0</v>
      </c>
      <c r="N50" s="57" t="str">
        <f>IF(I50="","",ROUND(M50/VLOOKUP(YEAR(I50),SMMLV!$A$2:$B$40,2,FALSE),3))</f>
        <v/>
      </c>
      <c r="O50" s="58" t="str">
        <f t="shared" si="15"/>
        <v/>
      </c>
      <c r="P50" s="58" t="str">
        <f t="shared" si="11"/>
        <v/>
      </c>
      <c r="Q50" s="16"/>
      <c r="R50" s="45"/>
      <c r="S50" s="45"/>
      <c r="T50" s="45"/>
      <c r="U50" s="45"/>
      <c r="V50" s="45"/>
      <c r="W50" s="46"/>
      <c r="X50" s="46"/>
      <c r="Y50" s="46"/>
      <c r="Z50" s="46"/>
      <c r="AA50" s="46"/>
      <c r="AB50" s="60">
        <f t="shared" si="21"/>
        <v>0</v>
      </c>
      <c r="AC50" s="60">
        <f t="shared" si="22"/>
        <v>0</v>
      </c>
      <c r="AD50" s="60">
        <f t="shared" si="23"/>
        <v>0</v>
      </c>
      <c r="AE50" s="60">
        <f t="shared" si="24"/>
        <v>0</v>
      </c>
      <c r="AF50" s="60">
        <f t="shared" si="25"/>
        <v>0</v>
      </c>
    </row>
    <row r="51" spans="1:32" x14ac:dyDescent="0.2">
      <c r="A51" s="40"/>
      <c r="B51" s="53" t="str">
        <f>IF($A51="","",VLOOKUP($A51,Cierre!$A:$L,2,FALSE))</f>
        <v/>
      </c>
      <c r="C51" s="41"/>
      <c r="D51" s="41"/>
      <c r="E51" s="42"/>
      <c r="F51" s="42"/>
      <c r="G51" s="65"/>
      <c r="H51" s="43"/>
      <c r="I51" s="43"/>
      <c r="J51" s="62">
        <f t="shared" si="10"/>
        <v>0</v>
      </c>
      <c r="K51" s="62">
        <f t="shared" si="13"/>
        <v>0</v>
      </c>
      <c r="L51" s="44"/>
      <c r="M51" s="15">
        <f t="shared" si="14"/>
        <v>0</v>
      </c>
      <c r="N51" s="57" t="str">
        <f>IF(I51="","",ROUND(M51/VLOOKUP(YEAR(I51),SMMLV!$A$2:$B$40,2,FALSE),3))</f>
        <v/>
      </c>
      <c r="O51" s="58" t="str">
        <f t="shared" si="15"/>
        <v/>
      </c>
      <c r="P51" s="58" t="str">
        <f t="shared" si="11"/>
        <v/>
      </c>
      <c r="Q51" s="16"/>
      <c r="R51" s="45"/>
      <c r="S51" s="45"/>
      <c r="T51" s="45"/>
      <c r="U51" s="45"/>
      <c r="V51" s="45"/>
      <c r="W51" s="46"/>
      <c r="X51" s="46"/>
      <c r="Y51" s="46"/>
      <c r="Z51" s="46"/>
      <c r="AA51" s="46"/>
      <c r="AB51" s="60">
        <f t="shared" si="21"/>
        <v>0</v>
      </c>
      <c r="AC51" s="60">
        <f t="shared" si="22"/>
        <v>0</v>
      </c>
      <c r="AD51" s="60">
        <f t="shared" si="23"/>
        <v>0</v>
      </c>
      <c r="AE51" s="60">
        <f t="shared" si="24"/>
        <v>0</v>
      </c>
      <c r="AF51" s="60">
        <f t="shared" si="25"/>
        <v>0</v>
      </c>
    </row>
    <row r="52" spans="1:32" x14ac:dyDescent="0.2">
      <c r="A52" s="40"/>
      <c r="B52" s="53" t="str">
        <f>IF($A52="","",VLOOKUP($A52,Cierre!$A:$L,2,FALSE))</f>
        <v/>
      </c>
      <c r="C52" s="41"/>
      <c r="D52" s="41"/>
      <c r="E52" s="42"/>
      <c r="F52" s="42"/>
      <c r="G52" s="65"/>
      <c r="H52" s="43"/>
      <c r="I52" s="43"/>
      <c r="J52" s="62">
        <f t="shared" si="10"/>
        <v>0</v>
      </c>
      <c r="K52" s="62">
        <f t="shared" si="13"/>
        <v>0</v>
      </c>
      <c r="L52" s="44"/>
      <c r="M52" s="15">
        <f t="shared" si="14"/>
        <v>0</v>
      </c>
      <c r="N52" s="57" t="str">
        <f>IF(I52="","",ROUND(M52/VLOOKUP(YEAR(I52),SMMLV!$A$2:$B$40,2,FALSE),3))</f>
        <v/>
      </c>
      <c r="O52" s="58" t="str">
        <f t="shared" si="15"/>
        <v/>
      </c>
      <c r="P52" s="58" t="str">
        <f t="shared" si="11"/>
        <v/>
      </c>
      <c r="Q52" s="16"/>
      <c r="R52" s="45"/>
      <c r="S52" s="45"/>
      <c r="T52" s="45"/>
      <c r="U52" s="45"/>
      <c r="V52" s="45"/>
      <c r="W52" s="46"/>
      <c r="X52" s="46"/>
      <c r="Y52" s="46"/>
      <c r="Z52" s="46"/>
      <c r="AA52" s="46"/>
      <c r="AB52" s="60">
        <f t="shared" si="21"/>
        <v>0</v>
      </c>
      <c r="AC52" s="60">
        <f t="shared" si="22"/>
        <v>0</v>
      </c>
      <c r="AD52" s="60">
        <f t="shared" si="23"/>
        <v>0</v>
      </c>
      <c r="AE52" s="60">
        <f t="shared" si="24"/>
        <v>0</v>
      </c>
      <c r="AF52" s="60">
        <f t="shared" si="25"/>
        <v>0</v>
      </c>
    </row>
    <row r="53" spans="1:32" x14ac:dyDescent="0.2">
      <c r="A53" s="40"/>
      <c r="B53" s="53" t="str">
        <f>IF($A53="","",VLOOKUP($A53,Cierre!$A:$L,2,FALSE))</f>
        <v/>
      </c>
      <c r="C53" s="41"/>
      <c r="D53" s="41"/>
      <c r="E53" s="42"/>
      <c r="F53" s="42"/>
      <c r="G53" s="65"/>
      <c r="H53" s="43"/>
      <c r="I53" s="43"/>
      <c r="J53" s="62">
        <f t="shared" si="10"/>
        <v>0</v>
      </c>
      <c r="K53" s="62">
        <f t="shared" si="13"/>
        <v>0</v>
      </c>
      <c r="L53" s="44"/>
      <c r="M53" s="15">
        <f t="shared" si="14"/>
        <v>0</v>
      </c>
      <c r="N53" s="57" t="str">
        <f>IF(I53="","",ROUND(M53/VLOOKUP(YEAR(I53),SMMLV!$A$2:$B$40,2,FALSE),3))</f>
        <v/>
      </c>
      <c r="O53" s="58" t="str">
        <f t="shared" si="15"/>
        <v/>
      </c>
      <c r="P53" s="58" t="str">
        <f t="shared" si="11"/>
        <v/>
      </c>
      <c r="Q53" s="16"/>
      <c r="R53" s="45"/>
      <c r="S53" s="45"/>
      <c r="T53" s="45"/>
      <c r="U53" s="45"/>
      <c r="V53" s="45"/>
      <c r="W53" s="46"/>
      <c r="X53" s="46"/>
      <c r="Y53" s="46"/>
      <c r="Z53" s="46"/>
      <c r="AA53" s="46"/>
      <c r="AB53" s="60">
        <f t="shared" si="21"/>
        <v>0</v>
      </c>
      <c r="AC53" s="60">
        <f t="shared" si="22"/>
        <v>0</v>
      </c>
      <c r="AD53" s="60">
        <f t="shared" si="23"/>
        <v>0</v>
      </c>
      <c r="AE53" s="60">
        <f t="shared" si="24"/>
        <v>0</v>
      </c>
      <c r="AF53" s="60">
        <f t="shared" si="25"/>
        <v>0</v>
      </c>
    </row>
  </sheetData>
  <autoFilter ref="A1:P53"/>
  <mergeCells count="5">
    <mergeCell ref="R1:S1"/>
    <mergeCell ref="T1:U1"/>
    <mergeCell ref="V1:W1"/>
    <mergeCell ref="X1:Y1"/>
    <mergeCell ref="Z1:AA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89" zoomScaleNormal="89" workbookViewId="0">
      <pane xSplit="2" ySplit="2" topLeftCell="C3" activePane="bottomRight" state="frozenSplit"/>
      <selection activeCell="K16" sqref="K16"/>
      <selection pane="topRight" activeCell="K16" sqref="K16"/>
      <selection pane="bottomLeft" activeCell="K16" sqref="K16"/>
      <selection pane="bottomRight" activeCell="D9" sqref="D9"/>
    </sheetView>
  </sheetViews>
  <sheetFormatPr baseColWidth="10" defaultColWidth="11.42578125" defaultRowHeight="12.75" x14ac:dyDescent="0.2"/>
  <cols>
    <col min="1" max="1" width="5.42578125" style="7" bestFit="1" customWidth="1"/>
    <col min="2" max="2" width="62.42578125" style="6" bestFit="1" customWidth="1"/>
    <col min="3" max="4" width="14.7109375" style="7" customWidth="1"/>
    <col min="5" max="5" width="18.7109375" style="7" bestFit="1" customWidth="1"/>
    <col min="6" max="7" width="18.7109375" style="7" customWidth="1"/>
    <col min="8" max="8" width="17.85546875" style="7" customWidth="1"/>
    <col min="9" max="16384" width="11.42578125" style="7"/>
  </cols>
  <sheetData>
    <row r="1" spans="1:8" ht="36" customHeight="1" x14ac:dyDescent="0.2">
      <c r="A1" s="181" t="s">
        <v>0</v>
      </c>
      <c r="B1" s="181" t="s">
        <v>18</v>
      </c>
      <c r="C1" s="181" t="s">
        <v>57</v>
      </c>
      <c r="D1" s="181" t="s">
        <v>59</v>
      </c>
      <c r="E1" s="181" t="s">
        <v>76</v>
      </c>
      <c r="F1" s="181" t="s">
        <v>114</v>
      </c>
      <c r="G1" s="181" t="s">
        <v>104</v>
      </c>
      <c r="H1" s="183" t="s">
        <v>125</v>
      </c>
    </row>
    <row r="2" spans="1:8" ht="63" customHeight="1" x14ac:dyDescent="0.2">
      <c r="A2" s="182"/>
      <c r="B2" s="182"/>
      <c r="C2" s="182"/>
      <c r="D2" s="182"/>
      <c r="E2" s="182"/>
      <c r="F2" s="182"/>
      <c r="G2" s="183"/>
      <c r="H2" s="183"/>
    </row>
    <row r="3" spans="1:8" ht="77.25" customHeight="1" x14ac:dyDescent="0.2">
      <c r="A3" s="71">
        <v>1</v>
      </c>
      <c r="B3" s="109" t="str">
        <f>VLOOKUP($A3,Cierre!$A:$H,2,FALSE)</f>
        <v>IMPORLED S.A.S.</v>
      </c>
      <c r="C3" s="71" t="s">
        <v>124</v>
      </c>
      <c r="D3" s="71" t="s">
        <v>123</v>
      </c>
      <c r="E3" s="71" t="s">
        <v>123</v>
      </c>
      <c r="F3" s="71">
        <f>523.6+91.24+95.66</f>
        <v>710.5</v>
      </c>
      <c r="G3" s="109" t="str">
        <f>IF(SUMIF($A:$A,$A3,$F:$F)&lt;(Información!$B$22),"NO HÁBIL","HÁBIL")</f>
        <v>HÁBIL</v>
      </c>
      <c r="H3" s="109" t="s">
        <v>123</v>
      </c>
    </row>
    <row r="4" spans="1:8" ht="30.75" customHeight="1" x14ac:dyDescent="0.2"/>
  </sheetData>
  <mergeCells count="8">
    <mergeCell ref="C1:C2"/>
    <mergeCell ref="A1:A2"/>
    <mergeCell ref="B1:B2"/>
    <mergeCell ref="D1:D2"/>
    <mergeCell ref="E1:E2"/>
    <mergeCell ref="G1:G2"/>
    <mergeCell ref="H1:H2"/>
    <mergeCell ref="F1:F2"/>
  </mergeCells>
  <conditionalFormatting sqref="C3:F3">
    <cfRule type="cellIs" dxfId="3" priority="43" operator="equal">
      <formula>"NO HÁBIL"</formula>
    </cfRule>
    <cfRule type="cellIs" dxfId="2" priority="532" operator="equal">
      <formula>"SUBSANAR"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9" operator="lessThan" id="{3AC655CA-023A-41C6-8127-F8D746D21E3D}">
            <xm:f>Información!$B$22</xm:f>
            <x14:dxf>
              <fill>
                <patternFill>
                  <bgColor rgb="FFFF0000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" operator="lessThan" id="{754D63BC-03FE-4632-9A0E-85B071B030C8}">
            <xm:f>Información!$B$22</xm:f>
            <x14:dxf>
              <fill>
                <patternFill>
                  <bgColor rgb="FFFF0000"/>
                </patternFill>
              </fill>
            </x14:dxf>
          </x14:cfRule>
          <xm:sqref>H3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"/>
  <sheetViews>
    <sheetView topLeftCell="A13" workbookViewId="0">
      <selection activeCell="A54" sqref="A54:A56"/>
    </sheetView>
  </sheetViews>
  <sheetFormatPr baseColWidth="10" defaultRowHeight="12.75" x14ac:dyDescent="0.2"/>
  <cols>
    <col min="1" max="1" width="14.42578125" customWidth="1"/>
    <col min="2" max="2" width="27" style="10" customWidth="1"/>
  </cols>
  <sheetData>
    <row r="1" spans="1:2" x14ac:dyDescent="0.2">
      <c r="A1" s="24" t="s">
        <v>65</v>
      </c>
      <c r="B1" s="25" t="s">
        <v>66</v>
      </c>
    </row>
    <row r="2" spans="1:2" x14ac:dyDescent="0.2">
      <c r="A2" s="22">
        <v>1980</v>
      </c>
      <c r="B2" s="23">
        <v>4500</v>
      </c>
    </row>
    <row r="3" spans="1:2" x14ac:dyDescent="0.2">
      <c r="A3" s="22">
        <v>1981</v>
      </c>
      <c r="B3" s="23">
        <v>5700</v>
      </c>
    </row>
    <row r="4" spans="1:2" x14ac:dyDescent="0.2">
      <c r="A4" s="22">
        <v>1982</v>
      </c>
      <c r="B4" s="23">
        <v>7410</v>
      </c>
    </row>
    <row r="5" spans="1:2" x14ac:dyDescent="0.2">
      <c r="A5" s="22">
        <v>1983</v>
      </c>
      <c r="B5" s="23">
        <v>9261</v>
      </c>
    </row>
    <row r="6" spans="1:2" x14ac:dyDescent="0.2">
      <c r="A6" s="22">
        <v>1984</v>
      </c>
      <c r="B6" s="23">
        <v>11298</v>
      </c>
    </row>
    <row r="7" spans="1:2" x14ac:dyDescent="0.2">
      <c r="A7" s="22">
        <v>1985</v>
      </c>
      <c r="B7" s="23">
        <v>13558</v>
      </c>
    </row>
    <row r="8" spans="1:2" x14ac:dyDescent="0.2">
      <c r="A8" s="22">
        <v>1986</v>
      </c>
      <c r="B8" s="23">
        <v>16811</v>
      </c>
    </row>
    <row r="9" spans="1:2" x14ac:dyDescent="0.2">
      <c r="A9" s="22">
        <v>1987</v>
      </c>
      <c r="B9" s="23">
        <v>20510</v>
      </c>
    </row>
    <row r="10" spans="1:2" x14ac:dyDescent="0.2">
      <c r="A10" s="22">
        <v>1988</v>
      </c>
      <c r="B10" s="23">
        <v>25637</v>
      </c>
    </row>
    <row r="11" spans="1:2" x14ac:dyDescent="0.2">
      <c r="A11" s="22">
        <v>1989</v>
      </c>
      <c r="B11" s="23">
        <v>32560</v>
      </c>
    </row>
    <row r="12" spans="1:2" x14ac:dyDescent="0.2">
      <c r="A12" s="22">
        <v>1990</v>
      </c>
      <c r="B12" s="23">
        <v>41025</v>
      </c>
    </row>
    <row r="13" spans="1:2" x14ac:dyDescent="0.2">
      <c r="A13" s="22">
        <v>1991</v>
      </c>
      <c r="B13" s="23">
        <v>51716</v>
      </c>
    </row>
    <row r="14" spans="1:2" x14ac:dyDescent="0.2">
      <c r="A14" s="22">
        <v>1992</v>
      </c>
      <c r="B14" s="23">
        <v>65190</v>
      </c>
    </row>
    <row r="15" spans="1:2" x14ac:dyDescent="0.2">
      <c r="A15" s="22">
        <v>1993</v>
      </c>
      <c r="B15" s="23">
        <v>81510</v>
      </c>
    </row>
    <row r="16" spans="1:2" x14ac:dyDescent="0.2">
      <c r="A16" s="22">
        <v>1994</v>
      </c>
      <c r="B16" s="23">
        <v>98700</v>
      </c>
    </row>
    <row r="17" spans="1:2" x14ac:dyDescent="0.2">
      <c r="A17" s="22">
        <v>1995</v>
      </c>
      <c r="B17" s="23">
        <v>118934</v>
      </c>
    </row>
    <row r="18" spans="1:2" x14ac:dyDescent="0.2">
      <c r="A18" s="22">
        <v>1996</v>
      </c>
      <c r="B18" s="23">
        <v>142125</v>
      </c>
    </row>
    <row r="19" spans="1:2" x14ac:dyDescent="0.2">
      <c r="A19" s="22">
        <v>1997</v>
      </c>
      <c r="B19" s="23">
        <v>172005</v>
      </c>
    </row>
    <row r="20" spans="1:2" x14ac:dyDescent="0.2">
      <c r="A20" s="22">
        <v>1998</v>
      </c>
      <c r="B20" s="23">
        <v>203826</v>
      </c>
    </row>
    <row r="21" spans="1:2" x14ac:dyDescent="0.2">
      <c r="A21" s="22">
        <v>1999</v>
      </c>
      <c r="B21" s="23">
        <v>236460</v>
      </c>
    </row>
    <row r="22" spans="1:2" x14ac:dyDescent="0.2">
      <c r="A22" s="22">
        <v>2000</v>
      </c>
      <c r="B22" s="23">
        <v>260100</v>
      </c>
    </row>
    <row r="23" spans="1:2" x14ac:dyDescent="0.2">
      <c r="A23" s="22">
        <v>2001</v>
      </c>
      <c r="B23" s="23">
        <v>286000</v>
      </c>
    </row>
    <row r="24" spans="1:2" x14ac:dyDescent="0.2">
      <c r="A24" s="22">
        <v>2002</v>
      </c>
      <c r="B24" s="23">
        <v>309000</v>
      </c>
    </row>
    <row r="25" spans="1:2" x14ac:dyDescent="0.2">
      <c r="A25" s="22">
        <v>2003</v>
      </c>
      <c r="B25" s="23">
        <v>332000</v>
      </c>
    </row>
    <row r="26" spans="1:2" x14ac:dyDescent="0.2">
      <c r="A26" s="22">
        <v>2004</v>
      </c>
      <c r="B26" s="23">
        <v>358000</v>
      </c>
    </row>
    <row r="27" spans="1:2" x14ac:dyDescent="0.2">
      <c r="A27" s="22">
        <v>2005</v>
      </c>
      <c r="B27" s="23">
        <v>381500</v>
      </c>
    </row>
    <row r="28" spans="1:2" x14ac:dyDescent="0.2">
      <c r="A28" s="22">
        <v>2006</v>
      </c>
      <c r="B28" s="23">
        <v>408000</v>
      </c>
    </row>
    <row r="29" spans="1:2" x14ac:dyDescent="0.2">
      <c r="A29" s="22">
        <v>2007</v>
      </c>
      <c r="B29" s="23">
        <v>433700</v>
      </c>
    </row>
    <row r="30" spans="1:2" x14ac:dyDescent="0.2">
      <c r="A30" s="22">
        <v>2008</v>
      </c>
      <c r="B30" s="23">
        <v>461500</v>
      </c>
    </row>
    <row r="31" spans="1:2" x14ac:dyDescent="0.2">
      <c r="A31" s="22">
        <v>2009</v>
      </c>
      <c r="B31" s="23">
        <v>496900</v>
      </c>
    </row>
    <row r="32" spans="1:2" x14ac:dyDescent="0.2">
      <c r="A32" s="22">
        <v>2010</v>
      </c>
      <c r="B32" s="23">
        <v>515000</v>
      </c>
    </row>
    <row r="33" spans="1:2" x14ac:dyDescent="0.2">
      <c r="A33" s="22">
        <v>2011</v>
      </c>
      <c r="B33" s="23">
        <v>535600</v>
      </c>
    </row>
    <row r="34" spans="1:2" x14ac:dyDescent="0.2">
      <c r="A34" s="22">
        <v>2012</v>
      </c>
      <c r="B34" s="23">
        <v>566700</v>
      </c>
    </row>
    <row r="35" spans="1:2" x14ac:dyDescent="0.2">
      <c r="A35" s="22">
        <v>2013</v>
      </c>
      <c r="B35" s="23">
        <v>589500</v>
      </c>
    </row>
    <row r="36" spans="1:2" x14ac:dyDescent="0.2">
      <c r="A36" s="22">
        <v>2014</v>
      </c>
      <c r="B36" s="23">
        <v>616000</v>
      </c>
    </row>
    <row r="37" spans="1:2" x14ac:dyDescent="0.2">
      <c r="A37" s="22">
        <v>2015</v>
      </c>
      <c r="B37" s="23">
        <v>644350</v>
      </c>
    </row>
    <row r="38" spans="1:2" x14ac:dyDescent="0.2">
      <c r="A38" s="22">
        <v>2016</v>
      </c>
      <c r="B38" s="23">
        <v>689455</v>
      </c>
    </row>
    <row r="39" spans="1:2" x14ac:dyDescent="0.2">
      <c r="A39" s="22">
        <v>2017</v>
      </c>
      <c r="B39" s="23">
        <v>737717</v>
      </c>
    </row>
    <row r="40" spans="1:2" x14ac:dyDescent="0.2">
      <c r="A40" s="22">
        <v>2018</v>
      </c>
      <c r="B40" s="23">
        <v>781242</v>
      </c>
    </row>
    <row r="41" spans="1:2" x14ac:dyDescent="0.2">
      <c r="A41" s="22">
        <v>2019</v>
      </c>
      <c r="B41" s="23">
        <v>828116</v>
      </c>
    </row>
    <row r="43" spans="1:2" x14ac:dyDescent="0.2">
      <c r="A43" t="s">
        <v>86</v>
      </c>
    </row>
    <row r="44" spans="1:2" x14ac:dyDescent="0.2">
      <c r="A44" t="s">
        <v>95</v>
      </c>
    </row>
    <row r="45" spans="1:2" x14ac:dyDescent="0.2">
      <c r="A45" t="s">
        <v>89</v>
      </c>
    </row>
    <row r="46" spans="1:2" x14ac:dyDescent="0.2">
      <c r="A46" t="s">
        <v>102</v>
      </c>
    </row>
    <row r="47" spans="1:2" x14ac:dyDescent="0.2">
      <c r="A47" t="s">
        <v>92</v>
      </c>
    </row>
    <row r="48" spans="1:2" x14ac:dyDescent="0.2">
      <c r="A48" t="s">
        <v>89</v>
      </c>
    </row>
    <row r="50" spans="1:1" x14ac:dyDescent="0.2">
      <c r="A50" t="s">
        <v>87</v>
      </c>
    </row>
    <row r="51" spans="1:1" x14ac:dyDescent="0.2">
      <c r="A51" t="s">
        <v>94</v>
      </c>
    </row>
    <row r="52" spans="1:1" x14ac:dyDescent="0.2">
      <c r="A52" t="s">
        <v>91</v>
      </c>
    </row>
    <row r="54" spans="1:1" x14ac:dyDescent="0.2">
      <c r="A54" t="s">
        <v>88</v>
      </c>
    </row>
    <row r="55" spans="1:1" x14ac:dyDescent="0.2">
      <c r="A55" t="s">
        <v>93</v>
      </c>
    </row>
    <row r="56" spans="1:1" x14ac:dyDescent="0.2">
      <c r="A56" t="s">
        <v>89</v>
      </c>
    </row>
    <row r="57" spans="1:1" x14ac:dyDescent="0.2">
      <c r="A57" t="s">
        <v>103</v>
      </c>
    </row>
    <row r="60" spans="1:1" x14ac:dyDescent="0.2">
      <c r="A60" t="s">
        <v>97</v>
      </c>
    </row>
    <row r="61" spans="1:1" x14ac:dyDescent="0.2">
      <c r="A61" t="s">
        <v>96</v>
      </c>
    </row>
    <row r="62" spans="1:1" x14ac:dyDescent="0.2">
      <c r="A6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Información</vt:lpstr>
      <vt:lpstr>Cierre</vt:lpstr>
      <vt:lpstr>Capacidad Juridica</vt:lpstr>
      <vt:lpstr>Capacidad Financiera</vt:lpstr>
      <vt:lpstr>Experiencia</vt:lpstr>
      <vt:lpstr>Resumen Calificación</vt:lpstr>
      <vt:lpstr>SMMLV</vt:lpstr>
      <vt:lpstr>Cierre!Área_de_impresión</vt:lpstr>
      <vt:lpstr>Cierre!Títulos_a_imprimir</vt:lpstr>
    </vt:vector>
  </TitlesOfParts>
  <Company>gensa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mvanegas</dc:creator>
  <cp:lastModifiedBy>Luz Danelly Aguirre</cp:lastModifiedBy>
  <cp:lastPrinted>2018-04-26T20:54:52Z</cp:lastPrinted>
  <dcterms:created xsi:type="dcterms:W3CDTF">2010-05-03T23:53:06Z</dcterms:created>
  <dcterms:modified xsi:type="dcterms:W3CDTF">2019-09-09T19:03:59Z</dcterms:modified>
</cp:coreProperties>
</file>