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mc:AlternateContent xmlns:mc="http://schemas.openxmlformats.org/markup-compatibility/2006">
    <mc:Choice Requires="x15">
      <x15ac:absPath xmlns:x15ac="http://schemas.microsoft.com/office/spreadsheetml/2010/11/ac" url="\\172.23.129.235\contratos\10. OPS. JUAN S BRIÑEZ H\BASER 13-MAQUINAS GYM\Docs Estructuración\"/>
    </mc:Choice>
  </mc:AlternateContent>
  <xr:revisionPtr revIDLastSave="0" documentId="13_ncr:1_{68265731-5198-44B0-8639-C0BAE6B93A65}" xr6:coauthVersionLast="47" xr6:coauthVersionMax="47" xr10:uidLastSave="{00000000-0000-0000-0000-000000000000}"/>
  <bookViews>
    <workbookView xWindow="-120" yWindow="-120" windowWidth="29040" windowHeight="15840" activeTab="2" xr2:uid="{00000000-000D-0000-FFFF-FFFF00000000}"/>
  </bookViews>
  <sheets>
    <sheet name="Proyección Precios Lote 1" sheetId="1" r:id="rId1"/>
    <sheet name="Proyección Precios Lote 2" sheetId="2" r:id="rId2"/>
    <sheet name="Proyección Precios Lote 3" sheetId="3" r:id="rId3"/>
  </sheets>
  <definedNames>
    <definedName name="_xlnm._FilterDatabase" localSheetId="1" hidden="1">'Proyección Precios Lote 2'!$A$2:$AC$20</definedName>
    <definedName name="_xlnm.Print_Area" localSheetId="0">'Proyección Precios Lote 1'!$A$2:$H$13</definedName>
    <definedName name="_xlnm.Print_Area" localSheetId="1">'Proyección Precios Lote 2'!$A$2:$L$17</definedName>
    <definedName name="_xlnm.Print_Area" localSheetId="2">'Proyección Precios Lote 3'!$A$2:$H$4</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C5" i="3" l="1"/>
  <c r="S4" i="3"/>
  <c r="T4" i="3" s="1"/>
  <c r="O4" i="3"/>
  <c r="P4" i="3" s="1"/>
  <c r="L4" i="3"/>
  <c r="I4" i="3"/>
  <c r="U4" i="3" s="1"/>
  <c r="G4" i="3"/>
  <c r="H4" i="3" s="1"/>
  <c r="S3" i="3"/>
  <c r="T3" i="3" s="1"/>
  <c r="O3" i="3"/>
  <c r="P3" i="3" s="1"/>
  <c r="L3" i="3"/>
  <c r="I3" i="3"/>
  <c r="W3" i="3" s="1"/>
  <c r="G3" i="3"/>
  <c r="H3" i="3" s="1"/>
  <c r="W17" i="2"/>
  <c r="V17" i="2"/>
  <c r="Z17" i="2" s="1"/>
  <c r="U17" i="2"/>
  <c r="X17" i="2" s="1"/>
  <c r="Y17" i="2" s="1"/>
  <c r="S17" i="2"/>
  <c r="T17" i="2" s="1"/>
  <c r="O17" i="2"/>
  <c r="P17" i="2" s="1"/>
  <c r="K17" i="2"/>
  <c r="L17" i="2" s="1"/>
  <c r="G17" i="2"/>
  <c r="H17" i="2" s="1"/>
  <c r="W16" i="2"/>
  <c r="V16" i="2"/>
  <c r="U16" i="2"/>
  <c r="Z16" i="2" s="1"/>
  <c r="S16" i="2"/>
  <c r="T16" i="2" s="1"/>
  <c r="O16" i="2"/>
  <c r="P16" i="2" s="1"/>
  <c r="K16" i="2"/>
  <c r="L16" i="2" s="1"/>
  <c r="G16" i="2"/>
  <c r="H16" i="2" s="1"/>
  <c r="AC15" i="2"/>
  <c r="W15" i="2"/>
  <c r="V15" i="2"/>
  <c r="X15" i="2" s="1"/>
  <c r="Y15" i="2" s="1"/>
  <c r="U15" i="2"/>
  <c r="Z15" i="2" s="1"/>
  <c r="AB15" i="2" s="1"/>
  <c r="S15" i="2"/>
  <c r="T15" i="2" s="1"/>
  <c r="P15" i="2"/>
  <c r="O15" i="2"/>
  <c r="K15" i="2"/>
  <c r="L15" i="2" s="1"/>
  <c r="H15" i="2"/>
  <c r="G15" i="2"/>
  <c r="X14" i="2"/>
  <c r="Y14" i="2" s="1"/>
  <c r="W14" i="2"/>
  <c r="V14" i="2"/>
  <c r="U14" i="2"/>
  <c r="Z14" i="2" s="1"/>
  <c r="T14" i="2"/>
  <c r="S14" i="2"/>
  <c r="O14" i="2"/>
  <c r="P14" i="2" s="1"/>
  <c r="L14" i="2"/>
  <c r="K14" i="2"/>
  <c r="G14" i="2"/>
  <c r="H14" i="2" s="1"/>
  <c r="W13" i="2"/>
  <c r="V13" i="2"/>
  <c r="U13" i="2"/>
  <c r="Z13" i="2" s="1"/>
  <c r="S13" i="2"/>
  <c r="T13" i="2" s="1"/>
  <c r="P13" i="2"/>
  <c r="O13" i="2"/>
  <c r="K13" i="2"/>
  <c r="L13" i="2" s="1"/>
  <c r="G13" i="2"/>
  <c r="H13" i="2" s="1"/>
  <c r="AC12" i="2"/>
  <c r="W12" i="2"/>
  <c r="V12" i="2"/>
  <c r="U12" i="2"/>
  <c r="X12" i="2" s="1"/>
  <c r="Y12" i="2" s="1"/>
  <c r="S12" i="2"/>
  <c r="T12" i="2" s="1"/>
  <c r="O12" i="2"/>
  <c r="P12" i="2" s="1"/>
  <c r="K12" i="2"/>
  <c r="L12" i="2" s="1"/>
  <c r="G12" i="2"/>
  <c r="H12" i="2" s="1"/>
  <c r="W11" i="2"/>
  <c r="V11" i="2"/>
  <c r="U11" i="2"/>
  <c r="X11" i="2" s="1"/>
  <c r="Y11" i="2" s="1"/>
  <c r="S11" i="2"/>
  <c r="T11" i="2" s="1"/>
  <c r="O11" i="2"/>
  <c r="P11" i="2" s="1"/>
  <c r="K11" i="2"/>
  <c r="L11" i="2" s="1"/>
  <c r="G11" i="2"/>
  <c r="H11" i="2" s="1"/>
  <c r="W10" i="2"/>
  <c r="V10" i="2"/>
  <c r="U10" i="2"/>
  <c r="X10" i="2" s="1"/>
  <c r="Y10" i="2" s="1"/>
  <c r="S10" i="2"/>
  <c r="T10" i="2" s="1"/>
  <c r="O10" i="2"/>
  <c r="P10" i="2" s="1"/>
  <c r="K10" i="2"/>
  <c r="L10" i="2" s="1"/>
  <c r="G10" i="2"/>
  <c r="H10" i="2" s="1"/>
  <c r="W9" i="2"/>
  <c r="V9" i="2"/>
  <c r="U9" i="2"/>
  <c r="X9" i="2" s="1"/>
  <c r="Y9" i="2" s="1"/>
  <c r="S9" i="2"/>
  <c r="T9" i="2" s="1"/>
  <c r="O9" i="2"/>
  <c r="P9" i="2" s="1"/>
  <c r="K9" i="2"/>
  <c r="L9" i="2" s="1"/>
  <c r="G9" i="2"/>
  <c r="H9" i="2" s="1"/>
  <c r="AC8" i="2"/>
  <c r="W8" i="2"/>
  <c r="V8" i="2"/>
  <c r="U8" i="2"/>
  <c r="Z8" i="2" s="1"/>
  <c r="AB8" i="2" s="1"/>
  <c r="T8" i="2"/>
  <c r="S8" i="2"/>
  <c r="O8" i="2"/>
  <c r="P8" i="2" s="1"/>
  <c r="K8" i="2"/>
  <c r="L8" i="2" s="1"/>
  <c r="G8" i="2"/>
  <c r="H8" i="2" s="1"/>
  <c r="AC7" i="2"/>
  <c r="W7" i="2"/>
  <c r="V7" i="2"/>
  <c r="U7" i="2"/>
  <c r="Z7" i="2" s="1"/>
  <c r="S7" i="2"/>
  <c r="T7" i="2" s="1"/>
  <c r="O7" i="2"/>
  <c r="P7" i="2" s="1"/>
  <c r="K7" i="2"/>
  <c r="L7" i="2" s="1"/>
  <c r="G7" i="2"/>
  <c r="H7" i="2" s="1"/>
  <c r="AC6" i="2"/>
  <c r="X6" i="2"/>
  <c r="Y6" i="2" s="1"/>
  <c r="W6" i="2"/>
  <c r="V6" i="2"/>
  <c r="U6" i="2"/>
  <c r="Z6" i="2" s="1"/>
  <c r="AB6" i="2" s="1"/>
  <c r="S6" i="2"/>
  <c r="T6" i="2" s="1"/>
  <c r="P6" i="2"/>
  <c r="O6" i="2"/>
  <c r="K6" i="2"/>
  <c r="L6" i="2" s="1"/>
  <c r="G6" i="2"/>
  <c r="H6" i="2" s="1"/>
  <c r="AC5" i="2"/>
  <c r="W5" i="2"/>
  <c r="V5" i="2"/>
  <c r="U5" i="2"/>
  <c r="S5" i="2"/>
  <c r="T5" i="2" s="1"/>
  <c r="O5" i="2"/>
  <c r="P5" i="2" s="1"/>
  <c r="K5" i="2"/>
  <c r="L5" i="2" s="1"/>
  <c r="G5" i="2"/>
  <c r="H5" i="2" s="1"/>
  <c r="AC4" i="2"/>
  <c r="Z4" i="2"/>
  <c r="AB4" i="2" s="1"/>
  <c r="W4" i="2"/>
  <c r="V4" i="2"/>
  <c r="U4" i="2"/>
  <c r="T4" i="2"/>
  <c r="S4" i="2"/>
  <c r="O4" i="2"/>
  <c r="P4" i="2" s="1"/>
  <c r="K4" i="2"/>
  <c r="L4" i="2" s="1"/>
  <c r="G4" i="2"/>
  <c r="H4" i="2" s="1"/>
  <c r="AC3" i="2"/>
  <c r="AC18" i="2" s="1"/>
  <c r="W3" i="2"/>
  <c r="V3" i="2"/>
  <c r="U3" i="2"/>
  <c r="Z3" i="2" s="1"/>
  <c r="S3" i="2"/>
  <c r="T3" i="2" s="1"/>
  <c r="O3" i="2"/>
  <c r="P3" i="2" s="1"/>
  <c r="K3" i="2"/>
  <c r="L3" i="2" s="1"/>
  <c r="G3" i="2"/>
  <c r="H3" i="2" s="1"/>
  <c r="Y13" i="1"/>
  <c r="S13" i="1"/>
  <c r="R13" i="1"/>
  <c r="V13" i="1" s="1"/>
  <c r="X13" i="1" s="1"/>
  <c r="Q13" i="1"/>
  <c r="O13" i="1"/>
  <c r="P13" i="1" s="1"/>
  <c r="K13" i="1"/>
  <c r="L13" i="1" s="1"/>
  <c r="G13" i="1"/>
  <c r="H13" i="1" s="1"/>
  <c r="Y12" i="1"/>
  <c r="S12" i="1"/>
  <c r="R12" i="1"/>
  <c r="V12" i="1" s="1"/>
  <c r="X12" i="1" s="1"/>
  <c r="Q12" i="1"/>
  <c r="O12" i="1"/>
  <c r="P12" i="1" s="1"/>
  <c r="K12" i="1"/>
  <c r="L12" i="1" s="1"/>
  <c r="G12" i="1"/>
  <c r="H12" i="1" s="1"/>
  <c r="Y11" i="1"/>
  <c r="S11" i="1"/>
  <c r="R11" i="1"/>
  <c r="V11" i="1" s="1"/>
  <c r="X11" i="1" s="1"/>
  <c r="Q11" i="1"/>
  <c r="O11" i="1"/>
  <c r="P11" i="1" s="1"/>
  <c r="K11" i="1"/>
  <c r="L11" i="1" s="1"/>
  <c r="G11" i="1"/>
  <c r="H11" i="1" s="1"/>
  <c r="Y10" i="1"/>
  <c r="T10" i="1"/>
  <c r="U10" i="1" s="1"/>
  <c r="S10" i="1"/>
  <c r="R10" i="1"/>
  <c r="V10" i="1" s="1"/>
  <c r="X10" i="1" s="1"/>
  <c r="Q10" i="1"/>
  <c r="O10" i="1"/>
  <c r="P10" i="1" s="1"/>
  <c r="K10" i="1"/>
  <c r="L10" i="1" s="1"/>
  <c r="G10" i="1"/>
  <c r="H10" i="1" s="1"/>
  <c r="Y9" i="1"/>
  <c r="S9" i="1"/>
  <c r="R9" i="1"/>
  <c r="V9" i="1" s="1"/>
  <c r="X9" i="1" s="1"/>
  <c r="Q9" i="1"/>
  <c r="O9" i="1"/>
  <c r="P9" i="1" s="1"/>
  <c r="K9" i="1"/>
  <c r="L9" i="1" s="1"/>
  <c r="G9" i="1"/>
  <c r="H9" i="1" s="1"/>
  <c r="Y8" i="1"/>
  <c r="S8" i="1"/>
  <c r="R8" i="1"/>
  <c r="V8" i="1" s="1"/>
  <c r="X8" i="1" s="1"/>
  <c r="Q8" i="1"/>
  <c r="O8" i="1"/>
  <c r="P8" i="1" s="1"/>
  <c r="K8" i="1"/>
  <c r="L8" i="1" s="1"/>
  <c r="G8" i="1"/>
  <c r="H8" i="1" s="1"/>
  <c r="Y7" i="1"/>
  <c r="S7" i="1"/>
  <c r="R7" i="1"/>
  <c r="V7" i="1" s="1"/>
  <c r="X7" i="1" s="1"/>
  <c r="Q7" i="1"/>
  <c r="O7" i="1"/>
  <c r="P7" i="1" s="1"/>
  <c r="K7" i="1"/>
  <c r="L7" i="1" s="1"/>
  <c r="G7" i="1"/>
  <c r="H7" i="1" s="1"/>
  <c r="Y6" i="1"/>
  <c r="S6" i="1"/>
  <c r="R6" i="1"/>
  <c r="V6" i="1" s="1"/>
  <c r="X6" i="1" s="1"/>
  <c r="Q6" i="1"/>
  <c r="T6" i="1" s="1"/>
  <c r="U6" i="1" s="1"/>
  <c r="O6" i="1"/>
  <c r="P6" i="1" s="1"/>
  <c r="K6" i="1"/>
  <c r="L6" i="1" s="1"/>
  <c r="G6" i="1"/>
  <c r="H6" i="1" s="1"/>
  <c r="Y5" i="1"/>
  <c r="S5" i="1"/>
  <c r="R5" i="1"/>
  <c r="V5" i="1" s="1"/>
  <c r="X5" i="1" s="1"/>
  <c r="Q5" i="1"/>
  <c r="O5" i="1"/>
  <c r="P5" i="1" s="1"/>
  <c r="K5" i="1"/>
  <c r="L5" i="1" s="1"/>
  <c r="G5" i="1"/>
  <c r="H5" i="1" s="1"/>
  <c r="Y4" i="1"/>
  <c r="S4" i="1"/>
  <c r="R4" i="1"/>
  <c r="V4" i="1" s="1"/>
  <c r="X4" i="1" s="1"/>
  <c r="Q4" i="1"/>
  <c r="O4" i="1"/>
  <c r="P4" i="1" s="1"/>
  <c r="K4" i="1"/>
  <c r="L4" i="1" s="1"/>
  <c r="G4" i="1"/>
  <c r="H4" i="1" s="1"/>
  <c r="Y3" i="1"/>
  <c r="S3" i="1"/>
  <c r="R3" i="1"/>
  <c r="V3" i="1" s="1"/>
  <c r="X3" i="1" s="1"/>
  <c r="Q3" i="1"/>
  <c r="O3" i="1"/>
  <c r="P3" i="1" s="1"/>
  <c r="K3" i="1"/>
  <c r="L3" i="1" s="1"/>
  <c r="G3" i="1"/>
  <c r="H3" i="1" s="1"/>
  <c r="AD13" i="2" l="1"/>
  <c r="AB13" i="2"/>
  <c r="AB14" i="2"/>
  <c r="AD14" i="2"/>
  <c r="U3" i="3"/>
  <c r="AD15" i="2"/>
  <c r="AD6" i="2"/>
  <c r="AD4" i="2"/>
  <c r="X8" i="2"/>
  <c r="Y8" i="2" s="1"/>
  <c r="AD8" i="2"/>
  <c r="X13" i="2"/>
  <c r="Y13" i="2" s="1"/>
  <c r="T3" i="1"/>
  <c r="U3" i="1" s="1"/>
  <c r="X4" i="2"/>
  <c r="Y4" i="2" s="1"/>
  <c r="X5" i="2"/>
  <c r="Y5" i="2" s="1"/>
  <c r="V4" i="3"/>
  <c r="Z4" i="3" s="1"/>
  <c r="J4" i="3"/>
  <c r="W4" i="3"/>
  <c r="V3" i="3"/>
  <c r="J3" i="3"/>
  <c r="AB7" i="2"/>
  <c r="AD7" i="2"/>
  <c r="AD3" i="2"/>
  <c r="AB3" i="2"/>
  <c r="AD16" i="2"/>
  <c r="AB16" i="2"/>
  <c r="AD17" i="2"/>
  <c r="AB17" i="2"/>
  <c r="X3" i="2"/>
  <c r="Y3" i="2" s="1"/>
  <c r="Z5" i="2"/>
  <c r="X7" i="2"/>
  <c r="Y7" i="2" s="1"/>
  <c r="Z9" i="2"/>
  <c r="Z10" i="2"/>
  <c r="Z11" i="2"/>
  <c r="Z12" i="2"/>
  <c r="X16" i="2"/>
  <c r="Y16" i="2" s="1"/>
  <c r="T5" i="1"/>
  <c r="U5" i="1" s="1"/>
  <c r="T9" i="1"/>
  <c r="U9" i="1" s="1"/>
  <c r="T13" i="1"/>
  <c r="U13" i="1" s="1"/>
  <c r="Y14" i="1"/>
  <c r="T7" i="1"/>
  <c r="U7" i="1" s="1"/>
  <c r="T8" i="1"/>
  <c r="U8" i="1" s="1"/>
  <c r="T11" i="1"/>
  <c r="U11" i="1" s="1"/>
  <c r="T12" i="1"/>
  <c r="U12" i="1" s="1"/>
  <c r="X14" i="1"/>
  <c r="X16" i="1" s="1"/>
  <c r="T4" i="1"/>
  <c r="U4" i="1" s="1"/>
  <c r="AD4" i="3" l="1"/>
  <c r="AB4" i="3"/>
  <c r="X3" i="3"/>
  <c r="Y3" i="3" s="1"/>
  <c r="Z3" i="3"/>
  <c r="X4" i="3"/>
  <c r="Y4" i="3" s="1"/>
  <c r="AD9" i="2"/>
  <c r="AB9" i="2"/>
  <c r="AD12" i="2"/>
  <c r="AB12" i="2"/>
  <c r="AD11" i="2"/>
  <c r="AB11" i="2"/>
  <c r="AB5" i="2"/>
  <c r="AD5" i="2"/>
  <c r="AD10" i="2"/>
  <c r="AB10" i="2"/>
  <c r="AB18" i="2" l="1"/>
  <c r="AD18" i="2"/>
  <c r="AD20" i="2" s="1"/>
  <c r="AB3" i="3"/>
  <c r="AB5" i="3" s="1"/>
  <c r="AB7" i="3" s="1"/>
  <c r="AD3" i="3"/>
  <c r="AD5" i="3" s="1"/>
  <c r="AD7" i="3" s="1"/>
  <c r="AB20" i="2"/>
</calcChain>
</file>

<file path=xl/sharedStrings.xml><?xml version="1.0" encoding="utf-8"?>
<sst xmlns="http://schemas.openxmlformats.org/spreadsheetml/2006/main" count="194" uniqueCount="66">
  <si>
    <t>GYM´S REPAIRMAN</t>
  </si>
  <si>
    <t>DOCTOR FITNES S.A.S</t>
  </si>
  <si>
    <t>GYM SOLUTION S.A.S</t>
  </si>
  <si>
    <t>No</t>
  </si>
  <si>
    <t>ELEMENTO BR13</t>
  </si>
  <si>
    <t>CANT</t>
  </si>
  <si>
    <t>UNIDAD DE MEDIDA</t>
  </si>
  <si>
    <t>V/R  UNITARIO SIN IVA</t>
  </si>
  <si>
    <t>IVA (SI APLICA)</t>
  </si>
  <si>
    <t>V/R TOTAL UNITARIO</t>
  </si>
  <si>
    <t>V/R TOTAL</t>
  </si>
  <si>
    <t xml:space="preserve"> MENOR VALOR UNITARIO</t>
  </si>
  <si>
    <t xml:space="preserve"> PROMEDIO VALOR UNITARIO</t>
  </si>
  <si>
    <t xml:space="preserve"> MEDIANA VALOR UNITARIO </t>
  </si>
  <si>
    <t xml:space="preserve">  DESVIACION ESTANDAR  </t>
  </si>
  <si>
    <t>COEFICIENTE DE VARIACION</t>
  </si>
  <si>
    <t xml:space="preserve"> PRECIO DE REFERENCIA (ANTES DE IVA)</t>
  </si>
  <si>
    <t xml:space="preserve"> METRICA UTILIZADA </t>
  </si>
  <si>
    <t xml:space="preserve">PRESUPUESTO OFICIAL ESTIMADO  </t>
  </si>
  <si>
    <t xml:space="preserve"> CANTIDADES MINIMAS PROYECTADAS A ADQUIRIR A ADQUIRIR </t>
  </si>
  <si>
    <t>SERVICIO DE MANTENIMIENTO MÁQUINAS CAMINADORAS</t>
  </si>
  <si>
    <t>UNIDAD</t>
  </si>
  <si>
    <t>PROMEDIO</t>
  </si>
  <si>
    <t>SERVICIO DE MANTENIMIENTO MÁQUINAS ELÍPTICAS</t>
  </si>
  <si>
    <t>SERIVICIO DE MANTENIMIENTO DE BICICLETAS ESTATICAS</t>
  </si>
  <si>
    <t>SERVICIO DE MANTENIMIENTO DE MAQUINAS FUNCIONALES Y/O DE FUERZA.</t>
  </si>
  <si>
    <t>SERIVICIO DE MANTENIMIENTO DE MAQUINAS MULTI FUNCIONALES.</t>
  </si>
  <si>
    <t>SERVICIO DE MANTENIMIENTO DE MAQUINAS SMITH</t>
  </si>
  <si>
    <t>SERVICIO DE MANTENIMIENTO REVENTIVO Y CORRECTIVO  ESTACIONES PARA MANCUERNAS</t>
  </si>
  <si>
    <t>SERVICIO DE MANTENIMIENTO PREVENTIVO Y CORRECTIVO ESTACIONES PARA TRX</t>
  </si>
  <si>
    <t>SERVICIO DE MANTENIMIENTO PREVENTIVO Y CORRECTIVO BANCOS PARA PECHO PLANO, INCLINADO Y DECLINADO</t>
  </si>
  <si>
    <t>SERVICIO DE MANTENIMIENTO PREVENTIVO Y CORRECTIVO BANCOS PARA PANTORRILLAS</t>
  </si>
  <si>
    <t>SERVICIO DE MANTENIMIENTO PREVENTIVO Y CORRECTIVO SOPORTE PARA BARRAS</t>
  </si>
  <si>
    <t>PPTO ESTIMADO</t>
  </si>
  <si>
    <t>PPTO ASIGNADO</t>
  </si>
  <si>
    <t>DIFERENCIA</t>
  </si>
  <si>
    <t>EVOLUTION FITNESS</t>
  </si>
  <si>
    <t>DOCTOR FITNESS</t>
  </si>
  <si>
    <t>GYM SOLUTION</t>
  </si>
  <si>
    <t>VR MINIMO PROYECTADO A ADQUIRIR</t>
  </si>
  <si>
    <r>
      <t xml:space="preserve">ADQUISICION E INTALACION DE PRENSA PARA GIMNASIO CON DIMENSIONES LARGO 222 A ANCHO 165 X ALTO 135 CM -  CARACTERÍSTICAS: </t>
    </r>
    <r>
      <rPr>
        <sz val="6"/>
        <color theme="1"/>
        <rFont val="Arial"/>
        <family val="2"/>
      </rPr>
      <t>Ajustes fáciles El respaldo ajustable permite a los usuarios elegir la mejor posición de apoyo, y las manijas de tope del carro giratorio doble ayudan a los usuarios a estabilizar la parte superior del cuerpo y les permiten elegir libremente una posición inicial adecuada.
 •Plataforma de pie en ángulo La plataforma de pie antideslizante de gran tamaño proporciona un amplio espacio para diferentes posiciones de los pies y garantiza un contacto total durante el entrenamiento. 
•Suave y duradero. Los cojinetes lineales comerciales de servicio pesado tienen mayor suavidad y calidad duradera, lo que mejora la comodidad y la seguridad de los usuarios durante el entrenamiento.
la silla con brazos tiene forma de L, con su respaldo recto, moderno, duradero, de fácil cuidado, ya que incluye tela anti-manchas, todo el asiento y espaldar es en espuma gruesa de alta densidad. 
Largo 222  
Ancho 165  
Alto 135CM</t>
    </r>
  </si>
  <si>
    <t>MENOR VALOR</t>
  </si>
  <si>
    <r>
      <t xml:space="preserve">ADQUISICION E INTALACION DE MAQUINA DE ELEVACIÓN PÉLVICA PARA GLÚTEOS -  CARACTERÍSTICAS: </t>
    </r>
    <r>
      <rPr>
        <sz val="6"/>
        <color theme="1"/>
        <rFont val="Arial"/>
        <family val="2"/>
      </rPr>
      <t>CARACTERÍSTICAS: Eestructura negra, tapicería negra, detalles amarillos.
• Tapicería negra. tráfico pesado - profesional.
• Estructura 100 x 50 mm</t>
    </r>
    <r>
      <rPr>
        <b/>
        <sz val="6"/>
        <color theme="1"/>
        <rFont val="Arial"/>
        <family val="2"/>
      </rPr>
      <t xml:space="preserve"> </t>
    </r>
  </si>
  <si>
    <t>$ 5.730.000</t>
  </si>
  <si>
    <t>$ 6.730.000</t>
  </si>
  <si>
    <r>
      <t xml:space="preserve">ADQUISICION E INTALACION DE MAQUINA HACK UP (FORTALECIMIENTO DE PIERNAS )CARACTERÍSTICAS: </t>
    </r>
    <r>
      <rPr>
        <sz val="6"/>
        <color theme="1"/>
        <rFont val="Arial"/>
        <family val="2"/>
      </rPr>
      <t>Estructura 50 x 100 mm, espesor 2.5 mm, tubo de acero de alta resistencia, soldaduras de precisión. 
• Pintura Electroestática 
• Tapicería Negra Tráfico pesado
• Peso del equipo: 200 kg
• Peso del usuario: 200 LB / 440 Kg MAX
Largo 225 cm
Ancho 125 cm
Alto 125 cm</t>
    </r>
  </si>
  <si>
    <t>$ 9.450.000</t>
  </si>
  <si>
    <t>$ 9.950.000</t>
  </si>
  <si>
    <r>
      <rPr>
        <b/>
        <sz val="6"/>
        <color theme="1"/>
        <rFont val="Arial"/>
        <family val="2"/>
      </rPr>
      <t xml:space="preserve">ADQUISICION E INTALACION DE RACK PARA MANCUERNAS RUSAS CARACTERÍSTICAS: </t>
    </r>
    <r>
      <rPr>
        <sz val="6"/>
        <color theme="1"/>
        <rFont val="Arial"/>
        <family val="2"/>
      </rPr>
      <t>Estructura de almacenamiento para mancuernas.
• 8 Soportes en 4 niveles para almacenamiento
• Bases antideslizantes</t>
    </r>
  </si>
  <si>
    <r>
      <rPr>
        <b/>
        <sz val="6"/>
        <color theme="1"/>
        <rFont val="Arial"/>
        <family val="2"/>
      </rPr>
      <t>ADQUISICION E INTALACION DE</t>
    </r>
    <r>
      <rPr>
        <sz val="6"/>
        <color theme="1"/>
        <rFont val="Arial"/>
        <family val="2"/>
      </rPr>
      <t xml:space="preserve"> MANCUERNA RUSA RECUBIERTA EN VINILO (KETTLEBELL MOVIFIT) DE 4 KG  </t>
    </r>
    <r>
      <rPr>
        <b/>
        <sz val="6"/>
        <color theme="1"/>
        <rFont val="Arial"/>
        <family val="2"/>
      </rPr>
      <t>CARACTERÍSTICAS</t>
    </r>
    <r>
      <rPr>
        <sz val="6"/>
        <color theme="1"/>
        <rFont val="Arial"/>
        <family val="2"/>
      </rPr>
      <t>: Recubierta En Vinilo (KETTLEBELL MOVIFIT)
• 4 KG. TRAFICO INSTITUCIONAL</t>
    </r>
  </si>
  <si>
    <r>
      <t xml:space="preserve">ADQUISICION E INTALACION  DE </t>
    </r>
    <r>
      <rPr>
        <sz val="6"/>
        <color rgb="FF000000"/>
        <rFont val="Arial"/>
        <family val="2"/>
      </rPr>
      <t>MANCUERNA RUSA RECUBIERTA EN VINILO (KETTLEBELL MOVIFIT) de 6 KG</t>
    </r>
    <r>
      <rPr>
        <b/>
        <sz val="6"/>
        <color rgb="FF000000"/>
        <rFont val="Arial"/>
        <family val="2"/>
      </rPr>
      <t xml:space="preserve">  CARACTERÍSTICAS:</t>
    </r>
    <r>
      <rPr>
        <sz val="6"/>
        <color rgb="FF000000"/>
        <rFont val="Arial"/>
        <family val="2"/>
      </rPr>
      <t xml:space="preserve"> </t>
    </r>
    <r>
      <rPr>
        <sz val="6"/>
        <color theme="1"/>
        <rFont val="Arial"/>
        <family val="2"/>
      </rPr>
      <t xml:space="preserve">Recubierta En Vinilo (KETTLEBELL MOVIFIT) 6 KG. TRAFICO INSTITUCIONAL  </t>
    </r>
  </si>
  <si>
    <r>
      <rPr>
        <b/>
        <sz val="6"/>
        <color theme="1"/>
        <rFont val="Arial"/>
        <family val="2"/>
      </rPr>
      <t>ADQUISICION E INTALACION</t>
    </r>
    <r>
      <rPr>
        <sz val="6"/>
        <color theme="1"/>
        <rFont val="Arial"/>
        <family val="2"/>
      </rPr>
      <t xml:space="preserve"> DE  MANCUERNA RUSA RECUBIERTA EN VINILO (KETTLEBELL MOVIFIT) 08 KG  </t>
    </r>
    <r>
      <rPr>
        <b/>
        <sz val="6"/>
        <color theme="1"/>
        <rFont val="Arial"/>
        <family val="2"/>
      </rPr>
      <t xml:space="preserve"> CARACTERÍSTICAS</t>
    </r>
    <r>
      <rPr>
        <sz val="6"/>
        <color theme="1"/>
        <rFont val="Arial"/>
        <family val="2"/>
      </rPr>
      <t>: Recubierta En Vinilo (KETTLEBELL MOVIFIT)
• 8 KG. TRAFICO HOGAR E INSTITUCIONAL</t>
    </r>
  </si>
  <si>
    <r>
      <rPr>
        <b/>
        <sz val="6"/>
        <color rgb="FF000000"/>
        <rFont val="Arial"/>
        <family val="2"/>
      </rPr>
      <t>ADQUISICION E INTALACION DE</t>
    </r>
    <r>
      <rPr>
        <sz val="6"/>
        <color rgb="FF000000"/>
        <rFont val="Arial"/>
        <family val="2"/>
      </rPr>
      <t xml:space="preserve"> MANCUERNA RUSA RECUBIERTA EN VINILO (KETTLEBELL MOVIFIT) 10 KG </t>
    </r>
    <r>
      <rPr>
        <b/>
        <sz val="6"/>
        <color rgb="FF000000"/>
        <rFont val="Arial"/>
        <family val="2"/>
      </rPr>
      <t xml:space="preserve"> CARACTERÍSTICAS:</t>
    </r>
    <r>
      <rPr>
        <sz val="6"/>
        <color rgb="FF000000"/>
        <rFont val="Arial"/>
        <family val="2"/>
      </rPr>
      <t xml:space="preserve"> Recubierta En Vinilo (KETTLEBELL MOVIFIT)
• 10 KG. TRAFICO HOGAR E INSTITUCIONAL</t>
    </r>
  </si>
  <si>
    <r>
      <rPr>
        <b/>
        <sz val="6"/>
        <color theme="1"/>
        <rFont val="Arial"/>
        <family val="2"/>
      </rPr>
      <t>ADQUISICION E INTALACION</t>
    </r>
    <r>
      <rPr>
        <sz val="6"/>
        <color theme="1"/>
        <rFont val="Arial"/>
        <family val="2"/>
      </rPr>
      <t xml:space="preserve"> DE MANCUERNA RUSA RECUBIERTA EN VINILO (KETTLEBELL MOVIFIT) 12 KG </t>
    </r>
    <r>
      <rPr>
        <b/>
        <sz val="6"/>
        <color theme="1"/>
        <rFont val="Arial"/>
        <family val="2"/>
      </rPr>
      <t>CARACTERÍSTICAS</t>
    </r>
    <r>
      <rPr>
        <sz val="6"/>
        <color theme="1"/>
        <rFont val="Arial"/>
        <family val="2"/>
      </rPr>
      <t>: Recubierta En Vinilo (KETTLEBELL MOVIFIT)
• 12 KG. TRAFICO HOGAR E INSTITUCIONAL</t>
    </r>
  </si>
  <si>
    <r>
      <rPr>
        <b/>
        <sz val="6"/>
        <color rgb="FF000000"/>
        <rFont val="Arial"/>
        <family val="2"/>
      </rPr>
      <t>ADQUISICION E INTALACION</t>
    </r>
    <r>
      <rPr>
        <sz val="6"/>
        <color rgb="FF000000"/>
        <rFont val="Arial"/>
        <family val="2"/>
      </rPr>
      <t xml:space="preserve"> DE MANCUERNA RUSA RECUBIERTA EN VINILO (KETTLEBELL MOVIFIT) 16 KG </t>
    </r>
    <r>
      <rPr>
        <b/>
        <sz val="6"/>
        <color rgb="FF000000"/>
        <rFont val="Arial"/>
        <family val="2"/>
      </rPr>
      <t>CARACTERÍSTICAS</t>
    </r>
    <r>
      <rPr>
        <sz val="6"/>
        <color rgb="FF000000"/>
        <rFont val="Arial"/>
        <family val="2"/>
      </rPr>
      <t>: Recubierta En Vinilo (KETTLEBELL MOVIFIT)
• 16 KG. TRAFICO HOGAR E INSTITUCIONAL</t>
    </r>
  </si>
  <si>
    <r>
      <rPr>
        <b/>
        <sz val="6"/>
        <color rgb="FF000000"/>
        <rFont val="Arial"/>
        <family val="2"/>
      </rPr>
      <t>ADQUISICION E INTALACION</t>
    </r>
    <r>
      <rPr>
        <sz val="6"/>
        <color rgb="FF000000"/>
        <rFont val="Arial"/>
        <family val="2"/>
      </rPr>
      <t xml:space="preserve"> DE ADQUISICION MANCUERNA RUSA RECUBIERTA EN VINILO (KETTLEBELL MOVIFIT) 20 KG </t>
    </r>
    <r>
      <rPr>
        <b/>
        <sz val="6"/>
        <color rgb="FF000000"/>
        <rFont val="Arial"/>
        <family val="2"/>
      </rPr>
      <t>CARACTERÍSTICAS</t>
    </r>
    <r>
      <rPr>
        <sz val="6"/>
        <color rgb="FF000000"/>
        <rFont val="Arial"/>
        <family val="2"/>
      </rPr>
      <t>: Recubierta En Vinilo (KETTLEBELL MOVIFIT)
• 20 KG. TRAFICO HOGAR E INSTITUCIONAL</t>
    </r>
  </si>
  <si>
    <r>
      <rPr>
        <b/>
        <sz val="6"/>
        <color theme="1"/>
        <rFont val="Arial"/>
        <family val="2"/>
      </rPr>
      <t>ADQUISICION E INTALACION</t>
    </r>
    <r>
      <rPr>
        <sz val="6"/>
        <color theme="1"/>
        <rFont val="Arial"/>
        <family val="2"/>
      </rPr>
      <t xml:space="preserve"> DE  MANCUERNA RUSA RECUBIERTA EN VINILO (KETTLEBELL MOVIFIT) 24 KG </t>
    </r>
    <r>
      <rPr>
        <b/>
        <sz val="6"/>
        <color theme="1"/>
        <rFont val="Arial"/>
        <family val="2"/>
      </rPr>
      <t>CARACTERÍSTICAS</t>
    </r>
    <r>
      <rPr>
        <sz val="6"/>
        <color theme="1"/>
        <rFont val="Arial"/>
        <family val="2"/>
      </rPr>
      <t>: Recubierta En Vinilo (KETTLEBELL MOVIFIT)
• 24 KG. TRAFICO HOGAR E INSTITUCIONAL</t>
    </r>
  </si>
  <si>
    <r>
      <rPr>
        <b/>
        <sz val="6"/>
        <color theme="1"/>
        <rFont val="Arial"/>
        <family val="2"/>
      </rPr>
      <t>ADQUISICION E INTALACION DE</t>
    </r>
    <r>
      <rPr>
        <sz val="6"/>
        <color theme="1"/>
        <rFont val="Arial"/>
        <family val="2"/>
      </rPr>
      <t xml:space="preserve"> CUERDA (SOGA) DE BATIDA MOVIFIT. (FORRO PROTECTOR EN NYLON). CARACTERÍSTICAS: Batida movifi, material de alta  resistencia.
• forro protector en nylon
• Mangos con agarre encauchetado
• Uso Institucional Profesional
</t>
    </r>
    <r>
      <rPr>
        <b/>
        <sz val="6"/>
        <color theme="1"/>
        <rFont val="Arial"/>
        <family val="2"/>
      </rPr>
      <t xml:space="preserve">DIMENSIONES: </t>
    </r>
    <r>
      <rPr>
        <sz val="6"/>
        <color theme="1"/>
        <rFont val="Arial"/>
        <family val="2"/>
      </rPr>
      <t xml:space="preserve">
38mm de diámetro 
10 metros de largo </t>
    </r>
  </si>
  <si>
    <r>
      <rPr>
        <b/>
        <sz val="6"/>
        <color rgb="FF000000"/>
        <rFont val="Arial"/>
        <family val="2"/>
      </rPr>
      <t>ADQUISICION E INTALACION DE</t>
    </r>
    <r>
      <rPr>
        <sz val="6"/>
        <color rgb="FF000000"/>
        <rFont val="Arial"/>
        <family val="2"/>
      </rPr>
      <t xml:space="preserve"> PLATAFORMA ORIGINAL PARA CAMINADORA PRECOR TRM 885 </t>
    </r>
    <r>
      <rPr>
        <b/>
        <sz val="6"/>
        <color theme="1"/>
        <rFont val="Arial"/>
        <family val="2"/>
      </rPr>
      <t>CARACTERÍSTICA</t>
    </r>
    <r>
      <rPr>
        <sz val="6"/>
        <color theme="1"/>
        <rFont val="Arial"/>
        <family val="2"/>
      </rPr>
      <t>S: Plataforma original para caminadora PRECOR TRM 885</t>
    </r>
  </si>
  <si>
    <r>
      <rPr>
        <b/>
        <sz val="6"/>
        <color rgb="FF000000"/>
        <rFont val="Arial"/>
        <family val="2"/>
      </rPr>
      <t xml:space="preserve">ADQUISICION E INTALACION </t>
    </r>
    <r>
      <rPr>
        <sz val="6"/>
        <color rgb="FF000000"/>
        <rFont val="Arial"/>
        <family val="2"/>
      </rPr>
      <t xml:space="preserve">DE BANDA PARA CAMINADORA PRECOR TRM 885 </t>
    </r>
    <r>
      <rPr>
        <b/>
        <sz val="6"/>
        <color theme="1"/>
        <rFont val="Arial"/>
        <family val="2"/>
      </rPr>
      <t>CARACTERÍSTICAS</t>
    </r>
    <r>
      <rPr>
        <sz val="6"/>
        <color theme="1"/>
        <rFont val="Arial"/>
        <family val="2"/>
      </rPr>
      <t>: Banda para caminadora PRECOR TRM 885</t>
    </r>
  </si>
  <si>
    <t>1.250.000</t>
  </si>
  <si>
    <t>GREENTEK SAS</t>
  </si>
  <si>
    <t>JT INDUSTRI SAS</t>
  </si>
  <si>
    <t xml:space="preserve">ADQUISICIÓN A TODO COSTO DE 305 M2 DE PISO EN CAUCHO PARA EL GIMNASIO, </t>
  </si>
  <si>
    <r>
      <t>M</t>
    </r>
    <r>
      <rPr>
        <vertAlign val="superscript"/>
        <sz val="6"/>
        <color rgb="FF000000"/>
        <rFont val="Arial"/>
        <family val="2"/>
      </rPr>
      <t>2</t>
    </r>
  </si>
  <si>
    <t>ADQUISICIÓN A TODO COSTO DE 265 M2 DE GRAMA SINTETICA PARA EL GIMNASIO.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</si>
</sst>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 #,##0_-;\-* #,##0_-;_-* &quot;-&quot;??_-;_-@_-"/>
  </numFmts>
  <fonts count="9" x14ac:knownFonts="1">
    <font>
      <sz val="11"/>
      <color theme="1"/>
      <name val="Calibri"/>
      <family val="2"/>
      <scheme val="minor"/>
    </font>
    <font>
      <sz val="11"/>
      <color theme="1"/>
      <name val="Calibri"/>
      <family val="2"/>
      <scheme val="minor"/>
    </font>
    <font>
      <sz val="6"/>
      <color theme="1"/>
      <name val="Arial"/>
      <family val="2"/>
    </font>
    <font>
      <b/>
      <sz val="6"/>
      <color theme="1"/>
      <name val="Arial"/>
      <family val="2"/>
    </font>
    <font>
      <sz val="6"/>
      <color rgb="FF000000"/>
      <name val="Arial"/>
      <family val="2"/>
    </font>
    <font>
      <sz val="6"/>
      <color rgb="FFFF0000"/>
      <name val="Arial"/>
      <family val="2"/>
    </font>
    <font>
      <sz val="6"/>
      <name val="Arial"/>
      <family val="2"/>
    </font>
    <font>
      <b/>
      <sz val="6"/>
      <color rgb="FF000000"/>
      <name val="Arial"/>
      <family val="2"/>
    </font>
    <font>
      <vertAlign val="superscript"/>
      <sz val="6"/>
      <color rgb="FF000000"/>
      <name val="Arial"/>
      <family val="2"/>
    </font>
  </fonts>
  <fills count="9">
    <fill>
      <patternFill patternType="none"/>
    </fill>
    <fill>
      <patternFill patternType="gray125"/>
    </fill>
    <fill>
      <patternFill patternType="solid">
        <fgColor theme="7" tint="0.59999389629810485"/>
        <bgColor indexed="64"/>
      </patternFill>
    </fill>
    <fill>
      <patternFill patternType="solid">
        <fgColor theme="6" tint="0.59999389629810485"/>
        <bgColor indexed="64"/>
      </patternFill>
    </fill>
    <fill>
      <patternFill patternType="solid">
        <fgColor theme="5" tint="0.59999389629810485"/>
        <bgColor indexed="64"/>
      </patternFill>
    </fill>
    <fill>
      <patternFill patternType="solid">
        <fgColor rgb="FFBFBFBF"/>
        <bgColor indexed="64"/>
      </patternFill>
    </fill>
    <fill>
      <patternFill patternType="solid">
        <fgColor theme="0"/>
        <bgColor indexed="64"/>
      </patternFill>
    </fill>
    <fill>
      <patternFill patternType="solid">
        <fgColor theme="8" tint="0.79998168889431442"/>
        <bgColor indexed="64"/>
      </patternFill>
    </fill>
    <fill>
      <patternFill patternType="solid">
        <fgColor theme="9" tint="0.59999389629810485"/>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indexed="64"/>
      </left>
      <right/>
      <top style="thin">
        <color indexed="64"/>
      </top>
      <bottom style="thin">
        <color indexed="64"/>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right style="thin">
        <color auto="1"/>
      </right>
      <top style="thin">
        <color auto="1"/>
      </top>
      <bottom style="thin">
        <color auto="1"/>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49">
    <xf numFmtId="0" fontId="0" fillId="0" borderId="0" xfId="0"/>
    <xf numFmtId="0" fontId="2" fillId="0" borderId="0" xfId="0" applyFont="1" applyAlignment="1">
      <alignment horizontal="center" vertical="center"/>
    </xf>
    <xf numFmtId="164" fontId="2" fillId="0" borderId="0" xfId="1" applyNumberFormat="1" applyFont="1" applyAlignment="1">
      <alignment horizontal="center" vertical="center"/>
    </xf>
    <xf numFmtId="44" fontId="2" fillId="0" borderId="0" xfId="2" applyFont="1" applyAlignment="1">
      <alignment horizontal="center" vertical="center"/>
    </xf>
    <xf numFmtId="9" fontId="2" fillId="0" borderId="0" xfId="3" applyFont="1" applyAlignment="1">
      <alignment horizontal="center" vertical="center"/>
    </xf>
    <xf numFmtId="0" fontId="3" fillId="5" borderId="1" xfId="0" applyFont="1" applyFill="1" applyBorder="1" applyAlignment="1">
      <alignment horizontal="center" vertical="center" wrapText="1"/>
    </xf>
    <xf numFmtId="164" fontId="3" fillId="5" borderId="1" xfId="1" applyNumberFormat="1" applyFont="1" applyFill="1" applyBorder="1" applyAlignment="1">
      <alignment horizontal="center" vertical="center" wrapText="1"/>
    </xf>
    <xf numFmtId="44" fontId="3" fillId="5" borderId="1" xfId="2" applyFont="1" applyFill="1" applyBorder="1" applyAlignment="1">
      <alignment horizontal="center" vertical="center" wrapText="1"/>
    </xf>
    <xf numFmtId="9" fontId="3" fillId="5" borderId="1" xfId="3"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0" borderId="1" xfId="0" applyFont="1" applyBorder="1" applyAlignment="1">
      <alignment horizontal="left" vertical="top" wrapText="1"/>
    </xf>
    <xf numFmtId="0" fontId="4" fillId="0" borderId="1" xfId="0" applyFont="1" applyBorder="1" applyAlignment="1">
      <alignment horizontal="center" vertical="center" wrapText="1"/>
    </xf>
    <xf numFmtId="44" fontId="2" fillId="0" borderId="1" xfId="2" applyFont="1" applyBorder="1" applyAlignment="1">
      <alignment horizontal="center" vertical="center" wrapText="1"/>
    </xf>
    <xf numFmtId="44" fontId="2" fillId="0" borderId="1" xfId="2" applyFont="1" applyBorder="1" applyAlignment="1">
      <alignment horizontal="center" vertical="center"/>
    </xf>
    <xf numFmtId="9" fontId="2" fillId="0" borderId="1" xfId="3" applyFont="1" applyBorder="1" applyAlignment="1">
      <alignment horizontal="center" vertical="center"/>
    </xf>
    <xf numFmtId="44" fontId="2" fillId="7" borderId="1" xfId="0" applyNumberFormat="1" applyFont="1" applyFill="1" applyBorder="1" applyAlignment="1">
      <alignment horizontal="center" vertical="center"/>
    </xf>
    <xf numFmtId="0" fontId="2" fillId="0" borderId="1" xfId="0" applyFont="1" applyBorder="1" applyAlignment="1">
      <alignment horizontal="center" vertical="center"/>
    </xf>
    <xf numFmtId="44" fontId="2" fillId="0" borderId="1" xfId="0" applyNumberFormat="1" applyFont="1" applyBorder="1" applyAlignment="1">
      <alignment horizontal="center" vertical="center"/>
    </xf>
    <xf numFmtId="44" fontId="2" fillId="0" borderId="2" xfId="2" applyFont="1" applyBorder="1" applyAlignment="1">
      <alignment horizontal="center" vertical="center" wrapText="1"/>
    </xf>
    <xf numFmtId="9" fontId="2" fillId="0" borderId="0" xfId="0" applyNumberFormat="1" applyFont="1" applyAlignment="1">
      <alignment horizontal="center" vertical="center"/>
    </xf>
    <xf numFmtId="44" fontId="5" fillId="0" borderId="1" xfId="2" applyFont="1" applyBorder="1" applyAlignment="1">
      <alignment horizontal="center" vertical="center" wrapText="1"/>
    </xf>
    <xf numFmtId="44" fontId="6" fillId="0" borderId="1" xfId="2" applyFont="1" applyBorder="1" applyAlignment="1">
      <alignment horizontal="center" vertical="center" wrapText="1"/>
    </xf>
    <xf numFmtId="164" fontId="2" fillId="0" borderId="0" xfId="1" applyNumberFormat="1" applyFont="1" applyBorder="1" applyAlignment="1">
      <alignment horizontal="center" vertical="center"/>
    </xf>
    <xf numFmtId="0" fontId="3" fillId="5" borderId="3" xfId="0" applyFont="1" applyFill="1" applyBorder="1" applyAlignment="1">
      <alignment horizontal="center" vertical="center" wrapText="1"/>
    </xf>
    <xf numFmtId="0" fontId="3" fillId="0" borderId="1" xfId="0" applyFont="1" applyBorder="1" applyAlignment="1">
      <alignment horizontal="left" vertical="top" wrapText="1"/>
    </xf>
    <xf numFmtId="44" fontId="2" fillId="0" borderId="1" xfId="2" applyFont="1" applyFill="1" applyBorder="1" applyAlignment="1">
      <alignment horizontal="center" vertical="center" wrapText="1"/>
    </xf>
    <xf numFmtId="0" fontId="3" fillId="0" borderId="1" xfId="0" applyFont="1" applyBorder="1" applyAlignment="1">
      <alignment vertical="top" wrapText="1"/>
    </xf>
    <xf numFmtId="0" fontId="2" fillId="0" borderId="1" xfId="0" applyFont="1" applyBorder="1" applyAlignment="1">
      <alignment vertical="top" wrapText="1"/>
    </xf>
    <xf numFmtId="0" fontId="7" fillId="0" borderId="1" xfId="0" applyFont="1" applyBorder="1" applyAlignment="1">
      <alignment vertical="top" wrapText="1"/>
    </xf>
    <xf numFmtId="0" fontId="4" fillId="0" borderId="1" xfId="0" applyFont="1" applyBorder="1" applyAlignment="1">
      <alignment horizontal="justify" vertical="top" wrapText="1"/>
    </xf>
    <xf numFmtId="0" fontId="2" fillId="0" borderId="1" xfId="0" applyFont="1" applyBorder="1" applyAlignment="1">
      <alignment horizontal="justify" vertical="top" wrapText="1"/>
    </xf>
    <xf numFmtId="0" fontId="2" fillId="0" borderId="3" xfId="0" applyFont="1" applyBorder="1" applyAlignment="1">
      <alignment horizontal="center" vertical="center"/>
    </xf>
    <xf numFmtId="44" fontId="6" fillId="0" borderId="1" xfId="0" applyNumberFormat="1" applyFont="1" applyBorder="1" applyAlignment="1">
      <alignment horizontal="center" vertical="center"/>
    </xf>
    <xf numFmtId="0" fontId="2" fillId="2" borderId="1" xfId="0" applyFont="1" applyFill="1" applyBorder="1" applyAlignment="1">
      <alignment horizontal="center" vertical="center"/>
    </xf>
    <xf numFmtId="0" fontId="3" fillId="5" borderId="4" xfId="0" applyFont="1" applyFill="1" applyBorder="1" applyAlignment="1">
      <alignment horizontal="center" vertical="center" wrapText="1"/>
    </xf>
    <xf numFmtId="44" fontId="3" fillId="5" borderId="5" xfId="2" applyFont="1" applyFill="1" applyBorder="1" applyAlignment="1">
      <alignment horizontal="center" vertical="center" wrapText="1"/>
    </xf>
    <xf numFmtId="0" fontId="4" fillId="0" borderId="1" xfId="0" applyFont="1" applyBorder="1" applyAlignment="1">
      <alignment horizontal="left" vertical="center" wrapText="1"/>
    </xf>
    <xf numFmtId="0" fontId="4" fillId="0" borderId="6" xfId="0" applyFont="1" applyBorder="1" applyAlignment="1">
      <alignment horizontal="center" vertical="center" wrapText="1"/>
    </xf>
    <xf numFmtId="44" fontId="2" fillId="0" borderId="6" xfId="2" applyFont="1" applyBorder="1" applyAlignment="1">
      <alignment horizontal="center" vertical="center" wrapText="1"/>
    </xf>
    <xf numFmtId="44" fontId="2" fillId="0" borderId="5" xfId="2" applyFont="1" applyBorder="1" applyAlignment="1">
      <alignment horizontal="center" vertical="center" wrapText="1"/>
    </xf>
    <xf numFmtId="44" fontId="3" fillId="5" borderId="3" xfId="2" applyFont="1" applyFill="1" applyBorder="1" applyAlignment="1">
      <alignment horizontal="center" vertical="center" wrapText="1"/>
    </xf>
    <xf numFmtId="0" fontId="2" fillId="2" borderId="3"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44" fontId="3" fillId="8" borderId="1" xfId="2" applyFont="1" applyFill="1" applyBorder="1" applyAlignment="1">
      <alignment horizontal="center" vertical="center" wrapText="1"/>
    </xf>
    <xf numFmtId="44" fontId="3" fillId="2" borderId="1" xfId="2" applyFont="1" applyFill="1" applyBorder="1" applyAlignment="1">
      <alignment horizontal="center" vertical="center" wrapText="1"/>
    </xf>
    <xf numFmtId="44" fontId="3" fillId="3" borderId="1" xfId="2" applyFont="1" applyFill="1" applyBorder="1" applyAlignment="1">
      <alignment horizontal="center" vertical="center" wrapText="1"/>
    </xf>
    <xf numFmtId="44" fontId="3" fillId="4" borderId="1" xfId="2" applyFont="1" applyFill="1" applyBorder="1" applyAlignment="1">
      <alignment horizontal="center" vertical="center" wrapText="1"/>
    </xf>
  </cellXfs>
  <cellStyles count="4">
    <cellStyle name="Millares" xfId="1" builtinId="3"/>
    <cellStyle name="Moneda" xfId="2" builtinId="4"/>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2343150</xdr:colOff>
      <xdr:row>15</xdr:row>
      <xdr:rowOff>457200</xdr:rowOff>
    </xdr:from>
    <xdr:to>
      <xdr:col>1</xdr:col>
      <xdr:colOff>3038475</xdr:colOff>
      <xdr:row>15</xdr:row>
      <xdr:rowOff>2162175</xdr:rowOff>
    </xdr:to>
    <xdr:sp macro="" textlink="">
      <xdr:nvSpPr>
        <xdr:cNvPr id="2"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100-000002000000}"/>
            </a:ext>
          </a:extLst>
        </xdr:cNvPr>
        <xdr:cNvSpPr/>
      </xdr:nvSpPr>
      <xdr:spPr bwMode="auto">
        <a:xfrm>
          <a:off x="2800350" y="9324975"/>
          <a:ext cx="695325"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1562100</xdr:colOff>
      <xdr:row>16</xdr:row>
      <xdr:rowOff>447675</xdr:rowOff>
    </xdr:from>
    <xdr:to>
      <xdr:col>1</xdr:col>
      <xdr:colOff>2914650</xdr:colOff>
      <xdr:row>16</xdr:row>
      <xdr:rowOff>1228725</xdr:rowOff>
    </xdr:to>
    <xdr:sp macro="" textlink="">
      <xdr:nvSpPr>
        <xdr:cNvPr id="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100-000003000000}"/>
            </a:ext>
          </a:extLst>
        </xdr:cNvPr>
        <xdr:cNvSpPr/>
      </xdr:nvSpPr>
      <xdr:spPr bwMode="auto">
        <a:xfrm>
          <a:off x="2019300" y="9534525"/>
          <a:ext cx="135255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2343150</xdr:colOff>
      <xdr:row>15</xdr:row>
      <xdr:rowOff>457200</xdr:rowOff>
    </xdr:from>
    <xdr:to>
      <xdr:col>1</xdr:col>
      <xdr:colOff>3038475</xdr:colOff>
      <xdr:row>15</xdr:row>
      <xdr:rowOff>2162175</xdr:rowOff>
    </xdr:to>
    <xdr:sp macro="" textlink="">
      <xdr:nvSpPr>
        <xdr:cNvPr id="4"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100-000004000000}"/>
            </a:ext>
          </a:extLst>
        </xdr:cNvPr>
        <xdr:cNvSpPr/>
      </xdr:nvSpPr>
      <xdr:spPr bwMode="auto">
        <a:xfrm>
          <a:off x="2800350" y="9324975"/>
          <a:ext cx="695325"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2343150</xdr:colOff>
      <xdr:row>15</xdr:row>
      <xdr:rowOff>457200</xdr:rowOff>
    </xdr:from>
    <xdr:to>
      <xdr:col>1</xdr:col>
      <xdr:colOff>3038475</xdr:colOff>
      <xdr:row>15</xdr:row>
      <xdr:rowOff>2162175</xdr:rowOff>
    </xdr:to>
    <xdr:sp macro="" textlink="">
      <xdr:nvSpPr>
        <xdr:cNvPr id="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100-000005000000}"/>
            </a:ext>
          </a:extLst>
        </xdr:cNvPr>
        <xdr:cNvSpPr/>
      </xdr:nvSpPr>
      <xdr:spPr bwMode="auto">
        <a:xfrm>
          <a:off x="2800350" y="9324975"/>
          <a:ext cx="695325"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2343150</xdr:colOff>
      <xdr:row>15</xdr:row>
      <xdr:rowOff>457200</xdr:rowOff>
    </xdr:from>
    <xdr:to>
      <xdr:col>1</xdr:col>
      <xdr:colOff>3038475</xdr:colOff>
      <xdr:row>15</xdr:row>
      <xdr:rowOff>2162175</xdr:rowOff>
    </xdr:to>
    <xdr:sp macro="" textlink="">
      <xdr:nvSpPr>
        <xdr:cNvPr id="6"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100-000006000000}"/>
            </a:ext>
          </a:extLst>
        </xdr:cNvPr>
        <xdr:cNvSpPr/>
      </xdr:nvSpPr>
      <xdr:spPr bwMode="auto">
        <a:xfrm>
          <a:off x="2800350" y="9324975"/>
          <a:ext cx="695325"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28"/>
  <sheetViews>
    <sheetView showGridLines="0" zoomScaleNormal="100" zoomScaleSheetLayoutView="100" workbookViewId="0">
      <pane xSplit="4" ySplit="2" topLeftCell="E3" activePane="bottomRight" state="frozen"/>
      <selection pane="topRight" activeCell="E1" sqref="E1"/>
      <selection pane="bottomLeft" activeCell="A3" sqref="A3"/>
      <selection pane="bottomRight" activeCell="D3" sqref="D3"/>
    </sheetView>
  </sheetViews>
  <sheetFormatPr baseColWidth="10" defaultColWidth="11.42578125" defaultRowHeight="8.25" x14ac:dyDescent="0.25"/>
  <cols>
    <col min="1" max="1" width="6.85546875" style="1" customWidth="1"/>
    <col min="2" max="2" width="48.28515625" style="1" customWidth="1"/>
    <col min="3" max="3" width="5.140625" style="2" customWidth="1"/>
    <col min="4" max="4" width="9.42578125" style="1" customWidth="1"/>
    <col min="5" max="5" width="12.28515625" style="3" customWidth="1"/>
    <col min="6" max="6" width="0" style="3" hidden="1" customWidth="1"/>
    <col min="7" max="7" width="12.140625" style="3" hidden="1" customWidth="1"/>
    <col min="8" max="8" width="12.85546875" style="3" hidden="1" customWidth="1"/>
    <col min="9" max="9" width="12.28515625" style="3" customWidth="1"/>
    <col min="10" max="10" width="0" style="3" hidden="1" customWidth="1"/>
    <col min="11" max="11" width="12.140625" style="3" hidden="1" customWidth="1"/>
    <col min="12" max="12" width="12.85546875" style="3" hidden="1" customWidth="1"/>
    <col min="13" max="13" width="11.5703125" style="1" bestFit="1" customWidth="1"/>
    <col min="14" max="16" width="0" style="1" hidden="1" customWidth="1"/>
    <col min="17" max="20" width="11.5703125" style="3" bestFit="1" customWidth="1"/>
    <col min="21" max="21" width="11.5703125" style="4" bestFit="1" customWidth="1"/>
    <col min="22" max="22" width="11.5703125" style="1" bestFit="1" customWidth="1"/>
    <col min="23" max="23" width="11.42578125" style="1"/>
    <col min="24" max="24" width="12.140625" style="1" bestFit="1" customWidth="1"/>
    <col min="25" max="25" width="11.5703125" style="1" bestFit="1" customWidth="1"/>
    <col min="26" max="16384" width="11.42578125" style="1"/>
  </cols>
  <sheetData>
    <row r="1" spans="1:25" x14ac:dyDescent="0.25">
      <c r="E1" s="42" t="s">
        <v>0</v>
      </c>
      <c r="F1" s="42"/>
      <c r="G1" s="42"/>
      <c r="H1" s="42"/>
      <c r="I1" s="43" t="s">
        <v>1</v>
      </c>
      <c r="J1" s="43"/>
      <c r="K1" s="43"/>
      <c r="L1" s="43"/>
      <c r="M1" s="44" t="s">
        <v>2</v>
      </c>
      <c r="N1" s="44"/>
      <c r="O1" s="44"/>
      <c r="P1" s="44"/>
    </row>
    <row r="2" spans="1:25" ht="41.25" x14ac:dyDescent="0.25">
      <c r="A2" s="5" t="s">
        <v>3</v>
      </c>
      <c r="B2" s="5" t="s">
        <v>4</v>
      </c>
      <c r="C2" s="6" t="s">
        <v>5</v>
      </c>
      <c r="D2" s="5" t="s">
        <v>6</v>
      </c>
      <c r="E2" s="7" t="s">
        <v>7</v>
      </c>
      <c r="F2" s="7" t="s">
        <v>8</v>
      </c>
      <c r="G2" s="7" t="s">
        <v>9</v>
      </c>
      <c r="H2" s="7" t="s">
        <v>10</v>
      </c>
      <c r="I2" s="7" t="s">
        <v>7</v>
      </c>
      <c r="J2" s="7" t="s">
        <v>8</v>
      </c>
      <c r="K2" s="7" t="s">
        <v>9</v>
      </c>
      <c r="L2" s="7" t="s">
        <v>10</v>
      </c>
      <c r="M2" s="7" t="s">
        <v>7</v>
      </c>
      <c r="N2" s="7" t="s">
        <v>8</v>
      </c>
      <c r="O2" s="7" t="s">
        <v>9</v>
      </c>
      <c r="P2" s="7" t="s">
        <v>10</v>
      </c>
      <c r="Q2" s="7" t="s">
        <v>11</v>
      </c>
      <c r="R2" s="7" t="s">
        <v>12</v>
      </c>
      <c r="S2" s="7" t="s">
        <v>13</v>
      </c>
      <c r="T2" s="7" t="s">
        <v>14</v>
      </c>
      <c r="U2" s="8" t="s">
        <v>15</v>
      </c>
      <c r="V2" s="7" t="s">
        <v>16</v>
      </c>
      <c r="W2" s="7" t="s">
        <v>17</v>
      </c>
      <c r="X2" s="7" t="s">
        <v>18</v>
      </c>
      <c r="Y2" s="7" t="s">
        <v>19</v>
      </c>
    </row>
    <row r="3" spans="1:25" ht="21" customHeight="1" x14ac:dyDescent="0.25">
      <c r="A3" s="9">
        <v>1</v>
      </c>
      <c r="B3" s="10" t="s">
        <v>20</v>
      </c>
      <c r="C3" s="11">
        <v>4</v>
      </c>
      <c r="D3" s="11" t="s">
        <v>21</v>
      </c>
      <c r="E3" s="12">
        <v>120000</v>
      </c>
      <c r="F3" s="12"/>
      <c r="G3" s="12">
        <f>+E3+F3</f>
        <v>120000</v>
      </c>
      <c r="H3" s="12">
        <f>+$C$3*G3</f>
        <v>480000</v>
      </c>
      <c r="I3" s="12">
        <v>155000</v>
      </c>
      <c r="J3" s="12">
        <v>29450</v>
      </c>
      <c r="K3" s="12">
        <f>+I3+J3</f>
        <v>184450</v>
      </c>
      <c r="L3" s="12">
        <f>+$C$3*K3</f>
        <v>737800</v>
      </c>
      <c r="M3" s="12">
        <v>170000</v>
      </c>
      <c r="N3" s="12">
        <v>32300</v>
      </c>
      <c r="O3" s="12">
        <f>+M3+N3</f>
        <v>202300</v>
      </c>
      <c r="P3" s="12">
        <f>+$C$3*O3</f>
        <v>809200</v>
      </c>
      <c r="Q3" s="13">
        <f>MIN(E3,I3,M3)</f>
        <v>120000</v>
      </c>
      <c r="R3" s="13">
        <f>ROUND(AVERAGE(E3,I3,M3),2)</f>
        <v>148333.32999999999</v>
      </c>
      <c r="S3" s="13">
        <f>MEDIAN(E3,I3,M3)</f>
        <v>155000</v>
      </c>
      <c r="T3" s="13">
        <f>ROUND(STDEV(Q3,R3),2)</f>
        <v>20034.689999999999</v>
      </c>
      <c r="U3" s="14">
        <f>ROUND(T3/R3,2)</f>
        <v>0.14000000000000001</v>
      </c>
      <c r="V3" s="15">
        <f>+R3</f>
        <v>148333.32999999999</v>
      </c>
      <c r="W3" s="16" t="s">
        <v>22</v>
      </c>
      <c r="X3" s="17">
        <f>ROUND(C3*(V3+(V3*19%)),2)</f>
        <v>706066.65</v>
      </c>
      <c r="Y3" s="16">
        <f>+C3</f>
        <v>4</v>
      </c>
    </row>
    <row r="4" spans="1:25" ht="23.25" customHeight="1" x14ac:dyDescent="0.25">
      <c r="A4" s="9">
        <v>2</v>
      </c>
      <c r="B4" s="10" t="s">
        <v>23</v>
      </c>
      <c r="C4" s="11">
        <v>4</v>
      </c>
      <c r="D4" s="11" t="s">
        <v>21</v>
      </c>
      <c r="E4" s="12">
        <v>65000</v>
      </c>
      <c r="F4" s="12"/>
      <c r="G4" s="12">
        <f t="shared" ref="G4:G13" si="0">+E4+F4</f>
        <v>65000</v>
      </c>
      <c r="H4" s="12">
        <f>+$C$4*G4</f>
        <v>260000</v>
      </c>
      <c r="I4" s="12">
        <v>75000</v>
      </c>
      <c r="J4" s="12">
        <v>14250</v>
      </c>
      <c r="K4" s="12">
        <f t="shared" ref="K4:K13" si="1">+I4+J4</f>
        <v>89250</v>
      </c>
      <c r="L4" s="12">
        <f>+$C$4*K4</f>
        <v>357000</v>
      </c>
      <c r="M4" s="12">
        <v>90000</v>
      </c>
      <c r="N4" s="12">
        <v>17100</v>
      </c>
      <c r="O4" s="12">
        <f t="shared" ref="O4:O13" si="2">+M4+N4</f>
        <v>107100</v>
      </c>
      <c r="P4" s="12">
        <f>+$C$4*O4</f>
        <v>428400</v>
      </c>
      <c r="Q4" s="13">
        <f t="shared" ref="Q4:Q13" si="3">MIN(E4,I4,M4)</f>
        <v>65000</v>
      </c>
      <c r="R4" s="13">
        <f t="shared" ref="R4:R13" si="4">ROUND(AVERAGE(E4,I4,M4),2)</f>
        <v>76666.67</v>
      </c>
      <c r="S4" s="13">
        <f t="shared" ref="S4:S13" si="5">MEDIAN(E4,I4,M4)</f>
        <v>75000</v>
      </c>
      <c r="T4" s="13">
        <f t="shared" ref="T4:T13" si="6">ROUND(STDEV(Q4,R4),2)</f>
        <v>8249.58</v>
      </c>
      <c r="U4" s="14">
        <f t="shared" ref="U4:U13" si="7">T4/R4</f>
        <v>0.1076032127129038</v>
      </c>
      <c r="V4" s="15">
        <f t="shared" ref="V4:V13" si="8">+R4</f>
        <v>76666.67</v>
      </c>
      <c r="W4" s="16" t="s">
        <v>22</v>
      </c>
      <c r="X4" s="17">
        <f t="shared" ref="X4:X13" si="9">ROUND(C4*(V4+(V4*19%)),2)</f>
        <v>364933.35</v>
      </c>
      <c r="Y4" s="16">
        <f t="shared" ref="Y4:Y13" si="10">+C4</f>
        <v>4</v>
      </c>
    </row>
    <row r="5" spans="1:25" ht="25.5" customHeight="1" x14ac:dyDescent="0.25">
      <c r="A5" s="9">
        <v>3</v>
      </c>
      <c r="B5" s="10" t="s">
        <v>24</v>
      </c>
      <c r="C5" s="11">
        <v>15</v>
      </c>
      <c r="D5" s="11" t="s">
        <v>21</v>
      </c>
      <c r="E5" s="12">
        <v>50000</v>
      </c>
      <c r="F5" s="12"/>
      <c r="G5" s="12">
        <f t="shared" si="0"/>
        <v>50000</v>
      </c>
      <c r="H5" s="12">
        <f>+$C$5*G5</f>
        <v>750000</v>
      </c>
      <c r="I5" s="12">
        <v>65000</v>
      </c>
      <c r="J5" s="12">
        <v>12350</v>
      </c>
      <c r="K5" s="12">
        <f t="shared" si="1"/>
        <v>77350</v>
      </c>
      <c r="L5" s="12">
        <f>+$C$5*K5</f>
        <v>1160250</v>
      </c>
      <c r="M5" s="12">
        <v>80000</v>
      </c>
      <c r="N5" s="12">
        <v>15200</v>
      </c>
      <c r="O5" s="12">
        <f t="shared" si="2"/>
        <v>95200</v>
      </c>
      <c r="P5" s="12">
        <f>+$C$5*O5</f>
        <v>1428000</v>
      </c>
      <c r="Q5" s="13">
        <f t="shared" si="3"/>
        <v>50000</v>
      </c>
      <c r="R5" s="13">
        <f t="shared" si="4"/>
        <v>65000</v>
      </c>
      <c r="S5" s="13">
        <f t="shared" si="5"/>
        <v>65000</v>
      </c>
      <c r="T5" s="13">
        <f t="shared" si="6"/>
        <v>10606.6</v>
      </c>
      <c r="U5" s="14">
        <f t="shared" si="7"/>
        <v>0.16317846153846155</v>
      </c>
      <c r="V5" s="15">
        <f t="shared" si="8"/>
        <v>65000</v>
      </c>
      <c r="W5" s="16" t="s">
        <v>22</v>
      </c>
      <c r="X5" s="17">
        <f t="shared" si="9"/>
        <v>1160250</v>
      </c>
      <c r="Y5" s="16">
        <f t="shared" si="10"/>
        <v>15</v>
      </c>
    </row>
    <row r="6" spans="1:25" ht="27" customHeight="1" x14ac:dyDescent="0.25">
      <c r="A6" s="9">
        <v>4</v>
      </c>
      <c r="B6" s="10" t="s">
        <v>25</v>
      </c>
      <c r="C6" s="11">
        <v>14</v>
      </c>
      <c r="D6" s="11" t="s">
        <v>21</v>
      </c>
      <c r="E6" s="12">
        <v>45000</v>
      </c>
      <c r="F6" s="12"/>
      <c r="G6" s="12">
        <f t="shared" si="0"/>
        <v>45000</v>
      </c>
      <c r="H6" s="12">
        <f>+$C$6*G6</f>
        <v>630000</v>
      </c>
      <c r="I6" s="12">
        <v>60000</v>
      </c>
      <c r="J6" s="12">
        <v>11400</v>
      </c>
      <c r="K6" s="12">
        <f t="shared" si="1"/>
        <v>71400</v>
      </c>
      <c r="L6" s="12">
        <f>+$C$6*K6</f>
        <v>999600</v>
      </c>
      <c r="M6" s="12">
        <v>65000</v>
      </c>
      <c r="N6" s="12">
        <v>12350</v>
      </c>
      <c r="O6" s="12">
        <f t="shared" si="2"/>
        <v>77350</v>
      </c>
      <c r="P6" s="12">
        <f>+$C$6*O6</f>
        <v>1082900</v>
      </c>
      <c r="Q6" s="13">
        <f t="shared" si="3"/>
        <v>45000</v>
      </c>
      <c r="R6" s="13">
        <f t="shared" si="4"/>
        <v>56666.67</v>
      </c>
      <c r="S6" s="13">
        <f t="shared" si="5"/>
        <v>60000</v>
      </c>
      <c r="T6" s="13">
        <f t="shared" si="6"/>
        <v>8249.58</v>
      </c>
      <c r="U6" s="14">
        <f t="shared" si="7"/>
        <v>0.14558081496583442</v>
      </c>
      <c r="V6" s="15">
        <f t="shared" si="8"/>
        <v>56666.67</v>
      </c>
      <c r="W6" s="16" t="s">
        <v>22</v>
      </c>
      <c r="X6" s="17">
        <f t="shared" si="9"/>
        <v>944066.72</v>
      </c>
      <c r="Y6" s="16">
        <f t="shared" si="10"/>
        <v>14</v>
      </c>
    </row>
    <row r="7" spans="1:25" ht="21" customHeight="1" x14ac:dyDescent="0.25">
      <c r="A7" s="9">
        <v>5</v>
      </c>
      <c r="B7" s="10" t="s">
        <v>26</v>
      </c>
      <c r="C7" s="11">
        <v>1</v>
      </c>
      <c r="D7" s="11" t="s">
        <v>21</v>
      </c>
      <c r="E7" s="12">
        <v>45000</v>
      </c>
      <c r="F7" s="12"/>
      <c r="G7" s="12">
        <f t="shared" si="0"/>
        <v>45000</v>
      </c>
      <c r="H7" s="12">
        <f>+$C$7*G7</f>
        <v>45000</v>
      </c>
      <c r="I7" s="12">
        <v>60000</v>
      </c>
      <c r="J7" s="12">
        <v>11400</v>
      </c>
      <c r="K7" s="12">
        <f t="shared" si="1"/>
        <v>71400</v>
      </c>
      <c r="L7" s="12">
        <f>+$C$7*K7</f>
        <v>71400</v>
      </c>
      <c r="M7" s="12">
        <v>65000</v>
      </c>
      <c r="N7" s="12">
        <v>12350</v>
      </c>
      <c r="O7" s="12">
        <f t="shared" si="2"/>
        <v>77350</v>
      </c>
      <c r="P7" s="12">
        <f>+$C$7*O7</f>
        <v>77350</v>
      </c>
      <c r="Q7" s="13">
        <f t="shared" si="3"/>
        <v>45000</v>
      </c>
      <c r="R7" s="13">
        <f t="shared" si="4"/>
        <v>56666.67</v>
      </c>
      <c r="S7" s="13">
        <f t="shared" si="5"/>
        <v>60000</v>
      </c>
      <c r="T7" s="13">
        <f t="shared" si="6"/>
        <v>8249.58</v>
      </c>
      <c r="U7" s="14">
        <f t="shared" si="7"/>
        <v>0.14558081496583442</v>
      </c>
      <c r="V7" s="15">
        <f t="shared" si="8"/>
        <v>56666.67</v>
      </c>
      <c r="W7" s="16" t="s">
        <v>22</v>
      </c>
      <c r="X7" s="17">
        <f t="shared" si="9"/>
        <v>67433.34</v>
      </c>
      <c r="Y7" s="16">
        <f t="shared" si="10"/>
        <v>1</v>
      </c>
    </row>
    <row r="8" spans="1:25" ht="23.25" customHeight="1" x14ac:dyDescent="0.25">
      <c r="A8" s="9">
        <v>6</v>
      </c>
      <c r="B8" s="10" t="s">
        <v>27</v>
      </c>
      <c r="C8" s="11">
        <v>1</v>
      </c>
      <c r="D8" s="11" t="s">
        <v>21</v>
      </c>
      <c r="E8" s="12">
        <v>45000</v>
      </c>
      <c r="F8" s="12"/>
      <c r="G8" s="12">
        <f t="shared" si="0"/>
        <v>45000</v>
      </c>
      <c r="H8" s="12">
        <f>+$C$8*G8</f>
        <v>45000</v>
      </c>
      <c r="I8" s="12">
        <v>60000</v>
      </c>
      <c r="J8" s="12">
        <v>11400</v>
      </c>
      <c r="K8" s="12">
        <f t="shared" si="1"/>
        <v>71400</v>
      </c>
      <c r="L8" s="12">
        <f>+$C$8*K8</f>
        <v>71400</v>
      </c>
      <c r="M8" s="12">
        <v>65000</v>
      </c>
      <c r="N8" s="12">
        <v>12350</v>
      </c>
      <c r="O8" s="12">
        <f t="shared" si="2"/>
        <v>77350</v>
      </c>
      <c r="P8" s="12">
        <f>+$C$8*O8</f>
        <v>77350</v>
      </c>
      <c r="Q8" s="13">
        <f t="shared" si="3"/>
        <v>45000</v>
      </c>
      <c r="R8" s="13">
        <f t="shared" si="4"/>
        <v>56666.67</v>
      </c>
      <c r="S8" s="13">
        <f t="shared" si="5"/>
        <v>60000</v>
      </c>
      <c r="T8" s="13">
        <f t="shared" si="6"/>
        <v>8249.58</v>
      </c>
      <c r="U8" s="14">
        <f t="shared" si="7"/>
        <v>0.14558081496583442</v>
      </c>
      <c r="V8" s="15">
        <f t="shared" si="8"/>
        <v>56666.67</v>
      </c>
      <c r="W8" s="16" t="s">
        <v>22</v>
      </c>
      <c r="X8" s="17">
        <f t="shared" si="9"/>
        <v>67433.34</v>
      </c>
      <c r="Y8" s="16">
        <f t="shared" si="10"/>
        <v>1</v>
      </c>
    </row>
    <row r="9" spans="1:25" ht="25.5" customHeight="1" x14ac:dyDescent="0.25">
      <c r="A9" s="9">
        <v>7</v>
      </c>
      <c r="B9" s="10" t="s">
        <v>28</v>
      </c>
      <c r="C9" s="11">
        <v>2</v>
      </c>
      <c r="D9" s="11" t="s">
        <v>21</v>
      </c>
      <c r="E9" s="12">
        <v>45000</v>
      </c>
      <c r="F9" s="12"/>
      <c r="G9" s="12">
        <f t="shared" si="0"/>
        <v>45000</v>
      </c>
      <c r="H9" s="12">
        <f>+$C$9*G9</f>
        <v>90000</v>
      </c>
      <c r="I9" s="12">
        <v>60000</v>
      </c>
      <c r="J9" s="12">
        <v>11400</v>
      </c>
      <c r="K9" s="12">
        <f t="shared" si="1"/>
        <v>71400</v>
      </c>
      <c r="L9" s="12">
        <f>+$C$9*K9</f>
        <v>142800</v>
      </c>
      <c r="M9" s="12">
        <v>65000</v>
      </c>
      <c r="N9" s="12">
        <v>12350</v>
      </c>
      <c r="O9" s="12">
        <f t="shared" si="2"/>
        <v>77350</v>
      </c>
      <c r="P9" s="12">
        <f>+$C$9*O9</f>
        <v>154700</v>
      </c>
      <c r="Q9" s="13">
        <f t="shared" si="3"/>
        <v>45000</v>
      </c>
      <c r="R9" s="13">
        <f t="shared" si="4"/>
        <v>56666.67</v>
      </c>
      <c r="S9" s="13">
        <f t="shared" si="5"/>
        <v>60000</v>
      </c>
      <c r="T9" s="13">
        <f t="shared" si="6"/>
        <v>8249.58</v>
      </c>
      <c r="U9" s="14">
        <f t="shared" si="7"/>
        <v>0.14558081496583442</v>
      </c>
      <c r="V9" s="15">
        <f t="shared" si="8"/>
        <v>56666.67</v>
      </c>
      <c r="W9" s="16" t="s">
        <v>22</v>
      </c>
      <c r="X9" s="17">
        <f t="shared" si="9"/>
        <v>134866.67000000001</v>
      </c>
      <c r="Y9" s="16">
        <f t="shared" si="10"/>
        <v>2</v>
      </c>
    </row>
    <row r="10" spans="1:25" ht="25.5" customHeight="1" x14ac:dyDescent="0.25">
      <c r="A10" s="9">
        <v>8</v>
      </c>
      <c r="B10" s="10" t="s">
        <v>29</v>
      </c>
      <c r="C10" s="11">
        <v>1</v>
      </c>
      <c r="D10" s="11" t="s">
        <v>21</v>
      </c>
      <c r="E10" s="12">
        <v>45000</v>
      </c>
      <c r="F10" s="12"/>
      <c r="G10" s="12">
        <f t="shared" si="0"/>
        <v>45000</v>
      </c>
      <c r="H10" s="12">
        <f>+$C$10*G10</f>
        <v>45000</v>
      </c>
      <c r="I10" s="12">
        <v>60000</v>
      </c>
      <c r="J10" s="12">
        <v>11400</v>
      </c>
      <c r="K10" s="12">
        <f t="shared" si="1"/>
        <v>71400</v>
      </c>
      <c r="L10" s="12">
        <f>+$C$10*K10</f>
        <v>71400</v>
      </c>
      <c r="M10" s="12">
        <v>65000</v>
      </c>
      <c r="N10" s="12">
        <v>12350</v>
      </c>
      <c r="O10" s="12">
        <f t="shared" si="2"/>
        <v>77350</v>
      </c>
      <c r="P10" s="12">
        <f>+$C$10*O10</f>
        <v>77350</v>
      </c>
      <c r="Q10" s="13">
        <f t="shared" si="3"/>
        <v>45000</v>
      </c>
      <c r="R10" s="13">
        <f t="shared" si="4"/>
        <v>56666.67</v>
      </c>
      <c r="S10" s="13">
        <f t="shared" si="5"/>
        <v>60000</v>
      </c>
      <c r="T10" s="13">
        <f t="shared" si="6"/>
        <v>8249.58</v>
      </c>
      <c r="U10" s="14">
        <f t="shared" si="7"/>
        <v>0.14558081496583442</v>
      </c>
      <c r="V10" s="15">
        <f t="shared" si="8"/>
        <v>56666.67</v>
      </c>
      <c r="W10" s="16" t="s">
        <v>22</v>
      </c>
      <c r="X10" s="17">
        <f t="shared" si="9"/>
        <v>67433.34</v>
      </c>
      <c r="Y10" s="16">
        <f t="shared" si="10"/>
        <v>1</v>
      </c>
    </row>
    <row r="11" spans="1:25" ht="25.5" customHeight="1" x14ac:dyDescent="0.25">
      <c r="A11" s="9">
        <v>9</v>
      </c>
      <c r="B11" s="10" t="s">
        <v>30</v>
      </c>
      <c r="C11" s="11">
        <v>3</v>
      </c>
      <c r="D11" s="11" t="s">
        <v>21</v>
      </c>
      <c r="E11" s="12">
        <v>45000</v>
      </c>
      <c r="F11" s="12"/>
      <c r="G11" s="12">
        <f t="shared" si="0"/>
        <v>45000</v>
      </c>
      <c r="H11" s="12">
        <f>+$C$11*G11</f>
        <v>135000</v>
      </c>
      <c r="I11" s="12">
        <v>60000</v>
      </c>
      <c r="J11" s="12">
        <v>11400</v>
      </c>
      <c r="K11" s="12">
        <f t="shared" si="1"/>
        <v>71400</v>
      </c>
      <c r="L11" s="12">
        <f>+$C$11*K11</f>
        <v>214200</v>
      </c>
      <c r="M11" s="12">
        <v>65000</v>
      </c>
      <c r="N11" s="12">
        <v>12350</v>
      </c>
      <c r="O11" s="12">
        <f t="shared" si="2"/>
        <v>77350</v>
      </c>
      <c r="P11" s="12">
        <f>+$C$11*O11</f>
        <v>232050</v>
      </c>
      <c r="Q11" s="13">
        <f t="shared" si="3"/>
        <v>45000</v>
      </c>
      <c r="R11" s="13">
        <f t="shared" si="4"/>
        <v>56666.67</v>
      </c>
      <c r="S11" s="13">
        <f t="shared" si="5"/>
        <v>60000</v>
      </c>
      <c r="T11" s="13">
        <f t="shared" si="6"/>
        <v>8249.58</v>
      </c>
      <c r="U11" s="14">
        <f t="shared" si="7"/>
        <v>0.14558081496583442</v>
      </c>
      <c r="V11" s="15">
        <f t="shared" si="8"/>
        <v>56666.67</v>
      </c>
      <c r="W11" s="16" t="s">
        <v>22</v>
      </c>
      <c r="X11" s="17">
        <f t="shared" si="9"/>
        <v>202300.01</v>
      </c>
      <c r="Y11" s="16">
        <f t="shared" si="10"/>
        <v>3</v>
      </c>
    </row>
    <row r="12" spans="1:25" ht="25.5" customHeight="1" x14ac:dyDescent="0.25">
      <c r="A12" s="9">
        <v>10</v>
      </c>
      <c r="B12" s="10" t="s">
        <v>31</v>
      </c>
      <c r="C12" s="11">
        <v>1</v>
      </c>
      <c r="D12" s="11" t="s">
        <v>21</v>
      </c>
      <c r="E12" s="12">
        <v>45000</v>
      </c>
      <c r="F12" s="12"/>
      <c r="G12" s="12">
        <f t="shared" si="0"/>
        <v>45000</v>
      </c>
      <c r="H12" s="12">
        <f>+$C$12*G12</f>
        <v>45000</v>
      </c>
      <c r="I12" s="12">
        <v>60000</v>
      </c>
      <c r="J12" s="12">
        <v>11400</v>
      </c>
      <c r="K12" s="12">
        <f t="shared" si="1"/>
        <v>71400</v>
      </c>
      <c r="L12" s="12">
        <f>+$C$12*K12</f>
        <v>71400</v>
      </c>
      <c r="M12" s="12">
        <v>65000</v>
      </c>
      <c r="N12" s="12">
        <v>12350</v>
      </c>
      <c r="O12" s="12">
        <f t="shared" si="2"/>
        <v>77350</v>
      </c>
      <c r="P12" s="12">
        <f>+$C$12*O12</f>
        <v>77350</v>
      </c>
      <c r="Q12" s="13">
        <f t="shared" si="3"/>
        <v>45000</v>
      </c>
      <c r="R12" s="13">
        <f t="shared" si="4"/>
        <v>56666.67</v>
      </c>
      <c r="S12" s="13">
        <f t="shared" si="5"/>
        <v>60000</v>
      </c>
      <c r="T12" s="13">
        <f t="shared" si="6"/>
        <v>8249.58</v>
      </c>
      <c r="U12" s="14">
        <f t="shared" si="7"/>
        <v>0.14558081496583442</v>
      </c>
      <c r="V12" s="15">
        <f t="shared" si="8"/>
        <v>56666.67</v>
      </c>
      <c r="W12" s="16" t="s">
        <v>22</v>
      </c>
      <c r="X12" s="17">
        <f t="shared" si="9"/>
        <v>67433.34</v>
      </c>
      <c r="Y12" s="16">
        <f t="shared" si="10"/>
        <v>1</v>
      </c>
    </row>
    <row r="13" spans="1:25" ht="25.5" customHeight="1" x14ac:dyDescent="0.25">
      <c r="A13" s="9">
        <v>11</v>
      </c>
      <c r="B13" s="10" t="s">
        <v>32</v>
      </c>
      <c r="C13" s="11">
        <v>2</v>
      </c>
      <c r="D13" s="11" t="s">
        <v>21</v>
      </c>
      <c r="E13" s="12">
        <v>45000</v>
      </c>
      <c r="F13" s="12"/>
      <c r="G13" s="12">
        <f t="shared" si="0"/>
        <v>45000</v>
      </c>
      <c r="H13" s="12">
        <f>+$C$13*G13</f>
        <v>90000</v>
      </c>
      <c r="I13" s="12">
        <v>60000</v>
      </c>
      <c r="J13" s="12">
        <v>11400</v>
      </c>
      <c r="K13" s="12">
        <f t="shared" si="1"/>
        <v>71400</v>
      </c>
      <c r="L13" s="12">
        <f>+$C$13*K13</f>
        <v>142800</v>
      </c>
      <c r="M13" s="12">
        <v>65000</v>
      </c>
      <c r="N13" s="12">
        <v>12350</v>
      </c>
      <c r="O13" s="12">
        <f t="shared" si="2"/>
        <v>77350</v>
      </c>
      <c r="P13" s="12">
        <f>+$C$13*O13</f>
        <v>154700</v>
      </c>
      <c r="Q13" s="13">
        <f t="shared" si="3"/>
        <v>45000</v>
      </c>
      <c r="R13" s="13">
        <f t="shared" si="4"/>
        <v>56666.67</v>
      </c>
      <c r="S13" s="13">
        <f t="shared" si="5"/>
        <v>60000</v>
      </c>
      <c r="T13" s="13">
        <f t="shared" si="6"/>
        <v>8249.58</v>
      </c>
      <c r="U13" s="14">
        <f t="shared" si="7"/>
        <v>0.14558081496583442</v>
      </c>
      <c r="V13" s="15">
        <f t="shared" si="8"/>
        <v>56666.67</v>
      </c>
      <c r="W13" s="16" t="s">
        <v>22</v>
      </c>
      <c r="X13" s="17">
        <f t="shared" si="9"/>
        <v>134866.67000000001</v>
      </c>
      <c r="Y13" s="16">
        <f t="shared" si="10"/>
        <v>2</v>
      </c>
    </row>
    <row r="14" spans="1:25" x14ac:dyDescent="0.25">
      <c r="W14" s="18" t="s">
        <v>33</v>
      </c>
      <c r="X14" s="18">
        <f>SUM(X3:X13)</f>
        <v>3917083.4299999988</v>
      </c>
      <c r="Y14" s="33">
        <f>SUM(Y3:Y13)</f>
        <v>48</v>
      </c>
    </row>
    <row r="15" spans="1:25" x14ac:dyDescent="0.25">
      <c r="W15" s="12" t="s">
        <v>34</v>
      </c>
      <c r="X15" s="12">
        <v>8000000</v>
      </c>
      <c r="Y15" s="19"/>
    </row>
    <row r="16" spans="1:25" x14ac:dyDescent="0.25">
      <c r="W16" s="21" t="s">
        <v>35</v>
      </c>
      <c r="X16" s="21">
        <f>+X15-X14</f>
        <v>4082916.5700000012</v>
      </c>
    </row>
    <row r="128" ht="21" customHeight="1" x14ac:dyDescent="0.25"/>
  </sheetData>
  <sheetProtection algorithmName="SHA-512" hashValue="THu/B3VJvGzIAFu59d+BmFEfjXB1cyFJu0d2JhklKwVHu2jTri+jRpvjTnnaNpLLi83rHvBCuWhBUIjV2p1sTA==" saltValue="KzYIEhPpMDjF8g573dF94g==" spinCount="100000" sheet="1" objects="1" scenarios="1"/>
  <mergeCells count="3">
    <mergeCell ref="E1:H1"/>
    <mergeCell ref="I1:L1"/>
    <mergeCell ref="M1:P1"/>
  </mergeCells>
  <pageMargins left="0.70866141732283472" right="0.70866141732283472" top="0.74803149606299213" bottom="0.74803149606299213" header="0.31496062992125984" footer="0.31496062992125984"/>
  <pageSetup paperSize="9" scale="7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38"/>
  <sheetViews>
    <sheetView showGridLines="0" zoomScaleNormal="100" zoomScaleSheetLayoutView="142" workbookViewId="0">
      <pane xSplit="4" ySplit="2" topLeftCell="E3" activePane="bottomRight" state="frozen"/>
      <selection activeCell="B44" sqref="B44"/>
      <selection pane="topRight" activeCell="B44" sqref="B44"/>
      <selection pane="bottomLeft" activeCell="B44" sqref="B44"/>
      <selection pane="bottomRight" activeCell="E3" sqref="E3"/>
    </sheetView>
  </sheetViews>
  <sheetFormatPr baseColWidth="10" defaultColWidth="11.42578125" defaultRowHeight="8.25" x14ac:dyDescent="0.25"/>
  <cols>
    <col min="1" max="1" width="6.85546875" style="1" customWidth="1"/>
    <col min="2" max="2" width="48.28515625" style="1" customWidth="1"/>
    <col min="3" max="3" width="5.140625" style="2" customWidth="1"/>
    <col min="4" max="4" width="9.42578125" style="1" customWidth="1"/>
    <col min="5" max="5" width="12.28515625" style="3" customWidth="1"/>
    <col min="6" max="6" width="0" style="3" hidden="1" customWidth="1"/>
    <col min="7" max="7" width="14" style="3" hidden="1" customWidth="1"/>
    <col min="8" max="8" width="12.85546875" style="3" hidden="1" customWidth="1"/>
    <col min="9" max="9" width="12.28515625" style="3" customWidth="1"/>
    <col min="10" max="10" width="11.42578125" style="3" hidden="1" customWidth="1"/>
    <col min="11" max="11" width="14" style="3" hidden="1" customWidth="1"/>
    <col min="12" max="12" width="12.85546875" style="3" hidden="1" customWidth="1"/>
    <col min="13" max="13" width="12.28515625" style="3" customWidth="1"/>
    <col min="14" max="14" width="11.42578125" style="3" hidden="1" customWidth="1"/>
    <col min="15" max="15" width="14" style="3" hidden="1" customWidth="1"/>
    <col min="16" max="16" width="12.85546875" style="3" hidden="1" customWidth="1"/>
    <col min="17" max="17" width="12.28515625" style="3" customWidth="1"/>
    <col min="18" max="18" width="11.42578125" style="3" hidden="1" customWidth="1"/>
    <col min="19" max="19" width="14" style="3" hidden="1" customWidth="1"/>
    <col min="20" max="20" width="12.85546875" style="3" hidden="1" customWidth="1"/>
    <col min="21" max="26" width="11.5703125" style="1" bestFit="1" customWidth="1"/>
    <col min="27" max="27" width="11.42578125" style="1"/>
    <col min="28" max="28" width="13" style="1" bestFit="1" customWidth="1"/>
    <col min="29" max="29" width="11.5703125" style="1" bestFit="1" customWidth="1"/>
    <col min="30" max="30" width="13.28515625" style="1" bestFit="1" customWidth="1"/>
    <col min="31" max="16384" width="11.42578125" style="1"/>
  </cols>
  <sheetData>
    <row r="1" spans="1:30" ht="8.25" customHeight="1" x14ac:dyDescent="0.25">
      <c r="C1" s="22"/>
      <c r="E1" s="45" t="s">
        <v>36</v>
      </c>
      <c r="F1" s="45"/>
      <c r="G1" s="45"/>
      <c r="H1" s="45"/>
      <c r="I1" s="46" t="s">
        <v>0</v>
      </c>
      <c r="J1" s="46"/>
      <c r="K1" s="46"/>
      <c r="L1" s="46"/>
      <c r="M1" s="47" t="s">
        <v>37</v>
      </c>
      <c r="N1" s="47"/>
      <c r="O1" s="47"/>
      <c r="P1" s="47"/>
      <c r="Q1" s="48" t="s">
        <v>38</v>
      </c>
      <c r="R1" s="48"/>
      <c r="S1" s="48"/>
      <c r="T1" s="48"/>
    </row>
    <row r="2" spans="1:30" ht="41.25" x14ac:dyDescent="0.25">
      <c r="A2" s="5" t="s">
        <v>3</v>
      </c>
      <c r="B2" s="5" t="s">
        <v>4</v>
      </c>
      <c r="C2" s="6" t="s">
        <v>5</v>
      </c>
      <c r="D2" s="23" t="s">
        <v>6</v>
      </c>
      <c r="E2" s="7" t="s">
        <v>7</v>
      </c>
      <c r="F2" s="7" t="s">
        <v>8</v>
      </c>
      <c r="G2" s="7" t="s">
        <v>9</v>
      </c>
      <c r="H2" s="7" t="s">
        <v>10</v>
      </c>
      <c r="I2" s="7" t="s">
        <v>7</v>
      </c>
      <c r="J2" s="7" t="s">
        <v>8</v>
      </c>
      <c r="K2" s="7" t="s">
        <v>9</v>
      </c>
      <c r="L2" s="7" t="s">
        <v>10</v>
      </c>
      <c r="M2" s="7" t="s">
        <v>7</v>
      </c>
      <c r="N2" s="7" t="s">
        <v>8</v>
      </c>
      <c r="O2" s="7" t="s">
        <v>9</v>
      </c>
      <c r="P2" s="7" t="s">
        <v>10</v>
      </c>
      <c r="Q2" s="7" t="s">
        <v>7</v>
      </c>
      <c r="R2" s="7" t="s">
        <v>8</v>
      </c>
      <c r="S2" s="7" t="s">
        <v>9</v>
      </c>
      <c r="T2" s="7" t="s">
        <v>10</v>
      </c>
      <c r="U2" s="7" t="s">
        <v>11</v>
      </c>
      <c r="V2" s="7" t="s">
        <v>12</v>
      </c>
      <c r="W2" s="7" t="s">
        <v>13</v>
      </c>
      <c r="X2" s="7" t="s">
        <v>14</v>
      </c>
      <c r="Y2" s="8" t="s">
        <v>15</v>
      </c>
      <c r="Z2" s="7" t="s">
        <v>16</v>
      </c>
      <c r="AA2" s="7" t="s">
        <v>17</v>
      </c>
      <c r="AB2" s="7" t="s">
        <v>18</v>
      </c>
      <c r="AC2" s="7" t="s">
        <v>19</v>
      </c>
      <c r="AD2" s="7" t="s">
        <v>39</v>
      </c>
    </row>
    <row r="3" spans="1:30" ht="165" x14ac:dyDescent="0.25">
      <c r="A3" s="9">
        <v>1</v>
      </c>
      <c r="B3" s="24" t="s">
        <v>40</v>
      </c>
      <c r="C3" s="11">
        <v>1</v>
      </c>
      <c r="D3" s="11" t="s">
        <v>21</v>
      </c>
      <c r="E3" s="12">
        <v>7553782</v>
      </c>
      <c r="F3" s="12">
        <v>1435218.58</v>
      </c>
      <c r="G3" s="25">
        <f>+E3+F3</f>
        <v>8989000.5800000001</v>
      </c>
      <c r="H3" s="12">
        <f>+$C$3*G3</f>
        <v>8989000.5800000001</v>
      </c>
      <c r="I3" s="12">
        <v>9350000</v>
      </c>
      <c r="J3" s="12"/>
      <c r="K3" s="25">
        <f>+I3+J3</f>
        <v>9350000</v>
      </c>
      <c r="L3" s="12">
        <f>+$C$3*K3</f>
        <v>9350000</v>
      </c>
      <c r="M3" s="12">
        <v>9850000</v>
      </c>
      <c r="N3" s="12">
        <v>1871500</v>
      </c>
      <c r="O3" s="25">
        <f>+M3+N3</f>
        <v>11721500</v>
      </c>
      <c r="P3" s="12">
        <f>+$C$3*O3</f>
        <v>11721500</v>
      </c>
      <c r="Q3" s="12">
        <v>10500000</v>
      </c>
      <c r="R3" s="12">
        <v>1995000</v>
      </c>
      <c r="S3" s="25">
        <f>+Q3+R3</f>
        <v>12495000</v>
      </c>
      <c r="T3" s="12">
        <f>+$C$3*S3</f>
        <v>12495000</v>
      </c>
      <c r="U3" s="13">
        <f>MIN(E3,I3,M3,Q3)</f>
        <v>7553782</v>
      </c>
      <c r="V3" s="13">
        <f>ROUND(AVERAGE(E3,I3,M3,Q3),2)</f>
        <v>9313445.5</v>
      </c>
      <c r="W3" s="13">
        <f>MEDIAN(E3,I3,M3,Q3)</f>
        <v>9600000</v>
      </c>
      <c r="X3" s="13">
        <f>ROUND(STDEV(U3,V3),2)</f>
        <v>1244269.99</v>
      </c>
      <c r="Y3" s="14">
        <f>ROUND(X3/V3,2)</f>
        <v>0.13</v>
      </c>
      <c r="Z3" s="15">
        <f t="shared" ref="Z3:Z16" si="0">+U3</f>
        <v>7553782</v>
      </c>
      <c r="AA3" s="16" t="s">
        <v>41</v>
      </c>
      <c r="AB3" s="17">
        <f>ROUND(C3*(Z3+(Z3*19%)),2)</f>
        <v>8989000.5800000001</v>
      </c>
      <c r="AC3" s="31">
        <f>+C3</f>
        <v>1</v>
      </c>
      <c r="AD3" s="17">
        <f>ROUND(AC3*(Z3+(Z3*19%)),2)</f>
        <v>8989000.5800000001</v>
      </c>
    </row>
    <row r="4" spans="1:30" ht="41.25" x14ac:dyDescent="0.25">
      <c r="A4" s="9">
        <v>2</v>
      </c>
      <c r="B4" s="26" t="s">
        <v>42</v>
      </c>
      <c r="C4" s="11">
        <v>1</v>
      </c>
      <c r="D4" s="11" t="s">
        <v>21</v>
      </c>
      <c r="E4" s="12">
        <v>4612605</v>
      </c>
      <c r="F4" s="12">
        <v>876394.95</v>
      </c>
      <c r="G4" s="25">
        <f t="shared" ref="G4:G17" si="1">+E4+F4</f>
        <v>5488999.9500000002</v>
      </c>
      <c r="H4" s="12">
        <f>+$C$4*G4</f>
        <v>5488999.9500000002</v>
      </c>
      <c r="I4" s="12" t="s">
        <v>43</v>
      </c>
      <c r="J4" s="12"/>
      <c r="K4" s="25">
        <f t="shared" ref="K4:K17" si="2">+I4+J4</f>
        <v>5730000</v>
      </c>
      <c r="L4" s="12">
        <f>+$C$4*K4</f>
        <v>5730000</v>
      </c>
      <c r="M4" s="12" t="s">
        <v>44</v>
      </c>
      <c r="N4" s="12">
        <v>1278700</v>
      </c>
      <c r="O4" s="25">
        <f t="shared" ref="O4:O17" si="3">+M4+N4</f>
        <v>8008700</v>
      </c>
      <c r="P4" s="12">
        <f>+$C$4*O4</f>
        <v>8008700</v>
      </c>
      <c r="Q4" s="12">
        <v>7600000</v>
      </c>
      <c r="R4" s="12">
        <v>1444000</v>
      </c>
      <c r="S4" s="25">
        <f t="shared" ref="S4:S17" si="4">+Q4+R4</f>
        <v>9044000</v>
      </c>
      <c r="T4" s="12">
        <f>+$C$4*S4</f>
        <v>9044000</v>
      </c>
      <c r="U4" s="13">
        <f t="shared" ref="U4:U17" si="5">MIN(E4,I4,M4,Q4)</f>
        <v>4612605</v>
      </c>
      <c r="V4" s="13">
        <f t="shared" ref="V4:V17" si="6">ROUND(AVERAGE(E4,I4,M4,Q4),2)</f>
        <v>6106302.5</v>
      </c>
      <c r="W4" s="13">
        <f t="shared" ref="W4:W17" si="7">MEDIAN(E4,I4,M4,Q4)</f>
        <v>6106302.5</v>
      </c>
      <c r="X4" s="13">
        <f t="shared" ref="X4:X17" si="8">ROUND(STDEV(U4,V4),2)</f>
        <v>1056203.6299999999</v>
      </c>
      <c r="Y4" s="14">
        <f t="shared" ref="Y4:Y17" si="9">ROUND(X4/V4,2)</f>
        <v>0.17</v>
      </c>
      <c r="Z4" s="15">
        <f t="shared" si="0"/>
        <v>4612605</v>
      </c>
      <c r="AA4" s="16" t="s">
        <v>41</v>
      </c>
      <c r="AB4" s="17">
        <f t="shared" ref="AB4:AB17" si="10">ROUND(C4*(Z4+(Z4*19%)),2)</f>
        <v>5488999.9500000002</v>
      </c>
      <c r="AC4" s="31">
        <f t="shared" ref="AC4:AC15" si="11">+C4</f>
        <v>1</v>
      </c>
      <c r="AD4" s="17">
        <f t="shared" ref="AD4:AD17" si="12">ROUND(AC4*(Z4+(Z4*19%)),2)</f>
        <v>5488999.9500000002</v>
      </c>
    </row>
    <row r="5" spans="1:30" ht="90.75" x14ac:dyDescent="0.25">
      <c r="A5" s="9">
        <v>3</v>
      </c>
      <c r="B5" s="26" t="s">
        <v>45</v>
      </c>
      <c r="C5" s="11">
        <v>1</v>
      </c>
      <c r="D5" s="11" t="s">
        <v>21</v>
      </c>
      <c r="E5" s="12">
        <v>7553782</v>
      </c>
      <c r="F5" s="12">
        <v>1435218.58</v>
      </c>
      <c r="G5" s="25">
        <f t="shared" si="1"/>
        <v>8989000.5800000001</v>
      </c>
      <c r="H5" s="12">
        <f>+$C$5*G5</f>
        <v>8989000.5800000001</v>
      </c>
      <c r="I5" s="12" t="s">
        <v>46</v>
      </c>
      <c r="J5" s="12"/>
      <c r="K5" s="25">
        <f t="shared" si="2"/>
        <v>9450000</v>
      </c>
      <c r="L5" s="12">
        <f>+$C$5*K5</f>
        <v>9450000</v>
      </c>
      <c r="M5" s="12" t="s">
        <v>47</v>
      </c>
      <c r="N5" s="12">
        <v>1890500</v>
      </c>
      <c r="O5" s="25">
        <f t="shared" si="3"/>
        <v>11840500</v>
      </c>
      <c r="P5" s="12">
        <f>+$C$5*O5</f>
        <v>11840500</v>
      </c>
      <c r="Q5" s="12">
        <v>10400000</v>
      </c>
      <c r="R5" s="12">
        <v>1976000</v>
      </c>
      <c r="S5" s="25">
        <f t="shared" si="4"/>
        <v>12376000</v>
      </c>
      <c r="T5" s="12">
        <f>+$C$5*S5</f>
        <v>12376000</v>
      </c>
      <c r="U5" s="13">
        <f t="shared" si="5"/>
        <v>7553782</v>
      </c>
      <c r="V5" s="13">
        <f t="shared" si="6"/>
        <v>8976891</v>
      </c>
      <c r="W5" s="13">
        <f t="shared" si="7"/>
        <v>8976891</v>
      </c>
      <c r="X5" s="13">
        <f t="shared" si="8"/>
        <v>1006290.02</v>
      </c>
      <c r="Y5" s="14">
        <f t="shared" si="9"/>
        <v>0.11</v>
      </c>
      <c r="Z5" s="15">
        <f t="shared" si="0"/>
        <v>7553782</v>
      </c>
      <c r="AA5" s="16" t="s">
        <v>41</v>
      </c>
      <c r="AB5" s="17">
        <f t="shared" si="10"/>
        <v>8989000.5800000001</v>
      </c>
      <c r="AC5" s="31">
        <f t="shared" si="11"/>
        <v>1</v>
      </c>
      <c r="AD5" s="17">
        <f t="shared" si="12"/>
        <v>8989000.5800000001</v>
      </c>
    </row>
    <row r="6" spans="1:30" ht="33" x14ac:dyDescent="0.25">
      <c r="A6" s="9">
        <v>4</v>
      </c>
      <c r="B6" s="27" t="s">
        <v>48</v>
      </c>
      <c r="C6" s="11">
        <v>2</v>
      </c>
      <c r="D6" s="11" t="s">
        <v>21</v>
      </c>
      <c r="E6" s="12">
        <v>831094</v>
      </c>
      <c r="F6" s="12">
        <v>157907.86000000002</v>
      </c>
      <c r="G6" s="25">
        <f t="shared" si="1"/>
        <v>989001.86</v>
      </c>
      <c r="H6" s="12">
        <f>+$C$6*G6</f>
        <v>1978003.72</v>
      </c>
      <c r="I6" s="12">
        <v>690000</v>
      </c>
      <c r="J6" s="12"/>
      <c r="K6" s="25">
        <f t="shared" si="2"/>
        <v>690000</v>
      </c>
      <c r="L6" s="12">
        <f>+$C$6*K6</f>
        <v>1380000</v>
      </c>
      <c r="M6" s="12">
        <v>750000</v>
      </c>
      <c r="N6" s="12">
        <v>142500</v>
      </c>
      <c r="O6" s="25">
        <f t="shared" si="3"/>
        <v>892500</v>
      </c>
      <c r="P6" s="12">
        <f>+$C$6*O6</f>
        <v>1785000</v>
      </c>
      <c r="Q6" s="12">
        <v>790000</v>
      </c>
      <c r="R6" s="12">
        <v>150100</v>
      </c>
      <c r="S6" s="25">
        <f t="shared" si="4"/>
        <v>940100</v>
      </c>
      <c r="T6" s="12">
        <f>+$C$6*S6</f>
        <v>1880200</v>
      </c>
      <c r="U6" s="13">
        <f t="shared" si="5"/>
        <v>690000</v>
      </c>
      <c r="V6" s="13">
        <f t="shared" si="6"/>
        <v>765273.5</v>
      </c>
      <c r="W6" s="13">
        <f t="shared" si="7"/>
        <v>770000</v>
      </c>
      <c r="X6" s="13">
        <f t="shared" si="8"/>
        <v>53226.400000000001</v>
      </c>
      <c r="Y6" s="14">
        <f t="shared" si="9"/>
        <v>7.0000000000000007E-2</v>
      </c>
      <c r="Z6" s="15">
        <f t="shared" si="0"/>
        <v>690000</v>
      </c>
      <c r="AA6" s="16" t="s">
        <v>41</v>
      </c>
      <c r="AB6" s="17">
        <f t="shared" si="10"/>
        <v>1642200</v>
      </c>
      <c r="AC6" s="31">
        <f t="shared" si="11"/>
        <v>2</v>
      </c>
      <c r="AD6" s="17">
        <f t="shared" si="12"/>
        <v>1642200</v>
      </c>
    </row>
    <row r="7" spans="1:30" ht="33" x14ac:dyDescent="0.25">
      <c r="A7" s="9">
        <v>5</v>
      </c>
      <c r="B7" s="27" t="s">
        <v>49</v>
      </c>
      <c r="C7" s="11">
        <v>2</v>
      </c>
      <c r="D7" s="11" t="s">
        <v>21</v>
      </c>
      <c r="E7" s="12">
        <v>83950</v>
      </c>
      <c r="F7" s="12">
        <v>15950.5</v>
      </c>
      <c r="G7" s="25">
        <f t="shared" si="1"/>
        <v>99900.5</v>
      </c>
      <c r="H7" s="12">
        <f>+$C$7*G7</f>
        <v>199801</v>
      </c>
      <c r="I7" s="12">
        <v>70000</v>
      </c>
      <c r="J7" s="12"/>
      <c r="K7" s="25">
        <f t="shared" si="2"/>
        <v>70000</v>
      </c>
      <c r="L7" s="12">
        <f>+$C$7*K7</f>
        <v>140000</v>
      </c>
      <c r="M7" s="12">
        <v>85000</v>
      </c>
      <c r="N7" s="12">
        <v>16150</v>
      </c>
      <c r="O7" s="25">
        <f t="shared" si="3"/>
        <v>101150</v>
      </c>
      <c r="P7" s="12">
        <f>+$C$7*O7</f>
        <v>202300</v>
      </c>
      <c r="Q7" s="12">
        <v>95000</v>
      </c>
      <c r="R7" s="12">
        <v>18050</v>
      </c>
      <c r="S7" s="25">
        <f t="shared" si="4"/>
        <v>113050</v>
      </c>
      <c r="T7" s="12">
        <f>+$C$7*S7</f>
        <v>226100</v>
      </c>
      <c r="U7" s="13">
        <f t="shared" si="5"/>
        <v>70000</v>
      </c>
      <c r="V7" s="13">
        <f t="shared" si="6"/>
        <v>83487.5</v>
      </c>
      <c r="W7" s="13">
        <f t="shared" si="7"/>
        <v>84475</v>
      </c>
      <c r="X7" s="13">
        <f t="shared" si="8"/>
        <v>9537.1</v>
      </c>
      <c r="Y7" s="14">
        <f t="shared" si="9"/>
        <v>0.11</v>
      </c>
      <c r="Z7" s="15">
        <f t="shared" si="0"/>
        <v>70000</v>
      </c>
      <c r="AA7" s="16" t="s">
        <v>41</v>
      </c>
      <c r="AB7" s="17">
        <f t="shared" si="10"/>
        <v>166600</v>
      </c>
      <c r="AC7" s="31">
        <f t="shared" si="11"/>
        <v>2</v>
      </c>
      <c r="AD7" s="17">
        <f t="shared" si="12"/>
        <v>166600</v>
      </c>
    </row>
    <row r="8" spans="1:30" ht="24.75" x14ac:dyDescent="0.25">
      <c r="A8" s="9">
        <v>6</v>
      </c>
      <c r="B8" s="28" t="s">
        <v>50</v>
      </c>
      <c r="C8" s="11">
        <v>2</v>
      </c>
      <c r="D8" s="11" t="s">
        <v>21</v>
      </c>
      <c r="E8" s="12">
        <v>125966</v>
      </c>
      <c r="F8" s="12">
        <v>23933.54</v>
      </c>
      <c r="G8" s="25">
        <f t="shared" si="1"/>
        <v>149899.54</v>
      </c>
      <c r="H8" s="12">
        <f>+$C$8*G8</f>
        <v>299799.08</v>
      </c>
      <c r="I8" s="12">
        <v>95000</v>
      </c>
      <c r="J8" s="12"/>
      <c r="K8" s="25">
        <f t="shared" si="2"/>
        <v>95000</v>
      </c>
      <c r="L8" s="12">
        <f>+$C$8*K8</f>
        <v>190000</v>
      </c>
      <c r="M8" s="12">
        <v>110000</v>
      </c>
      <c r="N8" s="12">
        <v>20900</v>
      </c>
      <c r="O8" s="25">
        <f t="shared" si="3"/>
        <v>130900</v>
      </c>
      <c r="P8" s="12">
        <f>+$C$8*O8</f>
        <v>261800</v>
      </c>
      <c r="Q8" s="12">
        <v>125000</v>
      </c>
      <c r="R8" s="12">
        <v>23750</v>
      </c>
      <c r="S8" s="25">
        <f t="shared" si="4"/>
        <v>148750</v>
      </c>
      <c r="T8" s="12">
        <f>+$C$8*S8</f>
        <v>297500</v>
      </c>
      <c r="U8" s="13">
        <f t="shared" si="5"/>
        <v>95000</v>
      </c>
      <c r="V8" s="13">
        <f t="shared" si="6"/>
        <v>113991.5</v>
      </c>
      <c r="W8" s="13">
        <f t="shared" si="7"/>
        <v>117500</v>
      </c>
      <c r="X8" s="13">
        <f t="shared" si="8"/>
        <v>13429.02</v>
      </c>
      <c r="Y8" s="14">
        <f t="shared" si="9"/>
        <v>0.12</v>
      </c>
      <c r="Z8" s="15">
        <f t="shared" si="0"/>
        <v>95000</v>
      </c>
      <c r="AA8" s="16" t="s">
        <v>41</v>
      </c>
      <c r="AB8" s="17">
        <f t="shared" si="10"/>
        <v>226100</v>
      </c>
      <c r="AC8" s="31">
        <f t="shared" si="11"/>
        <v>2</v>
      </c>
      <c r="AD8" s="17">
        <f t="shared" si="12"/>
        <v>226100</v>
      </c>
    </row>
    <row r="9" spans="1:30" ht="33" x14ac:dyDescent="0.25">
      <c r="A9" s="9">
        <v>7</v>
      </c>
      <c r="B9" s="27" t="s">
        <v>51</v>
      </c>
      <c r="C9" s="11">
        <v>2</v>
      </c>
      <c r="D9" s="11" t="s">
        <v>21</v>
      </c>
      <c r="E9" s="12">
        <v>167983</v>
      </c>
      <c r="F9" s="12">
        <v>31916.77</v>
      </c>
      <c r="G9" s="25">
        <f t="shared" si="1"/>
        <v>199899.77</v>
      </c>
      <c r="H9" s="12">
        <f>+$C$9*G9</f>
        <v>399799.54</v>
      </c>
      <c r="I9" s="12">
        <v>158000</v>
      </c>
      <c r="J9" s="12"/>
      <c r="K9" s="25">
        <f t="shared" si="2"/>
        <v>158000</v>
      </c>
      <c r="L9" s="12">
        <f>+$C$9*K9</f>
        <v>316000</v>
      </c>
      <c r="M9" s="12">
        <v>175000</v>
      </c>
      <c r="N9" s="12">
        <v>33250</v>
      </c>
      <c r="O9" s="25">
        <f t="shared" si="3"/>
        <v>208250</v>
      </c>
      <c r="P9" s="12">
        <f>+$C$9*O9</f>
        <v>416500</v>
      </c>
      <c r="Q9" s="12">
        <v>190000</v>
      </c>
      <c r="R9" s="12">
        <v>36100</v>
      </c>
      <c r="S9" s="25">
        <f t="shared" si="4"/>
        <v>226100</v>
      </c>
      <c r="T9" s="12">
        <f>+$C$9*S9</f>
        <v>452200</v>
      </c>
      <c r="U9" s="13">
        <f t="shared" si="5"/>
        <v>158000</v>
      </c>
      <c r="V9" s="13">
        <f t="shared" si="6"/>
        <v>172745.75</v>
      </c>
      <c r="W9" s="13">
        <f t="shared" si="7"/>
        <v>171491.5</v>
      </c>
      <c r="X9" s="13">
        <f t="shared" si="8"/>
        <v>10426.82</v>
      </c>
      <c r="Y9" s="14">
        <f t="shared" si="9"/>
        <v>0.06</v>
      </c>
      <c r="Z9" s="15">
        <f t="shared" si="0"/>
        <v>158000</v>
      </c>
      <c r="AA9" s="16" t="s">
        <v>41</v>
      </c>
      <c r="AB9" s="17">
        <f t="shared" si="10"/>
        <v>376040</v>
      </c>
      <c r="AC9" s="31">
        <v>1</v>
      </c>
      <c r="AD9" s="17">
        <f t="shared" si="12"/>
        <v>188020</v>
      </c>
    </row>
    <row r="10" spans="1:30" ht="33" x14ac:dyDescent="0.25">
      <c r="A10" s="9">
        <v>8</v>
      </c>
      <c r="B10" s="29" t="s">
        <v>52</v>
      </c>
      <c r="C10" s="11">
        <v>2</v>
      </c>
      <c r="D10" s="11" t="s">
        <v>21</v>
      </c>
      <c r="E10" s="12">
        <v>210000</v>
      </c>
      <c r="F10" s="12">
        <v>39900</v>
      </c>
      <c r="G10" s="25">
        <f t="shared" si="1"/>
        <v>249900</v>
      </c>
      <c r="H10" s="12">
        <f>+$C$10*G10</f>
        <v>499800</v>
      </c>
      <c r="I10" s="12">
        <v>165000</v>
      </c>
      <c r="J10" s="12"/>
      <c r="K10" s="25">
        <f t="shared" si="2"/>
        <v>165000</v>
      </c>
      <c r="L10" s="12">
        <f>+$C$10*K10</f>
        <v>330000</v>
      </c>
      <c r="M10" s="12">
        <v>190000</v>
      </c>
      <c r="N10" s="12">
        <v>36100</v>
      </c>
      <c r="O10" s="25">
        <f t="shared" si="3"/>
        <v>226100</v>
      </c>
      <c r="P10" s="12">
        <f>+$C$10*O10</f>
        <v>452200</v>
      </c>
      <c r="Q10" s="12">
        <v>210000</v>
      </c>
      <c r="R10" s="12">
        <v>39900</v>
      </c>
      <c r="S10" s="25">
        <f t="shared" si="4"/>
        <v>249900</v>
      </c>
      <c r="T10" s="12">
        <f>+$C$10*S10</f>
        <v>499800</v>
      </c>
      <c r="U10" s="13">
        <f t="shared" si="5"/>
        <v>165000</v>
      </c>
      <c r="V10" s="13">
        <f t="shared" si="6"/>
        <v>193750</v>
      </c>
      <c r="W10" s="13">
        <f t="shared" si="7"/>
        <v>200000</v>
      </c>
      <c r="X10" s="13">
        <f t="shared" si="8"/>
        <v>20329.32</v>
      </c>
      <c r="Y10" s="14">
        <f t="shared" si="9"/>
        <v>0.1</v>
      </c>
      <c r="Z10" s="15">
        <f t="shared" si="0"/>
        <v>165000</v>
      </c>
      <c r="AA10" s="16" t="s">
        <v>41</v>
      </c>
      <c r="AB10" s="17">
        <f t="shared" si="10"/>
        <v>392700</v>
      </c>
      <c r="AC10" s="31">
        <v>1</v>
      </c>
      <c r="AD10" s="17">
        <f t="shared" si="12"/>
        <v>196350</v>
      </c>
    </row>
    <row r="11" spans="1:30" ht="33" x14ac:dyDescent="0.25">
      <c r="A11" s="9">
        <v>9</v>
      </c>
      <c r="B11" s="30" t="s">
        <v>53</v>
      </c>
      <c r="C11" s="11">
        <v>2</v>
      </c>
      <c r="D11" s="11" t="s">
        <v>21</v>
      </c>
      <c r="E11" s="12">
        <v>243613</v>
      </c>
      <c r="F11" s="12">
        <v>46286.47</v>
      </c>
      <c r="G11" s="25">
        <f t="shared" si="1"/>
        <v>289899.46999999997</v>
      </c>
      <c r="H11" s="12">
        <f>+$C$11*G11</f>
        <v>579798.93999999994</v>
      </c>
      <c r="I11" s="12">
        <v>190000</v>
      </c>
      <c r="J11" s="12"/>
      <c r="K11" s="25">
        <f t="shared" si="2"/>
        <v>190000</v>
      </c>
      <c r="L11" s="12">
        <f>+$C$11*K11</f>
        <v>380000</v>
      </c>
      <c r="M11" s="12">
        <v>190000</v>
      </c>
      <c r="N11" s="12">
        <v>36100</v>
      </c>
      <c r="O11" s="25">
        <f t="shared" si="3"/>
        <v>226100</v>
      </c>
      <c r="P11" s="12">
        <f>+$C$11*O11</f>
        <v>452200</v>
      </c>
      <c r="Q11" s="12">
        <v>230000</v>
      </c>
      <c r="R11" s="12">
        <v>43700</v>
      </c>
      <c r="S11" s="25">
        <f t="shared" si="4"/>
        <v>273700</v>
      </c>
      <c r="T11" s="12">
        <f>+$C$11*S11</f>
        <v>547400</v>
      </c>
      <c r="U11" s="13">
        <f t="shared" si="5"/>
        <v>190000</v>
      </c>
      <c r="V11" s="13">
        <f t="shared" si="6"/>
        <v>213403.25</v>
      </c>
      <c r="W11" s="13">
        <f t="shared" si="7"/>
        <v>210000</v>
      </c>
      <c r="X11" s="13">
        <f t="shared" si="8"/>
        <v>16548.599999999999</v>
      </c>
      <c r="Y11" s="14">
        <f t="shared" si="9"/>
        <v>0.08</v>
      </c>
      <c r="Z11" s="15">
        <f t="shared" si="0"/>
        <v>190000</v>
      </c>
      <c r="AA11" s="16" t="s">
        <v>41</v>
      </c>
      <c r="AB11" s="17">
        <f t="shared" si="10"/>
        <v>452200</v>
      </c>
      <c r="AC11" s="31">
        <v>1</v>
      </c>
      <c r="AD11" s="17">
        <f t="shared" si="12"/>
        <v>226100</v>
      </c>
    </row>
    <row r="12" spans="1:30" ht="33" x14ac:dyDescent="0.25">
      <c r="A12" s="9">
        <v>10</v>
      </c>
      <c r="B12" s="29" t="s">
        <v>54</v>
      </c>
      <c r="C12" s="11">
        <v>1</v>
      </c>
      <c r="D12" s="11" t="s">
        <v>21</v>
      </c>
      <c r="E12" s="12">
        <v>252017</v>
      </c>
      <c r="F12" s="12">
        <v>47883.23</v>
      </c>
      <c r="G12" s="25">
        <f t="shared" si="1"/>
        <v>299900.23</v>
      </c>
      <c r="H12" s="12">
        <f>+$C$12*G12</f>
        <v>299900.23</v>
      </c>
      <c r="I12" s="12">
        <v>225000</v>
      </c>
      <c r="J12" s="12"/>
      <c r="K12" s="25">
        <f t="shared" si="2"/>
        <v>225000</v>
      </c>
      <c r="L12" s="12">
        <f>+$C$12*K12</f>
        <v>225000</v>
      </c>
      <c r="M12" s="12">
        <v>250000</v>
      </c>
      <c r="N12" s="12">
        <v>47500</v>
      </c>
      <c r="O12" s="25">
        <f t="shared" si="3"/>
        <v>297500</v>
      </c>
      <c r="P12" s="12">
        <f>+$C$12*O12</f>
        <v>297500</v>
      </c>
      <c r="Q12" s="12">
        <v>275000</v>
      </c>
      <c r="R12" s="12">
        <v>52250</v>
      </c>
      <c r="S12" s="25">
        <f t="shared" si="4"/>
        <v>327250</v>
      </c>
      <c r="T12" s="12">
        <f>+$C$12*S12</f>
        <v>327250</v>
      </c>
      <c r="U12" s="13">
        <f t="shared" si="5"/>
        <v>225000</v>
      </c>
      <c r="V12" s="13">
        <f t="shared" si="6"/>
        <v>250504.25</v>
      </c>
      <c r="W12" s="13">
        <f t="shared" si="7"/>
        <v>251008.5</v>
      </c>
      <c r="X12" s="13">
        <f t="shared" si="8"/>
        <v>18034.23</v>
      </c>
      <c r="Y12" s="14">
        <f t="shared" si="9"/>
        <v>7.0000000000000007E-2</v>
      </c>
      <c r="Z12" s="15">
        <f t="shared" si="0"/>
        <v>225000</v>
      </c>
      <c r="AA12" s="16" t="s">
        <v>41</v>
      </c>
      <c r="AB12" s="17">
        <f t="shared" si="10"/>
        <v>267750</v>
      </c>
      <c r="AC12" s="31">
        <f t="shared" si="11"/>
        <v>1</v>
      </c>
      <c r="AD12" s="17">
        <f t="shared" si="12"/>
        <v>267750</v>
      </c>
    </row>
    <row r="13" spans="1:30" ht="33" x14ac:dyDescent="0.25">
      <c r="A13" s="9">
        <v>11</v>
      </c>
      <c r="B13" s="29" t="s">
        <v>55</v>
      </c>
      <c r="C13" s="11">
        <v>2</v>
      </c>
      <c r="D13" s="11" t="s">
        <v>21</v>
      </c>
      <c r="E13" s="12">
        <v>378067</v>
      </c>
      <c r="F13" s="12">
        <v>71832.73</v>
      </c>
      <c r="G13" s="25">
        <f t="shared" si="1"/>
        <v>449899.73</v>
      </c>
      <c r="H13" s="12">
        <f>+$C$13*G13</f>
        <v>899799.46</v>
      </c>
      <c r="I13" s="12">
        <v>315000</v>
      </c>
      <c r="J13" s="12"/>
      <c r="K13" s="25">
        <f t="shared" si="2"/>
        <v>315000</v>
      </c>
      <c r="L13" s="12">
        <f>+$C$13*K13</f>
        <v>630000</v>
      </c>
      <c r="M13" s="12">
        <v>350000</v>
      </c>
      <c r="N13" s="12">
        <v>66500</v>
      </c>
      <c r="O13" s="25">
        <f t="shared" si="3"/>
        <v>416500</v>
      </c>
      <c r="P13" s="12">
        <f>+$C$13*O13</f>
        <v>833000</v>
      </c>
      <c r="Q13" s="12">
        <v>380000</v>
      </c>
      <c r="R13" s="12">
        <v>72200</v>
      </c>
      <c r="S13" s="25">
        <f t="shared" si="4"/>
        <v>452200</v>
      </c>
      <c r="T13" s="12">
        <f>+$C$13*S13</f>
        <v>904400</v>
      </c>
      <c r="U13" s="13">
        <f t="shared" si="5"/>
        <v>315000</v>
      </c>
      <c r="V13" s="13">
        <f t="shared" si="6"/>
        <v>355766.75</v>
      </c>
      <c r="W13" s="13">
        <f t="shared" si="7"/>
        <v>364033.5</v>
      </c>
      <c r="X13" s="13">
        <f t="shared" si="8"/>
        <v>28826.45</v>
      </c>
      <c r="Y13" s="14">
        <f t="shared" si="9"/>
        <v>0.08</v>
      </c>
      <c r="Z13" s="15">
        <f t="shared" si="0"/>
        <v>315000</v>
      </c>
      <c r="AA13" s="16" t="s">
        <v>41</v>
      </c>
      <c r="AB13" s="17">
        <f t="shared" si="10"/>
        <v>749700</v>
      </c>
      <c r="AC13" s="31">
        <v>1</v>
      </c>
      <c r="AD13" s="17">
        <f t="shared" si="12"/>
        <v>374850</v>
      </c>
    </row>
    <row r="14" spans="1:30" ht="33" x14ac:dyDescent="0.25">
      <c r="A14" s="9">
        <v>12</v>
      </c>
      <c r="B14" s="10" t="s">
        <v>56</v>
      </c>
      <c r="C14" s="11">
        <v>2</v>
      </c>
      <c r="D14" s="11" t="s">
        <v>21</v>
      </c>
      <c r="E14" s="12">
        <v>420084</v>
      </c>
      <c r="F14" s="12">
        <v>79815.960000000006</v>
      </c>
      <c r="G14" s="25">
        <f t="shared" si="1"/>
        <v>499899.96</v>
      </c>
      <c r="H14" s="12">
        <f>+$C$14*G14</f>
        <v>999799.92</v>
      </c>
      <c r="I14" s="12">
        <v>380000</v>
      </c>
      <c r="J14" s="12"/>
      <c r="K14" s="25">
        <f t="shared" si="2"/>
        <v>380000</v>
      </c>
      <c r="L14" s="12">
        <f>+$C$14*K14</f>
        <v>760000</v>
      </c>
      <c r="M14" s="12">
        <v>410000</v>
      </c>
      <c r="N14" s="12">
        <v>77900</v>
      </c>
      <c r="O14" s="25">
        <f t="shared" si="3"/>
        <v>487900</v>
      </c>
      <c r="P14" s="12">
        <f>+$C$14*O14</f>
        <v>975800</v>
      </c>
      <c r="Q14" s="12">
        <v>450000</v>
      </c>
      <c r="R14" s="12">
        <v>85500</v>
      </c>
      <c r="S14" s="25">
        <f t="shared" si="4"/>
        <v>535500</v>
      </c>
      <c r="T14" s="12">
        <f>+$C$14*S14</f>
        <v>1071000</v>
      </c>
      <c r="U14" s="13">
        <f t="shared" si="5"/>
        <v>380000</v>
      </c>
      <c r="V14" s="13">
        <f t="shared" si="6"/>
        <v>415021</v>
      </c>
      <c r="W14" s="13">
        <f t="shared" si="7"/>
        <v>415042</v>
      </c>
      <c r="X14" s="13">
        <f t="shared" si="8"/>
        <v>24763.59</v>
      </c>
      <c r="Y14" s="14">
        <f t="shared" si="9"/>
        <v>0.06</v>
      </c>
      <c r="Z14" s="15">
        <f t="shared" si="0"/>
        <v>380000</v>
      </c>
      <c r="AA14" s="16" t="s">
        <v>41</v>
      </c>
      <c r="AB14" s="17">
        <f t="shared" si="10"/>
        <v>904400</v>
      </c>
      <c r="AC14" s="31">
        <v>1</v>
      </c>
      <c r="AD14" s="17">
        <f t="shared" si="12"/>
        <v>452200</v>
      </c>
    </row>
    <row r="15" spans="1:30" ht="74.25" x14ac:dyDescent="0.25">
      <c r="A15" s="9">
        <v>13</v>
      </c>
      <c r="B15" s="10" t="s">
        <v>57</v>
      </c>
      <c r="C15" s="11">
        <v>1</v>
      </c>
      <c r="D15" s="11" t="s">
        <v>21</v>
      </c>
      <c r="E15" s="12">
        <v>252017</v>
      </c>
      <c r="F15" s="12">
        <v>47883.23</v>
      </c>
      <c r="G15" s="25">
        <f t="shared" si="1"/>
        <v>299900.23</v>
      </c>
      <c r="H15" s="12">
        <f>+$C$15*G15</f>
        <v>299900.23</v>
      </c>
      <c r="I15" s="12">
        <v>260000</v>
      </c>
      <c r="J15" s="12"/>
      <c r="K15" s="25">
        <f t="shared" si="2"/>
        <v>260000</v>
      </c>
      <c r="L15" s="12">
        <f>+$C$15*K15</f>
        <v>260000</v>
      </c>
      <c r="M15" s="12">
        <v>295000</v>
      </c>
      <c r="N15" s="12">
        <v>56050</v>
      </c>
      <c r="O15" s="25">
        <f t="shared" si="3"/>
        <v>351050</v>
      </c>
      <c r="P15" s="12">
        <f>+$C$15*O15</f>
        <v>351050</v>
      </c>
      <c r="Q15" s="12">
        <v>370000</v>
      </c>
      <c r="R15" s="12">
        <v>70300</v>
      </c>
      <c r="S15" s="25">
        <f t="shared" si="4"/>
        <v>440300</v>
      </c>
      <c r="T15" s="12">
        <f>+$C$15*S15</f>
        <v>440300</v>
      </c>
      <c r="U15" s="13">
        <f t="shared" si="5"/>
        <v>252017</v>
      </c>
      <c r="V15" s="13">
        <f t="shared" si="6"/>
        <v>294254.25</v>
      </c>
      <c r="W15" s="13">
        <f t="shared" si="7"/>
        <v>277500</v>
      </c>
      <c r="X15" s="13">
        <f t="shared" si="8"/>
        <v>29866.25</v>
      </c>
      <c r="Y15" s="14">
        <f t="shared" si="9"/>
        <v>0.1</v>
      </c>
      <c r="Z15" s="15">
        <f t="shared" si="0"/>
        <v>252017</v>
      </c>
      <c r="AA15" s="16" t="s">
        <v>41</v>
      </c>
      <c r="AB15" s="17">
        <f t="shared" si="10"/>
        <v>299900.23</v>
      </c>
      <c r="AC15" s="31">
        <f t="shared" si="11"/>
        <v>1</v>
      </c>
      <c r="AD15" s="17">
        <f t="shared" si="12"/>
        <v>299900.23</v>
      </c>
    </row>
    <row r="16" spans="1:30" ht="24.75" x14ac:dyDescent="0.25">
      <c r="A16" s="9">
        <v>14</v>
      </c>
      <c r="B16" s="29" t="s">
        <v>58</v>
      </c>
      <c r="C16" s="11">
        <v>4</v>
      </c>
      <c r="D16" s="11" t="s">
        <v>21</v>
      </c>
      <c r="E16" s="12">
        <v>2189900</v>
      </c>
      <c r="F16" s="12">
        <v>416081</v>
      </c>
      <c r="G16" s="25">
        <f t="shared" si="1"/>
        <v>2605981</v>
      </c>
      <c r="H16" s="12">
        <f>+$C$16*G16</f>
        <v>10423924</v>
      </c>
      <c r="I16" s="12">
        <v>2300000</v>
      </c>
      <c r="J16" s="12"/>
      <c r="K16" s="25">
        <f t="shared" si="2"/>
        <v>2300000</v>
      </c>
      <c r="L16" s="12">
        <f>+$C$16*K16</f>
        <v>9200000</v>
      </c>
      <c r="M16" s="12">
        <v>2900000</v>
      </c>
      <c r="N16" s="12">
        <v>551000</v>
      </c>
      <c r="O16" s="25">
        <f t="shared" si="3"/>
        <v>3451000</v>
      </c>
      <c r="P16" s="12">
        <f>+$C$16*O16</f>
        <v>13804000</v>
      </c>
      <c r="Q16" s="12">
        <v>3700000</v>
      </c>
      <c r="R16" s="12">
        <v>703000</v>
      </c>
      <c r="S16" s="25">
        <f t="shared" si="4"/>
        <v>4403000</v>
      </c>
      <c r="T16" s="12">
        <f>+$C$16*S16</f>
        <v>17612000</v>
      </c>
      <c r="U16" s="13">
        <f t="shared" si="5"/>
        <v>2189900</v>
      </c>
      <c r="V16" s="13">
        <f t="shared" si="6"/>
        <v>2772475</v>
      </c>
      <c r="W16" s="13">
        <f t="shared" si="7"/>
        <v>2600000</v>
      </c>
      <c r="X16" s="13">
        <f t="shared" si="8"/>
        <v>411942.73</v>
      </c>
      <c r="Y16" s="14">
        <f t="shared" si="9"/>
        <v>0.15</v>
      </c>
      <c r="Z16" s="15">
        <f t="shared" si="0"/>
        <v>2189900</v>
      </c>
      <c r="AA16" s="16" t="s">
        <v>41</v>
      </c>
      <c r="AB16" s="17">
        <f t="shared" si="10"/>
        <v>10423924</v>
      </c>
      <c r="AC16" s="31">
        <v>3</v>
      </c>
      <c r="AD16" s="17">
        <f t="shared" si="12"/>
        <v>7817943</v>
      </c>
    </row>
    <row r="17" spans="1:30" ht="16.5" x14ac:dyDescent="0.25">
      <c r="A17" s="9">
        <v>15</v>
      </c>
      <c r="B17" s="29" t="s">
        <v>59</v>
      </c>
      <c r="C17" s="11">
        <v>4</v>
      </c>
      <c r="D17" s="11" t="s">
        <v>21</v>
      </c>
      <c r="E17" s="12">
        <v>2789000</v>
      </c>
      <c r="F17" s="12">
        <v>529910</v>
      </c>
      <c r="G17" s="25">
        <f t="shared" si="1"/>
        <v>3318910</v>
      </c>
      <c r="H17" s="12">
        <f>+$C$17*G17</f>
        <v>13275640</v>
      </c>
      <c r="I17" s="12">
        <v>900000</v>
      </c>
      <c r="J17" s="12"/>
      <c r="K17" s="25">
        <f t="shared" si="2"/>
        <v>900000</v>
      </c>
      <c r="L17" s="12">
        <f>+$C$17*K17</f>
        <v>3600000</v>
      </c>
      <c r="M17" s="12" t="s">
        <v>60</v>
      </c>
      <c r="N17" s="12">
        <v>237500</v>
      </c>
      <c r="O17" s="25">
        <f t="shared" si="3"/>
        <v>1487500</v>
      </c>
      <c r="P17" s="12">
        <f>+$C$17*O17</f>
        <v>5950000</v>
      </c>
      <c r="Q17" s="12">
        <v>1850000</v>
      </c>
      <c r="R17" s="12">
        <v>351500</v>
      </c>
      <c r="S17" s="25">
        <f t="shared" si="4"/>
        <v>2201500</v>
      </c>
      <c r="T17" s="12">
        <f>+$C$17*S17</f>
        <v>8806000</v>
      </c>
      <c r="U17" s="13">
        <f t="shared" si="5"/>
        <v>900000</v>
      </c>
      <c r="V17" s="13">
        <f t="shared" si="6"/>
        <v>1846333.33</v>
      </c>
      <c r="W17" s="13">
        <f t="shared" si="7"/>
        <v>1850000</v>
      </c>
      <c r="X17" s="13">
        <f t="shared" si="8"/>
        <v>669158.71</v>
      </c>
      <c r="Y17" s="14">
        <f t="shared" si="9"/>
        <v>0.36</v>
      </c>
      <c r="Z17" s="15">
        <f>+V17</f>
        <v>1846333.33</v>
      </c>
      <c r="AA17" s="16" t="s">
        <v>22</v>
      </c>
      <c r="AB17" s="17">
        <f t="shared" si="10"/>
        <v>8788546.6500000004</v>
      </c>
      <c r="AC17" s="31">
        <v>3</v>
      </c>
      <c r="AD17" s="17">
        <f t="shared" si="12"/>
        <v>6591409.9900000002</v>
      </c>
    </row>
    <row r="18" spans="1:30" x14ac:dyDescent="0.25">
      <c r="AA18" s="18" t="s">
        <v>33</v>
      </c>
      <c r="AB18" s="18">
        <f>SUM(AB3:AB17)</f>
        <v>48157061.990000002</v>
      </c>
      <c r="AC18" s="33">
        <f>SUM(AC3:AC17)</f>
        <v>22</v>
      </c>
      <c r="AD18" s="17">
        <f>SUM(AD3:AD17)</f>
        <v>41916424.330000006</v>
      </c>
    </row>
    <row r="19" spans="1:30" x14ac:dyDescent="0.25">
      <c r="AA19" s="12" t="s">
        <v>34</v>
      </c>
      <c r="AB19" s="12">
        <v>42000000</v>
      </c>
      <c r="AC19" s="4"/>
      <c r="AD19" s="16"/>
    </row>
    <row r="20" spans="1:30" x14ac:dyDescent="0.25">
      <c r="AA20" s="21" t="s">
        <v>35</v>
      </c>
      <c r="AB20" s="20">
        <f>+AB19-AB18</f>
        <v>-6157061.9900000021</v>
      </c>
      <c r="AD20" s="32">
        <f>+AB19-AD18</f>
        <v>83575.669999994338</v>
      </c>
    </row>
    <row r="38" ht="21" customHeight="1" x14ac:dyDescent="0.25"/>
  </sheetData>
  <sheetProtection algorithmName="SHA-512" hashValue="MdQ8btWle+RyvHGqWe58vhZRGto6ceXLPJPUIsbcHWFjXfReEMJJx5XHy5yUIKxE/iKHDw98xm2M5uZrH3tN0A==" saltValue="LoZWqto6qZeiVjSQdPehhQ==" spinCount="100000" sheet="1" objects="1" scenarios="1"/>
  <autoFilter ref="A2:AC20" xr:uid="{00000000-0009-0000-0000-000001000000}"/>
  <mergeCells count="4">
    <mergeCell ref="E1:H1"/>
    <mergeCell ref="I1:L1"/>
    <mergeCell ref="M1:P1"/>
    <mergeCell ref="Q1:T1"/>
  </mergeCells>
  <pageMargins left="0.70866141732283472" right="0.70866141732283472" top="0.74803149606299213" bottom="0.74803149606299213" header="0.31496062992125984" footer="0.31496062992125984"/>
  <pageSetup paperSize="9" scale="7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D120"/>
  <sheetViews>
    <sheetView showGridLines="0" tabSelected="1" zoomScaleNormal="100" zoomScaleSheetLayoutView="100" workbookViewId="0">
      <pane xSplit="4" ySplit="2" topLeftCell="E3" activePane="bottomRight" state="frozen"/>
      <selection activeCell="B44" sqref="B44"/>
      <selection pane="topRight" activeCell="B44" sqref="B44"/>
      <selection pane="bottomLeft" activeCell="B44" sqref="B44"/>
      <selection pane="bottomRight" activeCell="E3" sqref="E3"/>
    </sheetView>
  </sheetViews>
  <sheetFormatPr baseColWidth="10" defaultColWidth="11.42578125" defaultRowHeight="8.25" x14ac:dyDescent="0.25"/>
  <cols>
    <col min="1" max="1" width="6.85546875" style="1" customWidth="1"/>
    <col min="2" max="2" width="48.28515625" style="1" customWidth="1"/>
    <col min="3" max="3" width="5.140625" style="2" customWidth="1"/>
    <col min="4" max="4" width="9.42578125" style="1" customWidth="1"/>
    <col min="5" max="5" width="12.28515625" style="3" customWidth="1"/>
    <col min="6" max="6" width="0" style="3" hidden="1" customWidth="1"/>
    <col min="7" max="7" width="12.140625" style="3" hidden="1" customWidth="1"/>
    <col min="8" max="8" width="12.85546875" style="3" hidden="1" customWidth="1"/>
    <col min="9" max="9" width="12.28515625" style="3" customWidth="1"/>
    <col min="10" max="10" width="0" style="3" hidden="1" customWidth="1"/>
    <col min="11" max="11" width="12.140625" style="3" hidden="1" customWidth="1"/>
    <col min="12" max="12" width="12.85546875" style="3" hidden="1" customWidth="1"/>
    <col min="13" max="13" width="12.28515625" style="3" customWidth="1"/>
    <col min="14" max="14" width="0" style="3" hidden="1" customWidth="1"/>
    <col min="15" max="15" width="12.140625" style="3" hidden="1" customWidth="1"/>
    <col min="16" max="16" width="12.85546875" style="3" hidden="1" customWidth="1"/>
    <col min="17" max="17" width="12.28515625" style="3" customWidth="1"/>
    <col min="18" max="18" width="0" style="3" hidden="1" customWidth="1"/>
    <col min="19" max="19" width="12.140625" style="3" hidden="1" customWidth="1"/>
    <col min="20" max="20" width="12.85546875" style="3" hidden="1" customWidth="1"/>
    <col min="21" max="26" width="11.5703125" style="1" bestFit="1" customWidth="1"/>
    <col min="27" max="27" width="11.42578125" style="1"/>
    <col min="28" max="28" width="13.140625" style="1" bestFit="1" customWidth="1"/>
    <col min="29" max="30" width="11.5703125" style="1" bestFit="1" customWidth="1"/>
    <col min="31" max="16384" width="11.42578125" style="1"/>
  </cols>
  <sheetData>
    <row r="1" spans="1:30" x14ac:dyDescent="0.25">
      <c r="E1" s="45" t="s">
        <v>61</v>
      </c>
      <c r="F1" s="45"/>
      <c r="G1" s="45"/>
      <c r="H1" s="45"/>
      <c r="I1" s="46" t="s">
        <v>62</v>
      </c>
      <c r="J1" s="46"/>
      <c r="K1" s="46"/>
      <c r="L1" s="46"/>
      <c r="M1" s="47" t="s">
        <v>0</v>
      </c>
      <c r="N1" s="47"/>
      <c r="O1" s="47"/>
      <c r="P1" s="47"/>
      <c r="Q1" s="48" t="s">
        <v>37</v>
      </c>
      <c r="R1" s="48"/>
      <c r="S1" s="48"/>
      <c r="T1" s="48"/>
    </row>
    <row r="2" spans="1:30" ht="41.25" x14ac:dyDescent="0.25">
      <c r="A2" s="34" t="s">
        <v>3</v>
      </c>
      <c r="B2" s="5" t="s">
        <v>4</v>
      </c>
      <c r="C2" s="6" t="s">
        <v>5</v>
      </c>
      <c r="D2" s="5" t="s">
        <v>6</v>
      </c>
      <c r="E2" s="7" t="s">
        <v>7</v>
      </c>
      <c r="F2" s="7" t="s">
        <v>8</v>
      </c>
      <c r="G2" s="7" t="s">
        <v>9</v>
      </c>
      <c r="H2" s="35" t="s">
        <v>10</v>
      </c>
      <c r="I2" s="7" t="s">
        <v>7</v>
      </c>
      <c r="J2" s="7" t="s">
        <v>8</v>
      </c>
      <c r="K2" s="7" t="s">
        <v>9</v>
      </c>
      <c r="L2" s="35" t="s">
        <v>10</v>
      </c>
      <c r="M2" s="7" t="s">
        <v>7</v>
      </c>
      <c r="N2" s="7" t="s">
        <v>8</v>
      </c>
      <c r="O2" s="7" t="s">
        <v>9</v>
      </c>
      <c r="P2" s="35" t="s">
        <v>10</v>
      </c>
      <c r="Q2" s="7" t="s">
        <v>7</v>
      </c>
      <c r="R2" s="7" t="s">
        <v>8</v>
      </c>
      <c r="S2" s="7" t="s">
        <v>9</v>
      </c>
      <c r="T2" s="35" t="s">
        <v>10</v>
      </c>
      <c r="U2" s="7" t="s">
        <v>11</v>
      </c>
      <c r="V2" s="7" t="s">
        <v>12</v>
      </c>
      <c r="W2" s="7" t="s">
        <v>13</v>
      </c>
      <c r="X2" s="7" t="s">
        <v>14</v>
      </c>
      <c r="Y2" s="8" t="s">
        <v>15</v>
      </c>
      <c r="Z2" s="7" t="s">
        <v>16</v>
      </c>
      <c r="AA2" s="7" t="s">
        <v>17</v>
      </c>
      <c r="AB2" s="7" t="s">
        <v>18</v>
      </c>
      <c r="AC2" s="40" t="s">
        <v>19</v>
      </c>
      <c r="AD2" s="7" t="s">
        <v>39</v>
      </c>
    </row>
    <row r="3" spans="1:30" ht="28.5" customHeight="1" x14ac:dyDescent="0.25">
      <c r="A3" s="9">
        <v>1</v>
      </c>
      <c r="B3" s="36" t="s">
        <v>63</v>
      </c>
      <c r="C3" s="37">
        <v>305</v>
      </c>
      <c r="D3" s="11" t="s">
        <v>64</v>
      </c>
      <c r="E3" s="38">
        <v>72185</v>
      </c>
      <c r="F3" s="12">
        <v>13715</v>
      </c>
      <c r="G3" s="12">
        <f>+E3+F3</f>
        <v>85900</v>
      </c>
      <c r="H3" s="39">
        <f>+$C$3*G3</f>
        <v>26199500</v>
      </c>
      <c r="I3" s="38">
        <f>ROUND(K3/1.19,2)</f>
        <v>49159.66</v>
      </c>
      <c r="J3" s="12">
        <f>+K3-I3</f>
        <v>9340.3399999999965</v>
      </c>
      <c r="K3" s="12">
        <v>58500</v>
      </c>
      <c r="L3" s="39">
        <f>+$C$3*K3</f>
        <v>17842500</v>
      </c>
      <c r="M3" s="38">
        <v>89000</v>
      </c>
      <c r="N3" s="12"/>
      <c r="O3" s="12">
        <f>+M3+N3</f>
        <v>89000</v>
      </c>
      <c r="P3" s="39">
        <f>+$C$3*O3</f>
        <v>27145000</v>
      </c>
      <c r="Q3" s="38">
        <v>91000</v>
      </c>
      <c r="R3" s="12">
        <v>17290</v>
      </c>
      <c r="S3" s="12">
        <f>+Q3+R3</f>
        <v>108290</v>
      </c>
      <c r="T3" s="39">
        <f>+$C$3*S3</f>
        <v>33028450</v>
      </c>
      <c r="U3" s="13">
        <f>MIN(E3,I3,M3,Q3)</f>
        <v>49159.66</v>
      </c>
      <c r="V3" s="13">
        <f>ROUND(AVERAGE(E3,I3,M3,Q3),2)</f>
        <v>75336.17</v>
      </c>
      <c r="W3" s="13">
        <f>MEDIAN(E3,I3,M3,Q3)</f>
        <v>80592.5</v>
      </c>
      <c r="X3" s="13">
        <f>ROUND(STDEV(U3,V3),2)</f>
        <v>18509.59</v>
      </c>
      <c r="Y3" s="14">
        <f>ROUND(X3/V3,2)</f>
        <v>0.25</v>
      </c>
      <c r="Z3" s="15">
        <f>+V3</f>
        <v>75336.17</v>
      </c>
      <c r="AA3" s="16" t="s">
        <v>22</v>
      </c>
      <c r="AB3" s="17">
        <f>ROUND(C3*(Z3+(Z3*19%)),2)</f>
        <v>27343262.899999999</v>
      </c>
      <c r="AC3" s="31">
        <v>136</v>
      </c>
      <c r="AD3" s="17">
        <f t="shared" ref="AD3:AD4" si="0">ROUND(AC3*(Z3+(Z3*19%)),2)</f>
        <v>12192405.75</v>
      </c>
    </row>
    <row r="4" spans="1:30" ht="30" customHeight="1" x14ac:dyDescent="0.25">
      <c r="A4" s="9">
        <v>2</v>
      </c>
      <c r="B4" s="36" t="s">
        <v>65</v>
      </c>
      <c r="C4" s="37">
        <v>265</v>
      </c>
      <c r="D4" s="11" t="s">
        <v>64</v>
      </c>
      <c r="E4" s="38">
        <v>69664</v>
      </c>
      <c r="F4" s="12">
        <v>13236</v>
      </c>
      <c r="G4" s="12">
        <f>+E4+F4</f>
        <v>82900</v>
      </c>
      <c r="H4" s="39">
        <f>+$C$4*G4</f>
        <v>21968500</v>
      </c>
      <c r="I4" s="38">
        <f>ROUND(K4/1.19,2)</f>
        <v>53277.31</v>
      </c>
      <c r="J4" s="12">
        <f>+K4-I4</f>
        <v>10122.690000000002</v>
      </c>
      <c r="K4" s="12">
        <v>63400</v>
      </c>
      <c r="L4" s="39">
        <f>+$C$4*K4</f>
        <v>16801000</v>
      </c>
      <c r="M4" s="38">
        <v>86000</v>
      </c>
      <c r="N4" s="12"/>
      <c r="O4" s="12">
        <f>+M4+N4</f>
        <v>86000</v>
      </c>
      <c r="P4" s="39">
        <f>+$C$4*O4</f>
        <v>22790000</v>
      </c>
      <c r="Q4" s="38">
        <v>89000</v>
      </c>
      <c r="R4" s="12">
        <v>16910</v>
      </c>
      <c r="S4" s="12">
        <f>+Q4+R4</f>
        <v>105910</v>
      </c>
      <c r="T4" s="39">
        <f>+$C$4*S4</f>
        <v>28066150</v>
      </c>
      <c r="U4" s="13">
        <f>MIN(E4,I4,M4,Q4)</f>
        <v>53277.31</v>
      </c>
      <c r="V4" s="13">
        <f>ROUND(AVERAGE(E4,I4,M4,Q4),2)</f>
        <v>74485.33</v>
      </c>
      <c r="W4" s="13">
        <f>MEDIAN(E4,I4,M4,Q4)</f>
        <v>77832</v>
      </c>
      <c r="X4" s="13">
        <f>ROUND(STDEV(U4,V4),2)</f>
        <v>14996.33</v>
      </c>
      <c r="Y4" s="14">
        <f>ROUND(X4/V4,2)</f>
        <v>0.2</v>
      </c>
      <c r="Z4" s="15">
        <f>+V4</f>
        <v>74485.33</v>
      </c>
      <c r="AA4" s="16" t="s">
        <v>22</v>
      </c>
      <c r="AB4" s="17">
        <f>ROUND(C4*(Z4+(Z4*19%)),2)</f>
        <v>23488948.82</v>
      </c>
      <c r="AC4" s="31">
        <v>200</v>
      </c>
      <c r="AD4" s="17">
        <f t="shared" si="0"/>
        <v>17727508.539999999</v>
      </c>
    </row>
    <row r="5" spans="1:30" x14ac:dyDescent="0.25">
      <c r="AA5" s="18" t="s">
        <v>33</v>
      </c>
      <c r="AB5" s="18">
        <f>SUM(AB3:AB4)</f>
        <v>50832211.719999999</v>
      </c>
      <c r="AC5" s="41">
        <f>SUM(AC3:AC4)</f>
        <v>336</v>
      </c>
      <c r="AD5" s="17">
        <f>SUM(AD3:AD4)</f>
        <v>29919914.289999999</v>
      </c>
    </row>
    <row r="6" spans="1:30" x14ac:dyDescent="0.25">
      <c r="AA6" s="12" t="s">
        <v>34</v>
      </c>
      <c r="AB6" s="12">
        <v>30000000</v>
      </c>
      <c r="AC6" s="19"/>
      <c r="AD6" s="16"/>
    </row>
    <row r="7" spans="1:30" x14ac:dyDescent="0.25">
      <c r="AA7" s="20" t="s">
        <v>35</v>
      </c>
      <c r="AB7" s="20">
        <f>+AB6-AB5</f>
        <v>-20832211.719999999</v>
      </c>
      <c r="AD7" s="13">
        <f>+AB6-AD5</f>
        <v>80085.710000000894</v>
      </c>
    </row>
    <row r="120" ht="21" customHeight="1" x14ac:dyDescent="0.25"/>
  </sheetData>
  <sheetProtection algorithmName="SHA-512" hashValue="7NFv8vIhILemZaWf2UGh5SJd6D34MHe+y9+/QwO2EXGhXkWGwfPJp02zA+QsYX5rHsgm7MLjYRz9ETdww4CRjg==" saltValue="BSR9aFPnk1U+zLHlaD3ebw==" spinCount="100000" sheet="1" objects="1" scenarios="1"/>
  <mergeCells count="4">
    <mergeCell ref="E1:H1"/>
    <mergeCell ref="I1:L1"/>
    <mergeCell ref="M1:P1"/>
    <mergeCell ref="Q1:T1"/>
  </mergeCells>
  <pageMargins left="0.70866141732283472" right="0.70866141732283472" top="0.74803149606299213" bottom="0.74803149606299213" header="0.31496062992125984" footer="0.31496062992125984"/>
  <pageSetup paperSize="9"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Proyección Precios Lote 1</vt:lpstr>
      <vt:lpstr>Proyección Precios Lote 2</vt:lpstr>
      <vt:lpstr>Proyección Precios Lote 3</vt:lpstr>
      <vt:lpstr>'Proyección Precios Lote 1'!Área_de_impresión</vt:lpstr>
      <vt:lpstr>'Proyección Precios Lote 2'!Área_de_impresión</vt:lpstr>
      <vt:lpstr>'Proyección Precios Lote 3'!Área_de_impresión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Familia</dc:creator>
  <cp:lastModifiedBy>PS. JUAN SEBASTIAN BRIÑEZ HERNANDEZ</cp:lastModifiedBy>
  <dcterms:created xsi:type="dcterms:W3CDTF">2023-07-15T02:43:53Z</dcterms:created>
  <dcterms:modified xsi:type="dcterms:W3CDTF">2023-07-17T17:06:38Z</dcterms:modified>
</cp:coreProperties>
</file>