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autoCompressPictures="0" defaultThemeVersion="124226"/>
  <mc:AlternateContent xmlns:mc="http://schemas.openxmlformats.org/markup-compatibility/2006">
    <mc:Choice Requires="x15">
      <x15ac:absPath xmlns:x15ac="http://schemas.microsoft.com/office/spreadsheetml/2010/11/ac" url="https://gobiernobogota-my.sharepoint.com/personal/mariac_zambranoc_gobiernobogota_gov_co/Documents/ANTONIO NARIÑO/2023/SAMC/Proceso skate/EVALUACION/"/>
    </mc:Choice>
  </mc:AlternateContent>
  <xr:revisionPtr revIDLastSave="50" documentId="13_ncr:1_{236F4CF9-58D1-44D5-99B8-304DE389471C}" xr6:coauthVersionLast="47" xr6:coauthVersionMax="47" xr10:uidLastSave="{88F5A967-AFB6-4B74-842D-119367E71C2B}"/>
  <bookViews>
    <workbookView xWindow="-120" yWindow="-120" windowWidth="20730" windowHeight="11040" xr2:uid="{00000000-000D-0000-FFFF-FFFF00000000}"/>
  </bookViews>
  <sheets>
    <sheet name="GCO-GCI-107 (2)" sheetId="9" r:id="rId1"/>
    <sheet name="HOJA DE INSTRUCCIONES" sheetId="7" r:id="rId2"/>
  </sheets>
  <definedNames>
    <definedName name="_xlnm.Print_Area" localSheetId="0">'GCO-GCI-107 (2)'!$B$2:$J$47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0" i="9" l="1"/>
  <c r="O43" i="9"/>
  <c r="O42" i="9" s="1"/>
  <c r="N43" i="9"/>
  <c r="N42" i="9" s="1"/>
  <c r="M43" i="9"/>
  <c r="M42" i="9" s="1"/>
  <c r="L43" i="9"/>
  <c r="L42" i="9" s="1"/>
  <c r="O41" i="9"/>
  <c r="O40" i="9" s="1"/>
  <c r="N41" i="9"/>
  <c r="N40" i="9" s="1"/>
  <c r="M41" i="9"/>
  <c r="M40" i="9" s="1"/>
  <c r="L41" i="9"/>
  <c r="L40" i="9" s="1"/>
  <c r="O37" i="9"/>
  <c r="O36" i="9" s="1"/>
  <c r="N37" i="9"/>
  <c r="N36" i="9" s="1"/>
  <c r="M37" i="9"/>
  <c r="M36" i="9" s="1"/>
  <c r="L37" i="9"/>
  <c r="L36" i="9" s="1"/>
  <c r="O35" i="9"/>
  <c r="O34" i="9" s="1"/>
  <c r="N35" i="9"/>
  <c r="N34" i="9" s="1"/>
  <c r="M35" i="9"/>
  <c r="M34" i="9" s="1"/>
  <c r="L35" i="9"/>
  <c r="L34" i="9" s="1"/>
  <c r="O33" i="9"/>
  <c r="O32" i="9" s="1"/>
  <c r="N33" i="9"/>
  <c r="N32" i="9" s="1"/>
  <c r="M33" i="9"/>
  <c r="M32" i="9" s="1"/>
  <c r="L33" i="9"/>
  <c r="L32" i="9" s="1"/>
  <c r="O31" i="9"/>
  <c r="O30" i="9" s="1"/>
  <c r="N31" i="9"/>
  <c r="N30" i="9" s="1"/>
  <c r="M31" i="9"/>
  <c r="M30" i="9" s="1"/>
  <c r="L31" i="9"/>
  <c r="L30" i="9" s="1"/>
  <c r="O24" i="9"/>
  <c r="N24" i="9"/>
  <c r="M24" i="9"/>
  <c r="L24" i="9"/>
  <c r="O23" i="9"/>
  <c r="N23" i="9"/>
  <c r="M23" i="9"/>
  <c r="L23" i="9"/>
  <c r="O22" i="9"/>
  <c r="O21" i="9"/>
  <c r="N20" i="9"/>
  <c r="M20" i="9"/>
  <c r="O19" i="9"/>
  <c r="O18" i="9"/>
  <c r="O17" i="9"/>
  <c r="O16" i="9"/>
  <c r="O15" i="9"/>
  <c r="O14" i="9"/>
  <c r="K43" i="9"/>
  <c r="K42" i="9" s="1"/>
  <c r="K41" i="9"/>
  <c r="K40" i="9" s="1"/>
  <c r="K37" i="9"/>
  <c r="K36" i="9" s="1"/>
  <c r="K35" i="9"/>
  <c r="K34" i="9" s="1"/>
  <c r="K33" i="9"/>
  <c r="K32" i="9" s="1"/>
  <c r="K31" i="9"/>
  <c r="K30" i="9" s="1"/>
  <c r="K24" i="9"/>
  <c r="K23" i="9"/>
  <c r="K20" i="9"/>
  <c r="J43" i="9"/>
  <c r="I43" i="9"/>
  <c r="H43" i="9"/>
  <c r="G43" i="9"/>
  <c r="F43" i="9"/>
  <c r="E43" i="9"/>
  <c r="D43" i="9"/>
  <c r="J42" i="9"/>
  <c r="I42" i="9"/>
  <c r="H42" i="9"/>
  <c r="G42" i="9"/>
  <c r="F42" i="9"/>
  <c r="E42" i="9"/>
  <c r="D42" i="9"/>
  <c r="J41" i="9"/>
  <c r="I41" i="9"/>
  <c r="H41" i="9"/>
  <c r="G41" i="9"/>
  <c r="F41" i="9"/>
  <c r="F40" i="9" s="1"/>
  <c r="E41" i="9"/>
  <c r="E40" i="9" s="1"/>
  <c r="D41" i="9"/>
  <c r="D40" i="9" s="1"/>
  <c r="J40" i="9"/>
  <c r="I40" i="9"/>
  <c r="H40" i="9"/>
  <c r="G40" i="9"/>
  <c r="J37" i="9"/>
  <c r="J36" i="9" s="1"/>
  <c r="I37" i="9"/>
  <c r="I36" i="9" s="1"/>
  <c r="H37" i="9"/>
  <c r="H36" i="9" s="1"/>
  <c r="G37" i="9"/>
  <c r="G36" i="9" s="1"/>
  <c r="F37" i="9"/>
  <c r="F36" i="9" s="1"/>
  <c r="E37" i="9"/>
  <c r="E36" i="9" s="1"/>
  <c r="D37" i="9"/>
  <c r="D36" i="9" s="1"/>
  <c r="J35" i="9"/>
  <c r="I35" i="9"/>
  <c r="H35" i="9"/>
  <c r="H34" i="9" s="1"/>
  <c r="G35" i="9"/>
  <c r="G34" i="9" s="1"/>
  <c r="F35" i="9"/>
  <c r="F34" i="9" s="1"/>
  <c r="E35" i="9"/>
  <c r="E34" i="9" s="1"/>
  <c r="D35" i="9"/>
  <c r="D34" i="9" s="1"/>
  <c r="J34" i="9"/>
  <c r="I34" i="9"/>
  <c r="J33" i="9"/>
  <c r="J32" i="9" s="1"/>
  <c r="I33" i="9"/>
  <c r="I32" i="9" s="1"/>
  <c r="H33" i="9"/>
  <c r="G33" i="9"/>
  <c r="G32" i="9" s="1"/>
  <c r="F33" i="9"/>
  <c r="F32" i="9" s="1"/>
  <c r="E33" i="9"/>
  <c r="E32" i="9" s="1"/>
  <c r="D33" i="9"/>
  <c r="H32" i="9"/>
  <c r="D32" i="9"/>
  <c r="J31" i="9"/>
  <c r="I31" i="9"/>
  <c r="H31" i="9"/>
  <c r="G31" i="9"/>
  <c r="F31" i="9"/>
  <c r="E31" i="9"/>
  <c r="D31" i="9"/>
  <c r="J30" i="9"/>
  <c r="I30" i="9"/>
  <c r="H30" i="9"/>
  <c r="G30" i="9"/>
  <c r="F30" i="9"/>
  <c r="E30" i="9"/>
  <c r="D30" i="9"/>
  <c r="J24" i="9"/>
  <c r="I24" i="9"/>
  <c r="H24" i="9"/>
  <c r="G24" i="9"/>
  <c r="F24" i="9"/>
  <c r="E24" i="9"/>
  <c r="D24" i="9"/>
  <c r="J23" i="9"/>
  <c r="I23" i="9"/>
  <c r="H23" i="9"/>
  <c r="G23" i="9"/>
  <c r="F23" i="9"/>
  <c r="E23" i="9"/>
  <c r="D23" i="9"/>
  <c r="J22" i="9"/>
  <c r="F22" i="9"/>
  <c r="J21" i="9"/>
  <c r="F21" i="9"/>
  <c r="I20" i="9"/>
  <c r="H20" i="9"/>
  <c r="G20" i="9"/>
  <c r="E20" i="9"/>
  <c r="D20" i="9"/>
  <c r="J19" i="9"/>
  <c r="F19" i="9"/>
  <c r="J18" i="9"/>
  <c r="F18" i="9"/>
  <c r="J17" i="9"/>
  <c r="F17" i="9"/>
  <c r="J16" i="9"/>
  <c r="F16" i="9"/>
  <c r="J15" i="9"/>
  <c r="F15" i="9"/>
  <c r="J14" i="9"/>
  <c r="F14" i="9"/>
  <c r="O20" i="9" l="1"/>
  <c r="N44" i="9"/>
  <c r="I44" i="9"/>
  <c r="M44" i="9"/>
  <c r="O44" i="9"/>
  <c r="L44" i="9"/>
  <c r="E44" i="9"/>
  <c r="J20" i="9"/>
  <c r="D44" i="9"/>
  <c r="F20" i="9"/>
  <c r="F44" i="9"/>
  <c r="J44" i="9"/>
  <c r="H44" i="9"/>
  <c r="G44" i="9"/>
  <c r="K44"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Luisa Fernanda</author>
  </authors>
  <commentList>
    <comment ref="J10" authorId="0" shapeId="0" xr:uid="{58761BE1-CDF1-459F-9798-6D6C5A923807}">
      <text>
        <r>
          <rPr>
            <b/>
            <sz val="9"/>
            <color indexed="81"/>
            <rFont val="Tahoma"/>
            <family val="2"/>
          </rPr>
          <t>Se realizan ajustes de forma.
Se sugiere realizar hoja de instrucciones de diligenciamiento
Revisar fórmulas. Algunas apuntan a celdas que no contendrían información
Se recomienda utilizar colores más claros en el sombreado</t>
        </r>
      </text>
    </comment>
  </commentList>
</comments>
</file>

<file path=xl/sharedStrings.xml><?xml version="1.0" encoding="utf-8"?>
<sst xmlns="http://schemas.openxmlformats.org/spreadsheetml/2006/main" count="122" uniqueCount="96">
  <si>
    <t>CONCEPTO</t>
  </si>
  <si>
    <t>A</t>
  </si>
  <si>
    <t>B</t>
  </si>
  <si>
    <t>C</t>
  </si>
  <si>
    <t xml:space="preserve">PRESENTACIÓN DE RUP VIGENTE </t>
  </si>
  <si>
    <t>VIGENTE</t>
  </si>
  <si>
    <t>INFORMACION TOMADA DEL RUP VIGENTE</t>
  </si>
  <si>
    <t>ACTIVO CORRIENTE</t>
  </si>
  <si>
    <t>PASIVO CORRIENTE</t>
  </si>
  <si>
    <t>ACTIVO TOTAL</t>
  </si>
  <si>
    <t>PASIVO TOTAL</t>
  </si>
  <si>
    <t xml:space="preserve">PATRIMONIO </t>
  </si>
  <si>
    <t>Activo total-Pasivo total-Patrimonio</t>
  </si>
  <si>
    <t>UTILIDAD OPERACIONAL</t>
  </si>
  <si>
    <t>GASTOS DE INTERESES</t>
  </si>
  <si>
    <r>
      <t xml:space="preserve">Rentabilidad del Patrimonio = </t>
    </r>
    <r>
      <rPr>
        <sz val="12"/>
        <rFont val="Garamond"/>
        <family val="1"/>
      </rPr>
      <t>Utilidad Operacional / Patrimonio</t>
    </r>
  </si>
  <si>
    <r>
      <t xml:space="preserve">Rentabilidad del Activo = </t>
    </r>
    <r>
      <rPr>
        <sz val="12"/>
        <rFont val="Garamond"/>
        <family val="1"/>
      </rPr>
      <t xml:space="preserve">Utilidad Operacional / Activo Total </t>
    </r>
  </si>
  <si>
    <t>VALOR DEL PRESUPUESTO OFICIAL</t>
  </si>
  <si>
    <t>CRITERIO DE VERIFICACIÓN FINANCIERA</t>
  </si>
  <si>
    <t>NO HABIL</t>
  </si>
  <si>
    <t>Activo corriente / Pasivo corriente</t>
  </si>
  <si>
    <t>(Pasivo total / Activo total)*100</t>
  </si>
  <si>
    <t>RC= (Utilidad Operacional) / (Gastos de Intereses)</t>
  </si>
  <si>
    <t>CRITERIO DE VERIFICACIÓN CAPACIDAD ORGANIZACIONAL</t>
  </si>
  <si>
    <r>
      <t>RP</t>
    </r>
    <r>
      <rPr>
        <b/>
        <sz val="12"/>
        <rFont val="Garamond"/>
        <family val="1"/>
      </rPr>
      <t xml:space="preserve">  </t>
    </r>
    <r>
      <rPr>
        <sz val="12"/>
        <rFont val="Garamond"/>
        <family val="1"/>
      </rPr>
      <t xml:space="preserve">= (Utilidad Operacional / Patrimonio)    </t>
    </r>
  </si>
  <si>
    <t xml:space="preserve">RA   = (Utilidad Operacional / Activo Total) </t>
  </si>
  <si>
    <t>CUMPLIMIENTO REQUISITOS HABLITANTES</t>
  </si>
  <si>
    <t xml:space="preserve">NOTA: Una vez verificada la Informacion Finaciera presentada por cada uno de los proponentes, nos permitimos informar que las sociedades arriba descritas, que cúmplen con lo solicitado en los pliegos de condiciones definitivos en cuanto a los Indicadores Financieros requeridos se encuentran HABILITADAS. </t>
  </si>
  <si>
    <t>Nro.</t>
  </si>
  <si>
    <t>Instrucciones para el diligenciamiento:</t>
  </si>
  <si>
    <t>Objeto: Diligencie el objeto del proceso de contratación del cual va a realizar la evaluación financiera tal cual como aparece en el pliego de condiciones</t>
  </si>
  <si>
    <t>Índice de Liquidez: (mín. 1.2) VECES</t>
  </si>
  <si>
    <t>Endeudamiento total: (máx. 55%)</t>
  </si>
  <si>
    <t>Razón de Cobertura de Intereses (&gt;= a 5,5 veces) o Indeterminado</t>
  </si>
  <si>
    <t>Nota: Cuando el gasto de intereses es 0 o no es allegado el error #¡DIV/0! Debe ser reemplazado por la palabra INDETERMINADO</t>
  </si>
  <si>
    <t>CAPITAL DE TRABAJO ≥ A 60% DEL PPTO OFICIAL</t>
  </si>
  <si>
    <t>Indicador Rentabilidad del Patrimonio RP =&gt; AL 5%</t>
  </si>
  <si>
    <t>Indicador Rentabilidad del Activo RAct  =&gt; AL 2%=</t>
  </si>
  <si>
    <t>En las celdas de la fila 10 diligencie en cada casilla los datos del proponente a evaluar con razón social o nombres completos y documento de identificación sea cédula o NIT según corresponda.  Para el caso de uniones temporales y consorcios utilice las celdas en gris para cada uno de los proponentes miembros y registre la UT o consorcio en la casilla siguiente la cual contiene la suma de las grises</t>
  </si>
  <si>
    <t>En las celdas de la fila 13 indique el estado del RUP – vigente, en trámite o vencido</t>
  </si>
  <si>
    <t>En las celdas de la fila 14 indique el porcentaje de participación del RUP, para el caso de proponentes únicos será el 100% y para el caso de uniones temporales y consorcios será el indicado en el documento de constitución de la UT</t>
  </si>
  <si>
    <t>En las filas 15 a 19 diligencie la información financiera contenida en el RUP de acuerdo con lo indicado en la columna B</t>
  </si>
  <si>
    <t>La fila 20 es casilla con resultado automático según la información digitada en las filas 15 a 19</t>
  </si>
  <si>
    <t>En las filas 21 y 22 digite la información correspondiente contenida en el RUP de acuerdo con lo indicado en la columna B</t>
  </si>
  <si>
    <t>Las filas 23 y 24 son de resultado automático según la información digitada en las filas anteriores</t>
  </si>
  <si>
    <t>En la fila 25 indique en todas columnas el valor del presupuesto oficial según el pliego de condiciones</t>
  </si>
  <si>
    <t>En casilla B 30 ajuste el índice de liquidez de acuerdo con lo determinado en el pliego de condiciones. Ajuste el valor también en la fórmula de las siguientes columnas de la fila 30 según el ejemplo:</t>
  </si>
  <si>
    <t>Los valores de la fila 31 son de cálculo automático</t>
  </si>
  <si>
    <t>SI(C31&gt;=1,2;$B$27;$N$27)</t>
  </si>
  <si>
    <t>En casilla B 32 ajuste el Endeudamiento total de acuerdo con lo determinado en el pliego de condiciones. Ajuste el valor también en la fórmula de las siguientes columnas de la fila 32 según el ejemplo</t>
  </si>
  <si>
    <t xml:space="preserve"> SI(C33&lt;=55%;$B$27;$N$27)</t>
  </si>
  <si>
    <t>Los valores de la fila 33 son de cálculo automático</t>
  </si>
  <si>
    <t>En casilla B 34 ajuste la Razón de Cobertura de Intereses de acuerdo con lo determinado en el pliego de condiciones. Ajuste el valor también en la fórmula de las siguientes columnas de la fila 34 según el ejemplo</t>
  </si>
  <si>
    <t>SI(C35&gt;5,5;$B$27;$N$27)</t>
  </si>
  <si>
    <t>Los valores de la fila 35 son de cálculo automático</t>
  </si>
  <si>
    <t>En casilla B 36 ajuste el Capital de trabajo de acuerdo con lo determinado en el pliego de condiciones. Ajuste el valor también en la fórmula de las siguientes columnas de la fila 36 según el ejemplo</t>
  </si>
  <si>
    <t xml:space="preserve"> SI(C37&gt;(C22*60%);$B$27;$N$27)</t>
  </si>
  <si>
    <t>En la casilla B37 indique el valor del capital de trabajo requerido de acuerdo con lo indicado en la casilla B 36. Los valores de la fila 37 columna c en adelante son de cálculo automático</t>
  </si>
  <si>
    <t>En casilla B 40 ajuste el Indicador de rentabilidad del patrimonio de acuerdo con lo determinado en el pliego de condiciones. Ajuste el valor también en la fórmula de las siguientes columnas de la fila 40 según el ejemplo</t>
  </si>
  <si>
    <t>SI(C41&gt;=5%;$B$27;$N$27)</t>
  </si>
  <si>
    <t>Los valores de la fila 41 son de cálculo automático</t>
  </si>
  <si>
    <t>En casilla B 42 ajuste el Indicador de rentabilidad del activo de acuerdo con lo determinado en el pliego de condiciones. Ajuste el valor también en la fórmula de las siguientes columnas de la fila 42 según el ejemplo</t>
  </si>
  <si>
    <t>SI(C43&gt;=2%;$B$27;$N$27)</t>
  </si>
  <si>
    <t>Los valores de la fila 43 y 44 son de cálculo automático</t>
  </si>
  <si>
    <t>HABIL</t>
  </si>
  <si>
    <t>En la fila 55 indique las observaciones de la evaluación</t>
  </si>
  <si>
    <t xml:space="preserve">
VERIFICACIÓN FINANCIERA  Y CAPACIDAD ORGANIZACIONAL</t>
  </si>
  <si>
    <t>Código: GCO-GCI-F107
Versión: 03
Vigencia: 21 de diciembre de 2022
Caso HOLA: 282943</t>
  </si>
  <si>
    <r>
      <t>Razon de Cobertura de Intereses (</t>
    </r>
    <r>
      <rPr>
        <b/>
        <sz val="12"/>
        <color indexed="10"/>
        <rFont val="Garamond"/>
        <family val="1"/>
      </rPr>
      <t>&gt;= a 0 veces</t>
    </r>
    <r>
      <rPr>
        <b/>
        <sz val="12"/>
        <rFont val="Garamond"/>
        <family val="1"/>
      </rPr>
      <t>) ó Indeterminado</t>
    </r>
  </si>
  <si>
    <r>
      <t xml:space="preserve">Indicador  Rentabilidad del Patrimonio </t>
    </r>
    <r>
      <rPr>
        <b/>
        <sz val="12"/>
        <color indexed="10"/>
        <rFont val="Garamond"/>
        <family val="1"/>
      </rPr>
      <t>RP =&gt; AL  0 %</t>
    </r>
  </si>
  <si>
    <r>
      <t xml:space="preserve">Indicador Rentabilidad del Activo </t>
    </r>
    <r>
      <rPr>
        <b/>
        <sz val="12"/>
        <color indexed="10"/>
        <rFont val="Garamond"/>
        <family val="1"/>
      </rPr>
      <t>RAct  =&gt; AL 0 %</t>
    </r>
  </si>
  <si>
    <t>31/12/2022</t>
  </si>
  <si>
    <t xml:space="preserve"> Evaluador Financiero</t>
  </si>
  <si>
    <r>
      <t xml:space="preserve">OBJETO </t>
    </r>
    <r>
      <rPr>
        <b/>
        <sz val="12"/>
        <color rgb="FFFF0000"/>
        <rFont val="Garamond"/>
        <family val="1"/>
      </rPr>
      <t>"CONTRATAR LAS OBRAS PARA LA ADECUACIÓN Y CONTINUACIÓN DE LA
SEGUNDA FASE DE LA PISTA DE ROLLER FREE-STYLE, ASÍ COMO LA
REHABILITACIÓN Y/O DOTACIÓN DEL PARQUE SANTA ISABEL IV SECTOR CÓD. 15-
021 UBICADO EN LA LOCALIDAD DE ANTONIO NARIÑO”.</t>
    </r>
  </si>
  <si>
    <r>
      <t>CAPITAL DE TRABAJO</t>
    </r>
    <r>
      <rPr>
        <sz val="12"/>
        <rFont val="Garamond"/>
        <family val="1"/>
      </rPr>
      <t xml:space="preserve"> </t>
    </r>
    <r>
      <rPr>
        <sz val="12"/>
        <color indexed="10"/>
        <rFont val="Garamond"/>
        <family val="1"/>
      </rPr>
      <t>≥</t>
    </r>
    <r>
      <rPr>
        <sz val="12"/>
        <rFont val="Garamond"/>
        <family val="1"/>
      </rPr>
      <t xml:space="preserve"> </t>
    </r>
    <r>
      <rPr>
        <b/>
        <sz val="12"/>
        <color indexed="10"/>
        <rFont val="Garamond"/>
        <family val="1"/>
      </rPr>
      <t xml:space="preserve"> A 20 % DEL PPTO OFICIAL</t>
    </r>
  </si>
  <si>
    <r>
      <t>Indice de Liquidez: (</t>
    </r>
    <r>
      <rPr>
        <b/>
        <sz val="12"/>
        <color indexed="10"/>
        <rFont val="Garamond"/>
        <family val="1"/>
      </rPr>
      <t>mín. 1,03</t>
    </r>
    <r>
      <rPr>
        <b/>
        <sz val="12"/>
        <rFont val="Garamond"/>
        <family val="1"/>
      </rPr>
      <t xml:space="preserve">) </t>
    </r>
    <r>
      <rPr>
        <b/>
        <sz val="12"/>
        <color indexed="10"/>
        <rFont val="Garamond"/>
        <family val="1"/>
      </rPr>
      <t>VECES</t>
    </r>
  </si>
  <si>
    <r>
      <t>Endeudamiento total: (</t>
    </r>
    <r>
      <rPr>
        <b/>
        <sz val="12"/>
        <color indexed="10"/>
        <rFont val="Garamond"/>
        <family val="1"/>
      </rPr>
      <t>máx. 74%</t>
    </r>
    <r>
      <rPr>
        <b/>
        <sz val="12"/>
        <rFont val="Garamond"/>
        <family val="1"/>
      </rPr>
      <t>)</t>
    </r>
  </si>
  <si>
    <t>PROPONENTE N° CIMA INGENIERIA &amp; CONSTRUCCIONES S.A.S. NIT  900.844.978-4</t>
  </si>
  <si>
    <t>PROPONENTE N° RAELJA INGENIERIA S.A.S NIT 813003916-4</t>
  </si>
  <si>
    <t>PROPONENTE N° SGIN - SERVICIO GLOBAL DE INGENIERIA SAS NIT 901512205 9</t>
  </si>
  <si>
    <t>PROPONENTE N° M&amp;G INGENIERIA Y CONSTRUCCIONES S.A.S NIT 901.409.034-6</t>
  </si>
  <si>
    <t>PROPONENTE N° ANX INGENIERIA Y SOLUCIONES S.A.S NIT 901.503.062-4</t>
  </si>
  <si>
    <t>PROPONENTE N° L&amp;C OBRAS Y SERVICIOS S.A.S NIT 901.151.832 - 7</t>
  </si>
  <si>
    <t>PROPONENTE N° EGSA INGENIEROS S A S NIT  900996621 2</t>
  </si>
  <si>
    <t>31/12/2022 RUP</t>
  </si>
  <si>
    <t>PROPONENTE N° PROYECTOS CIVILES DE INFRAESTRUCTURA S A S NIT  900961137 8</t>
  </si>
  <si>
    <t>PROPONENTE N° INVERSIONES GUERFOR SAS NIT 860.510.142-6</t>
  </si>
  <si>
    <t>PROPONENTE N° SUMINISTRO Y CIMENTACIONES SAS NIT 901330586-8</t>
  </si>
  <si>
    <t xml:space="preserve">PROPONENTE CONSORCIO LA ESPERANZA </t>
  </si>
  <si>
    <t xml:space="preserve">PROPONENTE UT O CONSORCIO CONSORCIO PARQUES ZONAS VERDES  </t>
  </si>
  <si>
    <t xml:space="preserve">PROPONENTE UNIÓN TEMPORAL ROLLER PARK.  </t>
  </si>
  <si>
    <t xml:space="preserve">NOTA: La fecha de corte de la información financiera registrada en el RUP debe ser 31/12/2022, de acuerdo a lo establecido en el pliego definitivo de condiciones del proceso FDLAN-SAMC-005-2023, las empresas que se presentaron están habilitadas. </t>
  </si>
  <si>
    <t>BALANCE GENERAL CON CORTE A 31 DE DICIEMBRE DEL AÑO: 2022</t>
  </si>
  <si>
    <t>No se encuentra en firme y con fecha de expedición menor a 30 días. Por ende, no se puede realizar la evaluación</t>
  </si>
  <si>
    <t>NO HABILITADO</t>
  </si>
  <si>
    <t>CT = Activo Corriente - Pasivo Corriente ≥ $ 34,518,084,6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</si>
</sst>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3" formatCode="_-* #,##0.00_-;\-* #,##0.00_-;_-* &quot;-&quot;??_-;_-@_-"/>
    <numFmt numFmtId="164" formatCode="_-&quot;$&quot;* #,##0_-;\-&quot;$&quot;* #,##0_-;_-&quot;$&quot;* &quot;-&quot;_-;_-@_-"/>
  </numFmts>
  <fonts count="15" x14ac:knownFonts="1">
    <font>
      <sz val="10"/>
      <name val="Arial"/>
    </font>
    <font>
      <sz val="10"/>
      <name val="Arial"/>
      <family val="2"/>
    </font>
    <font>
      <b/>
      <sz val="9"/>
      <color indexed="81"/>
      <name val="Tahoma"/>
      <family val="2"/>
    </font>
    <font>
      <b/>
      <sz val="11"/>
      <name val="Garamond"/>
      <family val="1"/>
    </font>
    <font>
      <sz val="11"/>
      <name val="Garamond"/>
      <family val="1"/>
    </font>
    <font>
      <sz val="12"/>
      <name val="Garamond"/>
      <family val="1"/>
    </font>
    <font>
      <b/>
      <sz val="12"/>
      <name val="Garamond"/>
      <family val="1"/>
    </font>
    <font>
      <b/>
      <sz val="12"/>
      <color rgb="FFFF0000"/>
      <name val="Garamond"/>
      <family val="1"/>
    </font>
    <font>
      <b/>
      <sz val="12"/>
      <color indexed="10"/>
      <name val="Garamond"/>
      <family val="1"/>
    </font>
    <font>
      <b/>
      <sz val="12"/>
      <color theme="1"/>
      <name val="Garamond"/>
      <family val="1"/>
    </font>
    <font>
      <sz val="12"/>
      <color theme="1"/>
      <name val="Garamond"/>
      <family val="1"/>
    </font>
    <font>
      <sz val="12"/>
      <color indexed="10"/>
      <name val="Garamond"/>
      <family val="1"/>
    </font>
    <font>
      <b/>
      <i/>
      <sz val="12"/>
      <name val="Garamond"/>
      <family val="1"/>
    </font>
    <font>
      <b/>
      <sz val="24"/>
      <name val="Garamond"/>
      <family val="1"/>
    </font>
    <font>
      <sz val="14"/>
      <name val="Garamond"/>
      <family val="1"/>
    </font>
  </fonts>
  <fills count="8">
    <fill>
      <patternFill patternType="none"/>
    </fill>
    <fill>
      <patternFill patternType="gray125"/>
    </fill>
    <fill>
      <patternFill patternType="solid">
        <fgColor theme="0" tint="-0.249977111117893"/>
        <bgColor indexed="64"/>
      </patternFill>
    </fill>
    <fill>
      <patternFill patternType="solid">
        <fgColor theme="8"/>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6" tint="0.59999389629810485"/>
        <bgColor indexed="64"/>
      </patternFill>
    </fill>
  </fills>
  <borders count="27">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diagonal/>
    </border>
    <border>
      <left style="medium">
        <color auto="1"/>
      </left>
      <right style="medium">
        <color auto="1"/>
      </right>
      <top/>
      <bottom style="thin">
        <color auto="1"/>
      </bottom>
      <diagonal/>
    </border>
    <border>
      <left style="medium">
        <color auto="1"/>
      </left>
      <right style="medium">
        <color auto="1"/>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right/>
      <top style="thin">
        <color auto="1"/>
      </top>
      <bottom/>
      <diagonal/>
    </border>
    <border>
      <left/>
      <right style="thin">
        <color auto="1"/>
      </right>
      <top style="thin">
        <color auto="1"/>
      </top>
      <bottom/>
      <diagonal/>
    </border>
    <border>
      <left style="medium">
        <color auto="1"/>
      </left>
      <right/>
      <top/>
      <bottom style="thin">
        <color auto="1"/>
      </bottom>
      <diagonal/>
    </border>
    <border>
      <left/>
      <right/>
      <top/>
      <bottom style="thin">
        <color auto="1"/>
      </bottom>
      <diagonal/>
    </border>
    <border>
      <left/>
      <right style="thin">
        <color indexed="64"/>
      </right>
      <top/>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0" fontId="1" fillId="0" borderId="0"/>
  </cellStyleXfs>
  <cellXfs count="115">
    <xf numFmtId="0" fontId="0" fillId="0" borderId="0" xfId="0"/>
    <xf numFmtId="0" fontId="4" fillId="0" borderId="0" xfId="0" applyFont="1"/>
    <xf numFmtId="0" fontId="3" fillId="0" borderId="0" xfId="0" applyFont="1" applyAlignment="1">
      <alignment horizontal="center" vertical="center" wrapText="1"/>
    </xf>
    <xf numFmtId="0" fontId="4" fillId="0" borderId="0" xfId="0" applyFont="1" applyAlignment="1">
      <alignment vertical="center"/>
    </xf>
    <xf numFmtId="0" fontId="4" fillId="6" borderId="0" xfId="0" applyFont="1" applyFill="1" applyAlignment="1">
      <alignment vertical="center"/>
    </xf>
    <xf numFmtId="41" fontId="4" fillId="0" borderId="0" xfId="0" applyNumberFormat="1" applyFont="1" applyAlignment="1">
      <alignment vertical="center"/>
    </xf>
    <xf numFmtId="0" fontId="6" fillId="0" borderId="2"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0" borderId="2" xfId="0" applyFont="1" applyBorder="1" applyAlignment="1">
      <alignment horizontal="left" vertical="center" wrapText="1"/>
    </xf>
    <xf numFmtId="0" fontId="6" fillId="3" borderId="1" xfId="0" applyFont="1" applyFill="1" applyBorder="1" applyAlignment="1">
      <alignment horizontal="center" vertical="center" wrapText="1"/>
    </xf>
    <xf numFmtId="0" fontId="6" fillId="3" borderId="3" xfId="0" applyFont="1" applyFill="1" applyBorder="1" applyAlignment="1">
      <alignment horizontal="center" vertical="center" wrapText="1"/>
    </xf>
    <xf numFmtId="14" fontId="6" fillId="0" borderId="1" xfId="0" applyNumberFormat="1" applyFont="1" applyBorder="1" applyAlignment="1">
      <alignment horizontal="center" vertical="center" wrapText="1"/>
    </xf>
    <xf numFmtId="49" fontId="6" fillId="2" borderId="1" xfId="0" applyNumberFormat="1" applyFont="1" applyFill="1" applyBorder="1" applyAlignment="1">
      <alignment horizontal="center" vertical="center" wrapText="1"/>
    </xf>
    <xf numFmtId="14" fontId="6" fillId="0" borderId="3"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9" fontId="6" fillId="0" borderId="1" xfId="0" applyNumberFormat="1" applyFont="1" applyBorder="1" applyAlignment="1">
      <alignment horizontal="center" vertical="center" wrapText="1"/>
    </xf>
    <xf numFmtId="9" fontId="6" fillId="2" borderId="1" xfId="0" applyNumberFormat="1" applyFont="1" applyFill="1" applyBorder="1" applyAlignment="1">
      <alignment horizontal="center" vertical="center"/>
    </xf>
    <xf numFmtId="9" fontId="6" fillId="0" borderId="1" xfId="0" applyNumberFormat="1" applyFont="1" applyBorder="1" applyAlignment="1">
      <alignment horizontal="center" vertical="center"/>
    </xf>
    <xf numFmtId="9" fontId="6" fillId="0" borderId="3" xfId="0" applyNumberFormat="1" applyFont="1" applyBorder="1" applyAlignment="1">
      <alignment horizontal="center" vertical="center"/>
    </xf>
    <xf numFmtId="3" fontId="5" fillId="0" borderId="1" xfId="0" applyNumberFormat="1" applyFont="1" applyBorder="1" applyAlignment="1">
      <alignment horizontal="right" vertical="center"/>
    </xf>
    <xf numFmtId="3" fontId="5" fillId="2" borderId="1" xfId="0" applyNumberFormat="1" applyFont="1" applyFill="1" applyBorder="1" applyAlignment="1">
      <alignment horizontal="right" vertical="center"/>
    </xf>
    <xf numFmtId="3" fontId="5" fillId="0" borderId="3" xfId="0" applyNumberFormat="1" applyFont="1" applyBorder="1" applyAlignment="1">
      <alignment horizontal="right" vertical="center"/>
    </xf>
    <xf numFmtId="2" fontId="5" fillId="0" borderId="1" xfId="1" applyNumberFormat="1" applyFont="1" applyFill="1" applyBorder="1" applyAlignment="1">
      <alignment horizontal="right" vertical="center"/>
    </xf>
    <xf numFmtId="2" fontId="5" fillId="2" borderId="1" xfId="1" applyNumberFormat="1" applyFont="1" applyFill="1" applyBorder="1" applyAlignment="1">
      <alignment horizontal="right" vertical="center"/>
    </xf>
    <xf numFmtId="2" fontId="5" fillId="0" borderId="3" xfId="1" applyNumberFormat="1" applyFont="1" applyFill="1" applyBorder="1" applyAlignment="1">
      <alignment horizontal="right" vertical="center"/>
    </xf>
    <xf numFmtId="0" fontId="6" fillId="4" borderId="2" xfId="0" applyFont="1" applyFill="1" applyBorder="1" applyAlignment="1">
      <alignment horizontal="left" vertical="center" wrapText="1"/>
    </xf>
    <xf numFmtId="164" fontId="6" fillId="4" borderId="1" xfId="0" applyNumberFormat="1" applyFont="1" applyFill="1" applyBorder="1" applyAlignment="1">
      <alignment horizontal="right" vertical="center"/>
    </xf>
    <xf numFmtId="164" fontId="6" fillId="4" borderId="3" xfId="0" applyNumberFormat="1" applyFont="1" applyFill="1" applyBorder="1" applyAlignment="1">
      <alignment horizontal="right" vertical="center"/>
    </xf>
    <xf numFmtId="0" fontId="6" fillId="6" borderId="2" xfId="0" applyFont="1" applyFill="1" applyBorder="1" applyAlignment="1">
      <alignment horizontal="center" vertical="center"/>
    </xf>
    <xf numFmtId="0" fontId="6" fillId="6" borderId="1" xfId="0" applyFont="1" applyFill="1" applyBorder="1" applyAlignment="1">
      <alignment horizontal="center" vertical="center"/>
    </xf>
    <xf numFmtId="0" fontId="6" fillId="6" borderId="3" xfId="0" applyFont="1" applyFill="1" applyBorder="1" applyAlignment="1">
      <alignment horizontal="center" vertical="center"/>
    </xf>
    <xf numFmtId="0" fontId="6" fillId="0" borderId="2" xfId="0" applyFont="1" applyBorder="1" applyAlignment="1">
      <alignment horizontal="left" vertical="center"/>
    </xf>
    <xf numFmtId="0" fontId="6" fillId="0" borderId="1" xfId="0" applyFont="1" applyBorder="1" applyAlignment="1">
      <alignment horizontal="left" vertical="center"/>
    </xf>
    <xf numFmtId="0" fontId="6" fillId="0" borderId="3" xfId="0" applyFont="1" applyBorder="1" applyAlignment="1">
      <alignment horizontal="left" vertical="center"/>
    </xf>
    <xf numFmtId="4" fontId="9" fillId="0" borderId="1" xfId="0" applyNumberFormat="1" applyFont="1" applyBorder="1" applyAlignment="1">
      <alignment horizontal="center" vertical="center"/>
    </xf>
    <xf numFmtId="4" fontId="10" fillId="2" borderId="1" xfId="0" applyNumberFormat="1" applyFont="1" applyFill="1" applyBorder="1" applyAlignment="1">
      <alignment horizontal="center" vertical="center"/>
    </xf>
    <xf numFmtId="4" fontId="9" fillId="0" borderId="3" xfId="0" applyNumberFormat="1" applyFont="1" applyBorder="1" applyAlignment="1">
      <alignment horizontal="center" vertical="center"/>
    </xf>
    <xf numFmtId="0" fontId="5" fillId="0" borderId="2" xfId="0" applyFont="1" applyBorder="1" applyAlignment="1">
      <alignment horizontal="left" vertical="center" wrapText="1"/>
    </xf>
    <xf numFmtId="4" fontId="10" fillId="0" borderId="1" xfId="0" applyNumberFormat="1" applyFont="1" applyBorder="1" applyAlignment="1">
      <alignment horizontal="center" vertical="center"/>
    </xf>
    <xf numFmtId="4" fontId="10" fillId="0" borderId="3" xfId="0" applyNumberFormat="1" applyFont="1" applyBorder="1" applyAlignment="1">
      <alignment horizontal="center" vertical="center"/>
    </xf>
    <xf numFmtId="4" fontId="6" fillId="0" borderId="1" xfId="0" applyNumberFormat="1" applyFont="1" applyBorder="1" applyAlignment="1">
      <alignment horizontal="center" vertical="center"/>
    </xf>
    <xf numFmtId="4" fontId="5" fillId="2" borderId="1" xfId="0" applyNumberFormat="1" applyFont="1" applyFill="1" applyBorder="1" applyAlignment="1">
      <alignment horizontal="center" vertical="center"/>
    </xf>
    <xf numFmtId="4" fontId="6" fillId="0" borderId="3" xfId="0" applyNumberFormat="1" applyFont="1" applyBorder="1" applyAlignment="1">
      <alignment horizontal="center" vertical="center"/>
    </xf>
    <xf numFmtId="10" fontId="5" fillId="0" borderId="1" xfId="1" applyNumberFormat="1" applyFont="1" applyFill="1" applyBorder="1" applyAlignment="1">
      <alignment horizontal="center" vertical="center"/>
    </xf>
    <xf numFmtId="10" fontId="5" fillId="2" borderId="1" xfId="1" applyNumberFormat="1" applyFont="1" applyFill="1" applyBorder="1" applyAlignment="1">
      <alignment horizontal="center" vertical="center"/>
    </xf>
    <xf numFmtId="3" fontId="5" fillId="0" borderId="1" xfId="0" applyNumberFormat="1" applyFont="1" applyBorder="1" applyAlignment="1">
      <alignment horizontal="center" vertical="center"/>
    </xf>
    <xf numFmtId="3" fontId="5" fillId="2" borderId="1" xfId="0" applyNumberFormat="1" applyFont="1" applyFill="1" applyBorder="1" applyAlignment="1">
      <alignment horizontal="center" vertical="center"/>
    </xf>
    <xf numFmtId="41" fontId="5" fillId="0" borderId="2" xfId="0" applyNumberFormat="1" applyFont="1" applyBorder="1" applyAlignment="1">
      <alignment horizontal="left" vertical="center" wrapText="1"/>
    </xf>
    <xf numFmtId="164" fontId="5" fillId="0" borderId="1" xfId="0" applyNumberFormat="1" applyFont="1" applyBorder="1" applyAlignment="1">
      <alignment horizontal="center" vertical="center"/>
    </xf>
    <xf numFmtId="164" fontId="5" fillId="2" borderId="1" xfId="0" applyNumberFormat="1" applyFont="1" applyFill="1" applyBorder="1" applyAlignment="1">
      <alignment horizontal="center" vertical="center"/>
    </xf>
    <xf numFmtId="164" fontId="5" fillId="0" borderId="3" xfId="0" applyNumberFormat="1" applyFont="1" applyBorder="1" applyAlignment="1">
      <alignment horizontal="center" vertical="center"/>
    </xf>
    <xf numFmtId="0" fontId="6" fillId="0" borderId="2" xfId="0" applyFont="1" applyBorder="1" applyAlignment="1">
      <alignment horizontal="center" vertical="center"/>
    </xf>
    <xf numFmtId="9" fontId="5" fillId="2" borderId="1" xfId="1" applyFont="1" applyFill="1" applyBorder="1" applyAlignment="1">
      <alignment horizontal="center" vertical="center"/>
    </xf>
    <xf numFmtId="9" fontId="5" fillId="0" borderId="1" xfId="1" applyFont="1" applyFill="1" applyBorder="1" applyAlignment="1">
      <alignment horizontal="center" vertical="center"/>
    </xf>
    <xf numFmtId="9" fontId="5" fillId="0" borderId="3" xfId="1" applyFont="1" applyFill="1" applyBorder="1" applyAlignment="1">
      <alignment horizontal="center" vertical="center"/>
    </xf>
    <xf numFmtId="0" fontId="6" fillId="7" borderId="1" xfId="0" applyFont="1" applyFill="1" applyBorder="1" applyAlignment="1">
      <alignment horizontal="center" vertical="center"/>
    </xf>
    <xf numFmtId="0" fontId="6" fillId="7" borderId="3" xfId="0" applyFont="1" applyFill="1" applyBorder="1" applyAlignment="1">
      <alignment horizontal="center" vertical="center"/>
    </xf>
    <xf numFmtId="0" fontId="5" fillId="0" borderId="0" xfId="0" applyFont="1" applyAlignment="1">
      <alignment vertical="center"/>
    </xf>
    <xf numFmtId="0" fontId="12" fillId="0" borderId="0" xfId="0" applyFont="1" applyAlignment="1">
      <alignment horizontal="center" vertical="center"/>
    </xf>
    <xf numFmtId="0" fontId="6" fillId="0" borderId="0" xfId="0" applyFont="1" applyAlignment="1">
      <alignment vertical="center"/>
    </xf>
    <xf numFmtId="0" fontId="5" fillId="0" borderId="0" xfId="0" applyFont="1"/>
    <xf numFmtId="0" fontId="5" fillId="0" borderId="0" xfId="0" applyFont="1" applyAlignment="1">
      <alignment wrapText="1"/>
    </xf>
    <xf numFmtId="0" fontId="12" fillId="0" borderId="4" xfId="0" applyFont="1" applyBorder="1" applyAlignment="1">
      <alignment horizontal="center" vertical="center"/>
    </xf>
    <xf numFmtId="0" fontId="12" fillId="0" borderId="5" xfId="0" applyFont="1" applyBorder="1" applyAlignment="1">
      <alignment horizontal="center" wrapText="1"/>
    </xf>
    <xf numFmtId="0" fontId="12" fillId="0" borderId="8" xfId="0" applyFont="1" applyBorder="1" applyAlignment="1">
      <alignment horizontal="center" vertical="center"/>
    </xf>
    <xf numFmtId="0" fontId="5" fillId="0" borderId="6" xfId="0" applyFont="1" applyBorder="1" applyAlignment="1">
      <alignment wrapText="1"/>
    </xf>
    <xf numFmtId="0" fontId="12" fillId="0" borderId="9" xfId="0" applyFont="1" applyBorder="1" applyAlignment="1">
      <alignment horizontal="center" vertical="center"/>
    </xf>
    <xf numFmtId="0" fontId="5" fillId="0" borderId="7" xfId="0" applyFont="1" applyBorder="1" applyAlignment="1">
      <alignment wrapText="1"/>
    </xf>
    <xf numFmtId="0" fontId="6" fillId="5" borderId="1" xfId="0" applyFont="1" applyFill="1" applyBorder="1" applyAlignment="1">
      <alignment horizontal="center" vertical="center"/>
    </xf>
    <xf numFmtId="0" fontId="5" fillId="0" borderId="19" xfId="0" applyFont="1" applyBorder="1" applyAlignment="1">
      <alignment vertical="center"/>
    </xf>
    <xf numFmtId="0" fontId="4" fillId="0" borderId="20" xfId="0" applyFont="1" applyBorder="1"/>
    <xf numFmtId="0" fontId="4" fillId="0" borderId="23" xfId="0" applyFont="1" applyBorder="1"/>
    <xf numFmtId="0" fontId="4" fillId="0" borderId="16" xfId="0" applyFont="1" applyBorder="1"/>
    <xf numFmtId="0" fontId="12" fillId="0" borderId="0" xfId="0" applyFont="1" applyAlignment="1">
      <alignment vertical="center"/>
    </xf>
    <xf numFmtId="0" fontId="5" fillId="0" borderId="13" xfId="0" applyFont="1" applyBorder="1" applyAlignment="1">
      <alignment vertical="center"/>
    </xf>
    <xf numFmtId="0" fontId="4" fillId="0" borderId="19" xfId="0" applyFont="1" applyBorder="1"/>
    <xf numFmtId="0" fontId="5" fillId="0" borderId="14" xfId="0" applyFont="1" applyBorder="1" applyAlignment="1">
      <alignment vertical="center"/>
    </xf>
    <xf numFmtId="0" fontId="12" fillId="0" borderId="14" xfId="0" applyFont="1" applyBorder="1" applyAlignment="1">
      <alignment vertical="center"/>
    </xf>
    <xf numFmtId="0" fontId="6" fillId="0" borderId="14" xfId="0" applyFont="1" applyBorder="1" applyAlignment="1">
      <alignment vertical="center"/>
    </xf>
    <xf numFmtId="0" fontId="6" fillId="0" borderId="15" xfId="0" applyFont="1" applyBorder="1" applyAlignment="1">
      <alignment vertical="top"/>
    </xf>
    <xf numFmtId="0" fontId="6" fillId="0" borderId="22" xfId="0" applyFont="1" applyBorder="1" applyAlignment="1">
      <alignment vertical="top"/>
    </xf>
    <xf numFmtId="0" fontId="4" fillId="0" borderId="22" xfId="0" applyFont="1" applyBorder="1"/>
    <xf numFmtId="0" fontId="13" fillId="0" borderId="14" xfId="0" applyFont="1" applyBorder="1" applyAlignment="1">
      <alignment horizontal="center" vertical="center" wrapText="1"/>
    </xf>
    <xf numFmtId="0" fontId="13" fillId="0" borderId="0" xfId="0" applyFont="1" applyAlignment="1">
      <alignment horizontal="center" vertical="center" wrapText="1"/>
    </xf>
    <xf numFmtId="0" fontId="13" fillId="0" borderId="2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wrapText="1"/>
    </xf>
    <xf numFmtId="0" fontId="5" fillId="0" borderId="23"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6"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5" borderId="1" xfId="0" applyFont="1" applyFill="1" applyBorder="1" applyAlignment="1">
      <alignment horizontal="center" vertical="center"/>
    </xf>
    <xf numFmtId="0" fontId="6" fillId="5" borderId="2" xfId="0" applyFont="1" applyFill="1" applyBorder="1" applyAlignment="1">
      <alignment horizontal="center" vertical="center"/>
    </xf>
    <xf numFmtId="0" fontId="6" fillId="5" borderId="3" xfId="0" applyFont="1" applyFill="1" applyBorder="1" applyAlignment="1">
      <alignment horizontal="center" vertical="center"/>
    </xf>
    <xf numFmtId="0" fontId="4" fillId="0" borderId="1" xfId="0" applyFont="1" applyBorder="1" applyAlignment="1">
      <alignment horizontal="center"/>
    </xf>
    <xf numFmtId="0" fontId="4" fillId="0" borderId="24" xfId="0" applyFont="1" applyBorder="1" applyAlignment="1">
      <alignment horizontal="center"/>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17" xfId="0" applyFont="1" applyBorder="1" applyAlignment="1">
      <alignment horizontal="center" vertical="center" wrapText="1"/>
    </xf>
    <xf numFmtId="0" fontId="14" fillId="0" borderId="1" xfId="0" applyFont="1" applyBorder="1" applyAlignment="1">
      <alignment horizontal="left" vertical="center" wrapText="1"/>
    </xf>
    <xf numFmtId="0" fontId="14" fillId="0" borderId="24" xfId="0" applyFont="1" applyBorder="1" applyAlignment="1">
      <alignment horizontal="left" vertical="center" wrapText="1"/>
    </xf>
    <xf numFmtId="0" fontId="12" fillId="0" borderId="10" xfId="0" applyFont="1" applyBorder="1" applyAlignment="1">
      <alignment horizontal="center" vertical="center"/>
    </xf>
    <xf numFmtId="0" fontId="12" fillId="0" borderId="12" xfId="0" applyFont="1" applyBorder="1" applyAlignment="1">
      <alignment horizontal="center" vertical="center"/>
    </xf>
    <xf numFmtId="0" fontId="12" fillId="0" borderId="11" xfId="0" applyFont="1" applyBorder="1" applyAlignment="1">
      <alignment horizontal="center" vertical="center"/>
    </xf>
    <xf numFmtId="0" fontId="7" fillId="7" borderId="1" xfId="0" applyFont="1" applyFill="1" applyBorder="1" applyAlignment="1">
      <alignment horizontal="center" vertical="center"/>
    </xf>
  </cellXfs>
  <cellStyles count="4">
    <cellStyle name="Millares 2" xfId="2" xr:uid="{00000000-0005-0000-0000-000000000000}"/>
    <cellStyle name="Normal" xfId="0" builtinId="0"/>
    <cellStyle name="Normal 2" xfId="3" xr:uid="{00000000-0005-0000-0000-000002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174120</xdr:colOff>
      <xdr:row>2</xdr:row>
      <xdr:rowOff>130025</xdr:rowOff>
    </xdr:from>
    <xdr:to>
      <xdr:col>1</xdr:col>
      <xdr:colOff>2604630</xdr:colOff>
      <xdr:row>5</xdr:row>
      <xdr:rowOff>139096</xdr:rowOff>
    </xdr:to>
    <xdr:pic>
      <xdr:nvPicPr>
        <xdr:cNvPr id="2" name="3 Imagen" descr="Logo de SDG.jpg">
          <a:extLst>
            <a:ext uri="{FF2B5EF4-FFF2-40B4-BE49-F238E27FC236}">
              <a16:creationId xmlns:a16="http://schemas.microsoft.com/office/drawing/2014/main" id="{6FC862AD-74F8-4C34-9CD2-05DDA8476841}"/>
            </a:ext>
          </a:extLst>
        </xdr:cNvPr>
        <xdr:cNvPicPr>
          <a:picLocks noChangeAspect="1"/>
        </xdr:cNvPicPr>
      </xdr:nvPicPr>
      <xdr:blipFill>
        <a:blip xmlns:r="http://schemas.openxmlformats.org/officeDocument/2006/relationships" r:embed="rId1" cstate="print"/>
        <a:srcRect/>
        <a:stretch>
          <a:fillRect/>
        </a:stretch>
      </xdr:blipFill>
      <xdr:spPr bwMode="auto">
        <a:xfrm>
          <a:off x="269370" y="625325"/>
          <a:ext cx="2430510" cy="752021"/>
        </a:xfrm>
        <a:prstGeom prst="rect">
          <a:avLst/>
        </a:prstGeom>
        <a:noFill/>
        <a:ln w="9525">
          <a:noFill/>
          <a:miter lim="800000"/>
          <a:headEnd/>
          <a:tailEnd/>
        </a:ln>
      </xdr:spPr>
    </xdr:pic>
    <xdr:clientData/>
  </xdr:twoCellAnchor>
  <xdr:twoCellAnchor editAs="oneCell">
    <xdr:from>
      <xdr:col>1</xdr:col>
      <xdr:colOff>65566</xdr:colOff>
      <xdr:row>48</xdr:row>
      <xdr:rowOff>13408</xdr:rowOff>
    </xdr:from>
    <xdr:to>
      <xdr:col>1</xdr:col>
      <xdr:colOff>1569881</xdr:colOff>
      <xdr:row>51</xdr:row>
      <xdr:rowOff>97657</xdr:rowOff>
    </xdr:to>
    <xdr:pic>
      <xdr:nvPicPr>
        <xdr:cNvPr id="3" name="Imagen 2">
          <a:extLst>
            <a:ext uri="{FF2B5EF4-FFF2-40B4-BE49-F238E27FC236}">
              <a16:creationId xmlns:a16="http://schemas.microsoft.com/office/drawing/2014/main" id="{88A13270-612C-40DA-9628-31DC26522DDD}"/>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sharpenSoften amount="50000"/>
                  </a14:imgEffect>
                </a14:imgLayer>
              </a14:imgProps>
            </a:ext>
            <a:ext uri="{28A0092B-C50C-407E-A947-70E740481C1C}">
              <a14:useLocalDpi xmlns:a14="http://schemas.microsoft.com/office/drawing/2010/main" val="0"/>
            </a:ext>
          </a:extLst>
        </a:blip>
        <a:stretch>
          <a:fillRect/>
        </a:stretch>
      </xdr:blipFill>
      <xdr:spPr>
        <a:xfrm>
          <a:off x="159474" y="16863267"/>
          <a:ext cx="1504315" cy="6477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64388-3CF9-43C4-9E8F-55EF45622CA8}">
  <sheetPr>
    <pageSetUpPr fitToPage="1"/>
  </sheetPr>
  <dimension ref="A1:O56"/>
  <sheetViews>
    <sheetView showGridLines="0" tabSelected="1" topLeftCell="C4" zoomScale="71" zoomScaleNormal="71" zoomScalePageLayoutView="90" workbookViewId="0">
      <selection activeCell="I10" sqref="I10"/>
    </sheetView>
  </sheetViews>
  <sheetFormatPr baseColWidth="10" defaultColWidth="18.7109375" defaultRowHeight="15" x14ac:dyDescent="0.25"/>
  <cols>
    <col min="1" max="1" width="1.42578125" style="1" customWidth="1"/>
    <col min="2" max="2" width="43.42578125" style="1" customWidth="1"/>
    <col min="3" max="10" width="20.7109375" style="1" customWidth="1"/>
    <col min="11" max="16384" width="18.7109375" style="1"/>
  </cols>
  <sheetData>
    <row r="1" spans="1:15" ht="20.100000000000001" customHeight="1" x14ac:dyDescent="0.25">
      <c r="B1" s="104"/>
      <c r="C1" s="86" t="s">
        <v>66</v>
      </c>
      <c r="D1" s="87"/>
      <c r="E1" s="87"/>
      <c r="F1" s="87"/>
      <c r="G1" s="87"/>
      <c r="H1" s="87"/>
      <c r="I1" s="87"/>
      <c r="J1" s="87"/>
      <c r="K1" s="87"/>
      <c r="L1" s="87"/>
      <c r="M1" s="88"/>
      <c r="N1" s="109" t="s">
        <v>67</v>
      </c>
      <c r="O1" s="109"/>
    </row>
    <row r="2" spans="1:15" ht="20.100000000000001" customHeight="1" x14ac:dyDescent="0.25">
      <c r="B2" s="104"/>
      <c r="C2" s="86"/>
      <c r="D2" s="87"/>
      <c r="E2" s="87"/>
      <c r="F2" s="87"/>
      <c r="G2" s="87"/>
      <c r="H2" s="87"/>
      <c r="I2" s="87"/>
      <c r="J2" s="87"/>
      <c r="K2" s="87"/>
      <c r="L2" s="87"/>
      <c r="M2" s="88"/>
      <c r="N2" s="109"/>
      <c r="O2" s="109"/>
    </row>
    <row r="3" spans="1:15" ht="20.100000000000001" customHeight="1" x14ac:dyDescent="0.25">
      <c r="B3" s="104"/>
      <c r="C3" s="86"/>
      <c r="D3" s="87"/>
      <c r="E3" s="87"/>
      <c r="F3" s="87"/>
      <c r="G3" s="87"/>
      <c r="H3" s="87"/>
      <c r="I3" s="87"/>
      <c r="J3" s="87"/>
      <c r="K3" s="87"/>
      <c r="L3" s="87"/>
      <c r="M3" s="88"/>
      <c r="N3" s="109"/>
      <c r="O3" s="109"/>
    </row>
    <row r="4" spans="1:15" ht="20.100000000000001" customHeight="1" x14ac:dyDescent="0.25">
      <c r="B4" s="104"/>
      <c r="C4" s="86"/>
      <c r="D4" s="87"/>
      <c r="E4" s="87"/>
      <c r="F4" s="87"/>
      <c r="G4" s="87"/>
      <c r="H4" s="87"/>
      <c r="I4" s="87"/>
      <c r="J4" s="87"/>
      <c r="K4" s="87"/>
      <c r="L4" s="87"/>
      <c r="M4" s="88"/>
      <c r="N4" s="109"/>
      <c r="O4" s="109"/>
    </row>
    <row r="5" spans="1:15" ht="20.100000000000001" customHeight="1" x14ac:dyDescent="0.25">
      <c r="B5" s="104"/>
      <c r="C5" s="86"/>
      <c r="D5" s="87"/>
      <c r="E5" s="87"/>
      <c r="F5" s="87"/>
      <c r="G5" s="87"/>
      <c r="H5" s="87"/>
      <c r="I5" s="87"/>
      <c r="J5" s="87"/>
      <c r="K5" s="87"/>
      <c r="L5" s="87"/>
      <c r="M5" s="88"/>
      <c r="N5" s="109"/>
      <c r="O5" s="109"/>
    </row>
    <row r="6" spans="1:15" ht="20.100000000000001" customHeight="1" x14ac:dyDescent="0.25">
      <c r="B6" s="104"/>
      <c r="C6" s="86"/>
      <c r="D6" s="87"/>
      <c r="E6" s="87"/>
      <c r="F6" s="87"/>
      <c r="G6" s="87"/>
      <c r="H6" s="87"/>
      <c r="I6" s="87"/>
      <c r="J6" s="87"/>
      <c r="K6" s="87"/>
      <c r="L6" s="87"/>
      <c r="M6" s="88"/>
      <c r="N6" s="109"/>
      <c r="O6" s="109"/>
    </row>
    <row r="7" spans="1:15" ht="20.100000000000001" customHeight="1" x14ac:dyDescent="0.25">
      <c r="B7" s="104"/>
      <c r="C7" s="86"/>
      <c r="D7" s="87"/>
      <c r="E7" s="87"/>
      <c r="F7" s="87"/>
      <c r="G7" s="87"/>
      <c r="H7" s="87"/>
      <c r="I7" s="87"/>
      <c r="J7" s="87"/>
      <c r="K7" s="87"/>
      <c r="L7" s="87"/>
      <c r="M7" s="88"/>
      <c r="N7" s="109"/>
      <c r="O7" s="109"/>
    </row>
    <row r="8" spans="1:15" ht="20.100000000000001" customHeight="1" x14ac:dyDescent="0.25">
      <c r="B8" s="105"/>
      <c r="C8" s="86"/>
      <c r="D8" s="87"/>
      <c r="E8" s="87"/>
      <c r="F8" s="87"/>
      <c r="G8" s="87"/>
      <c r="H8" s="87"/>
      <c r="I8" s="87"/>
      <c r="J8" s="87"/>
      <c r="K8" s="87"/>
      <c r="L8" s="87"/>
      <c r="M8" s="88"/>
      <c r="N8" s="110"/>
      <c r="O8" s="110"/>
    </row>
    <row r="9" spans="1:15" ht="60" customHeight="1" x14ac:dyDescent="0.25">
      <c r="B9" s="106" t="s">
        <v>73</v>
      </c>
      <c r="C9" s="107"/>
      <c r="D9" s="107"/>
      <c r="E9" s="107"/>
      <c r="F9" s="107"/>
      <c r="G9" s="107"/>
      <c r="H9" s="107"/>
      <c r="I9" s="107"/>
      <c r="J9" s="107"/>
      <c r="K9" s="107"/>
      <c r="L9" s="107"/>
      <c r="M9" s="107"/>
      <c r="N9" s="107"/>
      <c r="O9" s="108"/>
    </row>
    <row r="10" spans="1:15" ht="110.25" x14ac:dyDescent="0.25">
      <c r="B10" s="6" t="s">
        <v>0</v>
      </c>
      <c r="C10" s="7" t="s">
        <v>77</v>
      </c>
      <c r="D10" s="7" t="s">
        <v>78</v>
      </c>
      <c r="E10" s="7" t="s">
        <v>79</v>
      </c>
      <c r="F10" s="7" t="s">
        <v>88</v>
      </c>
      <c r="G10" s="7" t="s">
        <v>80</v>
      </c>
      <c r="H10" s="7" t="s">
        <v>81</v>
      </c>
      <c r="I10" s="7" t="s">
        <v>82</v>
      </c>
      <c r="J10" s="8" t="s">
        <v>89</v>
      </c>
      <c r="K10" s="7" t="s">
        <v>83</v>
      </c>
      <c r="L10" s="7" t="s">
        <v>85</v>
      </c>
      <c r="M10" s="7" t="s">
        <v>86</v>
      </c>
      <c r="N10" s="7" t="s">
        <v>87</v>
      </c>
      <c r="O10" s="7" t="s">
        <v>90</v>
      </c>
    </row>
    <row r="11" spans="1:15" s="3" customFormat="1" ht="24" customHeight="1" x14ac:dyDescent="0.2">
      <c r="A11" s="2"/>
      <c r="B11" s="9"/>
      <c r="C11" s="10">
        <v>1</v>
      </c>
      <c r="D11" s="7" t="s">
        <v>1</v>
      </c>
      <c r="E11" s="7" t="s">
        <v>2</v>
      </c>
      <c r="F11" s="10">
        <v>2</v>
      </c>
      <c r="G11" s="7" t="s">
        <v>1</v>
      </c>
      <c r="H11" s="7" t="s">
        <v>2</v>
      </c>
      <c r="I11" s="7" t="s">
        <v>3</v>
      </c>
      <c r="J11" s="11">
        <v>3</v>
      </c>
      <c r="K11" s="10">
        <v>4</v>
      </c>
      <c r="L11" s="10">
        <v>5</v>
      </c>
      <c r="M11" s="7" t="s">
        <v>1</v>
      </c>
      <c r="N11" s="7" t="s">
        <v>2</v>
      </c>
      <c r="O11" s="10">
        <v>6</v>
      </c>
    </row>
    <row r="12" spans="1:15" s="3" customFormat="1" ht="126" x14ac:dyDescent="0.2">
      <c r="B12" s="9" t="s">
        <v>92</v>
      </c>
      <c r="C12" s="12" t="s">
        <v>93</v>
      </c>
      <c r="D12" s="13" t="s">
        <v>71</v>
      </c>
      <c r="E12" s="13" t="s">
        <v>71</v>
      </c>
      <c r="F12" s="12" t="s">
        <v>84</v>
      </c>
      <c r="G12" s="13" t="s">
        <v>71</v>
      </c>
      <c r="H12" s="13" t="s">
        <v>71</v>
      </c>
      <c r="I12" s="13" t="s">
        <v>71</v>
      </c>
      <c r="J12" s="14" t="s">
        <v>84</v>
      </c>
      <c r="K12" s="12" t="s">
        <v>84</v>
      </c>
      <c r="L12" s="12" t="s">
        <v>84</v>
      </c>
      <c r="M12" s="13" t="s">
        <v>71</v>
      </c>
      <c r="N12" s="13" t="s">
        <v>71</v>
      </c>
      <c r="O12" s="12" t="s">
        <v>84</v>
      </c>
    </row>
    <row r="13" spans="1:15" s="3" customFormat="1" ht="24" customHeight="1" x14ac:dyDescent="0.2">
      <c r="B13" s="9" t="s">
        <v>4</v>
      </c>
      <c r="C13" s="15"/>
      <c r="D13" s="16" t="s">
        <v>5</v>
      </c>
      <c r="E13" s="16" t="s">
        <v>5</v>
      </c>
      <c r="F13" s="17" t="s">
        <v>5</v>
      </c>
      <c r="G13" s="16" t="s">
        <v>5</v>
      </c>
      <c r="H13" s="16" t="s">
        <v>5</v>
      </c>
      <c r="I13" s="16" t="s">
        <v>5</v>
      </c>
      <c r="J13" s="18" t="s">
        <v>5</v>
      </c>
      <c r="K13" s="15" t="s">
        <v>5</v>
      </c>
      <c r="L13" s="15" t="s">
        <v>5</v>
      </c>
      <c r="M13" s="16" t="s">
        <v>5</v>
      </c>
      <c r="N13" s="16" t="s">
        <v>5</v>
      </c>
      <c r="O13" s="17" t="s">
        <v>5</v>
      </c>
    </row>
    <row r="14" spans="1:15" s="3" customFormat="1" ht="31.5" x14ac:dyDescent="0.2">
      <c r="B14" s="9" t="s">
        <v>6</v>
      </c>
      <c r="C14" s="19"/>
      <c r="D14" s="20">
        <v>0.9</v>
      </c>
      <c r="E14" s="20">
        <v>0.1</v>
      </c>
      <c r="F14" s="21">
        <f>+D14+E14</f>
        <v>1</v>
      </c>
      <c r="G14" s="20">
        <v>0.1</v>
      </c>
      <c r="H14" s="20">
        <v>0.8</v>
      </c>
      <c r="I14" s="20">
        <v>0.1</v>
      </c>
      <c r="J14" s="22">
        <f>+G14+H14+I14</f>
        <v>1</v>
      </c>
      <c r="K14" s="19">
        <v>1</v>
      </c>
      <c r="L14" s="19">
        <v>1</v>
      </c>
      <c r="M14" s="20">
        <v>0.9</v>
      </c>
      <c r="N14" s="20">
        <v>0.1</v>
      </c>
      <c r="O14" s="21">
        <f>+M14+N14</f>
        <v>1</v>
      </c>
    </row>
    <row r="15" spans="1:15" s="3" customFormat="1" ht="26.25" customHeight="1" x14ac:dyDescent="0.2">
      <c r="B15" s="9" t="s">
        <v>7</v>
      </c>
      <c r="C15" s="23"/>
      <c r="D15" s="24">
        <v>2800405498</v>
      </c>
      <c r="E15" s="24">
        <v>73330628</v>
      </c>
      <c r="F15" s="23">
        <f>(D15*$D$14)+(E15*$E$14)</f>
        <v>2527698011.0000005</v>
      </c>
      <c r="G15" s="24">
        <v>1993868900</v>
      </c>
      <c r="H15" s="24">
        <v>1234923000</v>
      </c>
      <c r="I15" s="24">
        <v>125610000</v>
      </c>
      <c r="J15" s="25">
        <f>(G15*$G$14)+(H15*$H$14)+(I15*$I$14)</f>
        <v>1199886290</v>
      </c>
      <c r="K15" s="23">
        <v>244339142</v>
      </c>
      <c r="L15" s="23">
        <v>1260549950</v>
      </c>
      <c r="M15" s="24">
        <v>33647099000</v>
      </c>
      <c r="N15" s="24">
        <v>121842000</v>
      </c>
      <c r="O15" s="23">
        <f>(M15*$D$14)+(N15*$E$14)</f>
        <v>30294573300</v>
      </c>
    </row>
    <row r="16" spans="1:15" s="3" customFormat="1" ht="26.25" customHeight="1" x14ac:dyDescent="0.2">
      <c r="B16" s="9" t="s">
        <v>8</v>
      </c>
      <c r="C16" s="23"/>
      <c r="D16" s="24">
        <v>162341000</v>
      </c>
      <c r="E16" s="24">
        <v>2835000</v>
      </c>
      <c r="F16" s="23">
        <f>(D16*$D$14)+(E16*$E$14)</f>
        <v>146390400</v>
      </c>
      <c r="G16" s="24">
        <v>27800567</v>
      </c>
      <c r="H16" s="24">
        <v>7398123</v>
      </c>
      <c r="I16" s="24">
        <v>25990000</v>
      </c>
      <c r="J16" s="25">
        <f>(G16*$G$14)+(H16*$H$14)+(I16*$I$14)</f>
        <v>11297555.100000001</v>
      </c>
      <c r="K16" s="23">
        <v>48166627</v>
      </c>
      <c r="L16" s="23">
        <v>454450039</v>
      </c>
      <c r="M16" s="24">
        <v>10743761000</v>
      </c>
      <c r="N16" s="24">
        <v>870000</v>
      </c>
      <c r="O16" s="23">
        <f>(M16*$D$14)+(N16*$E$14)</f>
        <v>9669471900</v>
      </c>
    </row>
    <row r="17" spans="1:15" s="3" customFormat="1" ht="26.25" customHeight="1" x14ac:dyDescent="0.2">
      <c r="B17" s="9" t="s">
        <v>9</v>
      </c>
      <c r="C17" s="23"/>
      <c r="D17" s="24">
        <v>3012103909</v>
      </c>
      <c r="E17" s="24">
        <v>73330628</v>
      </c>
      <c r="F17" s="23">
        <f>(D17*$D$14)+(E17*$E$14)</f>
        <v>2718226580.9000001</v>
      </c>
      <c r="G17" s="24">
        <v>2509654000</v>
      </c>
      <c r="H17" s="24">
        <v>1385971223</v>
      </c>
      <c r="I17" s="24">
        <v>339130000</v>
      </c>
      <c r="J17" s="25">
        <f>(G17*$G$14)+(H17*$H$14)+(I17*$I$14)</f>
        <v>1393655378.4000001</v>
      </c>
      <c r="K17" s="23">
        <v>258449300</v>
      </c>
      <c r="L17" s="23">
        <v>1443519635</v>
      </c>
      <c r="M17" s="24">
        <v>45923500000</v>
      </c>
      <c r="N17" s="24">
        <v>121842000</v>
      </c>
      <c r="O17" s="23">
        <f>(M17*$D$14)+(N17*$E$14)</f>
        <v>41343334200</v>
      </c>
    </row>
    <row r="18" spans="1:15" s="3" customFormat="1" ht="26.25" customHeight="1" x14ac:dyDescent="0.2">
      <c r="B18" s="9" t="s">
        <v>10</v>
      </c>
      <c r="C18" s="23"/>
      <c r="D18" s="24">
        <v>805717685</v>
      </c>
      <c r="E18" s="24">
        <v>18065292</v>
      </c>
      <c r="F18" s="23">
        <f>(D18*$D$14)+(E18*$E$14)</f>
        <v>726952445.70000005</v>
      </c>
      <c r="G18" s="24">
        <v>27800567</v>
      </c>
      <c r="H18" s="24">
        <v>7398123</v>
      </c>
      <c r="I18" s="24">
        <v>25990000</v>
      </c>
      <c r="J18" s="25">
        <f>(G18*$G$14)+(H18*$H$14)+(I18*$I$14)</f>
        <v>11297555.100000001</v>
      </c>
      <c r="K18" s="23">
        <v>48166627</v>
      </c>
      <c r="L18" s="23">
        <v>789972426</v>
      </c>
      <c r="M18" s="24">
        <v>15148056000</v>
      </c>
      <c r="N18" s="24">
        <v>870000</v>
      </c>
      <c r="O18" s="23">
        <f>(M18*$D$14)+(N18*$E$14)</f>
        <v>13633337400</v>
      </c>
    </row>
    <row r="19" spans="1:15" s="3" customFormat="1" ht="26.25" customHeight="1" x14ac:dyDescent="0.2">
      <c r="B19" s="9" t="s">
        <v>11</v>
      </c>
      <c r="C19" s="23"/>
      <c r="D19" s="24">
        <v>2206386224</v>
      </c>
      <c r="E19" s="24">
        <v>55265336</v>
      </c>
      <c r="F19" s="23">
        <f>(D19*$D$14)+(E19*$E$14)</f>
        <v>1991274135.2</v>
      </c>
      <c r="G19" s="24">
        <v>2481853433</v>
      </c>
      <c r="H19" s="24">
        <v>1378573100</v>
      </c>
      <c r="I19" s="24">
        <v>313140000</v>
      </c>
      <c r="J19" s="25">
        <f>(G19*$G$14)+(H19*$H$14)+(I19*$I$14)</f>
        <v>1382357823.3</v>
      </c>
      <c r="K19" s="23">
        <v>210282673</v>
      </c>
      <c r="L19" s="23">
        <v>653547209</v>
      </c>
      <c r="M19" s="24">
        <v>30775444000</v>
      </c>
      <c r="N19" s="24">
        <v>120972000</v>
      </c>
      <c r="O19" s="23">
        <f>(M19*$D$14)+(N19*$E$14)</f>
        <v>27709996800</v>
      </c>
    </row>
    <row r="20" spans="1:15" s="3" customFormat="1" ht="36.75" customHeight="1" x14ac:dyDescent="0.2">
      <c r="B20" s="9" t="s">
        <v>12</v>
      </c>
      <c r="C20" s="23"/>
      <c r="D20" s="24">
        <f t="shared" ref="C20:G20" si="0">+D17-D18-D19</f>
        <v>0</v>
      </c>
      <c r="E20" s="24">
        <f t="shared" si="0"/>
        <v>0</v>
      </c>
      <c r="F20" s="23">
        <f t="shared" si="0"/>
        <v>0</v>
      </c>
      <c r="G20" s="24">
        <f t="shared" si="0"/>
        <v>0</v>
      </c>
      <c r="H20" s="24">
        <f>+H17-H18-H19</f>
        <v>0</v>
      </c>
      <c r="I20" s="24">
        <f>+I17-I18-I19</f>
        <v>0</v>
      </c>
      <c r="J20" s="25">
        <f>+J17-J18-J19</f>
        <v>0</v>
      </c>
      <c r="K20" s="23">
        <f t="shared" ref="K20" si="1">+K17-K18-K19</f>
        <v>0</v>
      </c>
      <c r="L20" s="23">
        <f t="shared" ref="L20:O20" si="2">+L17-L18-L19</f>
        <v>0</v>
      </c>
      <c r="M20" s="24">
        <f t="shared" si="2"/>
        <v>0</v>
      </c>
      <c r="N20" s="24">
        <f t="shared" si="2"/>
        <v>0</v>
      </c>
      <c r="O20" s="23">
        <f t="shared" si="2"/>
        <v>0</v>
      </c>
    </row>
    <row r="21" spans="1:15" s="3" customFormat="1" ht="26.25" customHeight="1" x14ac:dyDescent="0.2">
      <c r="B21" s="9" t="s">
        <v>13</v>
      </c>
      <c r="C21" s="23"/>
      <c r="D21" s="24">
        <v>503024851</v>
      </c>
      <c r="E21" s="24">
        <v>28112877</v>
      </c>
      <c r="F21" s="23">
        <f>(D21*$D$14)+(E21*$E$14)</f>
        <v>455533653.60000002</v>
      </c>
      <c r="G21" s="24">
        <v>2103612000</v>
      </c>
      <c r="H21" s="24">
        <v>1011765000</v>
      </c>
      <c r="I21" s="24">
        <v>226637000</v>
      </c>
      <c r="J21" s="25">
        <f>(G21*$G$14)+(H21*$H$14)+(I21*$I$14)</f>
        <v>1042436900</v>
      </c>
      <c r="K21" s="23">
        <v>5104702</v>
      </c>
      <c r="L21" s="23">
        <v>59629177</v>
      </c>
      <c r="M21" s="24">
        <v>1685754000</v>
      </c>
      <c r="N21" s="24">
        <v>19948000</v>
      </c>
      <c r="O21" s="23">
        <f>(M21*$D$14)+(N21*$E$14)</f>
        <v>1519173400</v>
      </c>
    </row>
    <row r="22" spans="1:15" s="3" customFormat="1" ht="26.25" customHeight="1" x14ac:dyDescent="0.2">
      <c r="B22" s="9" t="s">
        <v>14</v>
      </c>
      <c r="C22" s="23"/>
      <c r="D22" s="24">
        <v>20609220</v>
      </c>
      <c r="E22" s="24">
        <v>12541</v>
      </c>
      <c r="F22" s="23">
        <f>(D22*$D$14)+(E22*$E$14)</f>
        <v>18549552.100000001</v>
      </c>
      <c r="G22" s="24">
        <v>0</v>
      </c>
      <c r="H22" s="24">
        <v>0</v>
      </c>
      <c r="I22" s="24">
        <v>1561000</v>
      </c>
      <c r="J22" s="25">
        <f>(G22*$G$14)+(H22*$H$14)+(I22*$I$14)</f>
        <v>156100</v>
      </c>
      <c r="K22" s="23">
        <v>725115</v>
      </c>
      <c r="L22" s="23">
        <v>0</v>
      </c>
      <c r="M22" s="24">
        <v>198633000</v>
      </c>
      <c r="N22" s="24">
        <v>0</v>
      </c>
      <c r="O22" s="23">
        <f>(M22*$D$14)+(N22*$E$14)</f>
        <v>178769700</v>
      </c>
    </row>
    <row r="23" spans="1:15" s="3" customFormat="1" ht="58.5" customHeight="1" x14ac:dyDescent="0.2">
      <c r="B23" s="9" t="s">
        <v>15</v>
      </c>
      <c r="C23" s="26"/>
      <c r="D23" s="27">
        <f>(D21/D19)*$D$14</f>
        <v>0.20518727001442699</v>
      </c>
      <c r="E23" s="27">
        <f>(E21/E19)*$E$14</f>
        <v>5.0868915372196427E-2</v>
      </c>
      <c r="F23" s="26">
        <f>((D21*$D$14)+(E21*$E$14)/(D19*$D$14)+(E19*$E$14))</f>
        <v>458248899.50141579</v>
      </c>
      <c r="G23" s="27">
        <f>(G21/G19)*$G$14</f>
        <v>8.4759719169121464E-2</v>
      </c>
      <c r="H23" s="27">
        <f>(H21/H19)*$H$14</f>
        <v>0.58713752647574513</v>
      </c>
      <c r="I23" s="27">
        <f>(I21/I19)*$H$14</f>
        <v>0.57900491792808328</v>
      </c>
      <c r="J23" s="28">
        <f>((G21*$G$14)+(H21*$H$14)+(I21*$I$14)/(G19*$G$14)+(H19*$H$14)+(I19*$I$14))</f>
        <v>2153945680.0913177</v>
      </c>
      <c r="K23" s="26">
        <f>+K21/K19</f>
        <v>2.4275428532335615E-2</v>
      </c>
      <c r="L23" s="26">
        <f>+L21/L19</f>
        <v>9.123928031341344E-2</v>
      </c>
      <c r="M23" s="27">
        <f>(M21/M19)*$D$14</f>
        <v>4.929834968424826E-2</v>
      </c>
      <c r="N23" s="27">
        <f>(N21/N19)*$E$14</f>
        <v>1.6489766226895481E-2</v>
      </c>
      <c r="O23" s="26">
        <f>((M21*$D$14)+(N21*$E$14)/(M19*$D$14)+(N19*$E$14))</f>
        <v>1529275800.000072</v>
      </c>
    </row>
    <row r="24" spans="1:15" s="3" customFormat="1" ht="57" customHeight="1" x14ac:dyDescent="0.2">
      <c r="B24" s="9" t="s">
        <v>16</v>
      </c>
      <c r="C24" s="26"/>
      <c r="D24" s="27">
        <f>(D21/D17)*$D$14</f>
        <v>0.15030104524192894</v>
      </c>
      <c r="E24" s="27">
        <f>(E21/E17)*$E$14</f>
        <v>3.8337155656160478E-2</v>
      </c>
      <c r="F24" s="26">
        <f>((D21*$D$14)+(E21*$E$14)/(D17*$D$14)+(E17*$E$14))</f>
        <v>460055428.70103711</v>
      </c>
      <c r="G24" s="27">
        <f>(G21/G17)*$G$14</f>
        <v>8.3820797607957118E-2</v>
      </c>
      <c r="H24" s="27">
        <f>(H21/H17)*$H$14</f>
        <v>0.58400346743707254</v>
      </c>
      <c r="I24" s="27">
        <f>(I21/I17)*$H$14</f>
        <v>0.53463155721994526</v>
      </c>
      <c r="J24" s="28">
        <f>((G21*$G$14)+(H21*$H$14)+(I21*$I$14)/(G18*$G$14)+(H18*$H$14)+(I18*$I$14))</f>
        <v>1028290706.5522438</v>
      </c>
      <c r="K24" s="26">
        <f>+K21/K17</f>
        <v>1.975127036521283E-2</v>
      </c>
      <c r="L24" s="26">
        <f>+L21/L17</f>
        <v>4.1308185600121748E-2</v>
      </c>
      <c r="M24" s="27">
        <f>(M21/M17)*$D$14</f>
        <v>3.3037085587988721E-2</v>
      </c>
      <c r="N24" s="27">
        <f>(N21/N17)*$E$14</f>
        <v>1.6372022783604997E-2</v>
      </c>
      <c r="O24" s="26">
        <f>((M21*$D$14)+(N21*$E$14)/(M17*$D$14)+(N17*$E$14))</f>
        <v>1529362800.0000482</v>
      </c>
    </row>
    <row r="25" spans="1:15" s="3" customFormat="1" ht="35.25" customHeight="1" x14ac:dyDescent="0.2">
      <c r="B25" s="29" t="s">
        <v>17</v>
      </c>
      <c r="C25" s="30"/>
      <c r="D25" s="30">
        <v>172590423</v>
      </c>
      <c r="E25" s="30">
        <v>172590423</v>
      </c>
      <c r="F25" s="30">
        <v>172590423</v>
      </c>
      <c r="G25" s="30"/>
      <c r="H25" s="30"/>
      <c r="I25" s="30"/>
      <c r="J25" s="31"/>
      <c r="K25" s="30">
        <v>172590423</v>
      </c>
      <c r="L25" s="30">
        <v>172590423</v>
      </c>
      <c r="M25" s="30">
        <v>172590423</v>
      </c>
      <c r="N25" s="30">
        <v>172590423</v>
      </c>
      <c r="O25" s="30">
        <v>172590423</v>
      </c>
    </row>
    <row r="26" spans="1:15" s="3" customFormat="1" ht="30" customHeight="1" x14ac:dyDescent="0.2">
      <c r="B26" s="102" t="s">
        <v>18</v>
      </c>
      <c r="C26" s="101"/>
      <c r="D26" s="101"/>
      <c r="E26" s="101"/>
      <c r="F26" s="101"/>
      <c r="G26" s="101"/>
      <c r="H26" s="101"/>
      <c r="I26" s="101"/>
      <c r="J26" s="103"/>
      <c r="K26" s="72"/>
      <c r="L26" s="101"/>
      <c r="M26" s="101"/>
      <c r="N26" s="101"/>
      <c r="O26" s="101"/>
    </row>
    <row r="27" spans="1:15" s="3" customFormat="1" ht="15.75" x14ac:dyDescent="0.2">
      <c r="A27" s="4"/>
      <c r="B27" s="32" t="s">
        <v>64</v>
      </c>
      <c r="C27" s="33"/>
      <c r="D27" s="33"/>
      <c r="E27" s="33"/>
      <c r="F27" s="33"/>
      <c r="G27" s="33" t="s">
        <v>19</v>
      </c>
      <c r="H27" s="33"/>
      <c r="I27" s="33"/>
      <c r="J27" s="34"/>
      <c r="K27" s="33"/>
      <c r="L27" s="33"/>
      <c r="M27" s="33"/>
      <c r="N27" s="33"/>
      <c r="O27" s="33"/>
    </row>
    <row r="28" spans="1:15" s="3" customFormat="1" ht="15.75" hidden="1" customHeight="1" x14ac:dyDescent="0.2">
      <c r="B28" s="35"/>
      <c r="C28" s="36"/>
      <c r="D28" s="36"/>
      <c r="E28" s="36"/>
      <c r="F28" s="36"/>
      <c r="G28" s="36"/>
      <c r="H28" s="36"/>
      <c r="I28" s="36"/>
      <c r="J28" s="37"/>
      <c r="K28" s="36"/>
      <c r="L28" s="36"/>
      <c r="M28" s="36"/>
      <c r="N28" s="36"/>
      <c r="O28" s="36"/>
    </row>
    <row r="29" spans="1:15" s="3" customFormat="1" ht="15.75" x14ac:dyDescent="0.2">
      <c r="B29" s="102" t="s">
        <v>18</v>
      </c>
      <c r="C29" s="101"/>
      <c r="D29" s="101"/>
      <c r="E29" s="101"/>
      <c r="F29" s="101"/>
      <c r="G29" s="101"/>
      <c r="H29" s="101"/>
      <c r="I29" s="101"/>
      <c r="J29" s="103"/>
      <c r="K29" s="72"/>
      <c r="L29" s="101"/>
      <c r="M29" s="101"/>
      <c r="N29" s="101"/>
      <c r="O29" s="101"/>
    </row>
    <row r="30" spans="1:15" s="3" customFormat="1" ht="15.75" x14ac:dyDescent="0.2">
      <c r="B30" s="9" t="s">
        <v>75</v>
      </c>
      <c r="C30" s="38"/>
      <c r="D30" s="39" t="str">
        <f>IF(D31&gt;=1.03,$B$27,$G$27)</f>
        <v>HABIL</v>
      </c>
      <c r="E30" s="39" t="str">
        <f>IF(E31&gt;=1.03,$B$27,$G$27)</f>
        <v>HABIL</v>
      </c>
      <c r="F30" s="38" t="str">
        <f>IF(F31&gt;=1,$B$27,$G$27)</f>
        <v>HABIL</v>
      </c>
      <c r="G30" s="39" t="str">
        <f>IF(G31&gt;=1.3,$B$27,$G$27)</f>
        <v>HABIL</v>
      </c>
      <c r="H30" s="39" t="str">
        <f>IF(H31&gt;=1.3,$B$27,$G$27)</f>
        <v>HABIL</v>
      </c>
      <c r="I30" s="39" t="str">
        <f>IF(I31&gt;=1.3,$B$27,$G$27)</f>
        <v>NO HABIL</v>
      </c>
      <c r="J30" s="40" t="str">
        <f>IF(J31&gt;=2.2,$B$27,$G$27)</f>
        <v>HABIL</v>
      </c>
      <c r="K30" s="38" t="str">
        <f>IF(K31&gt;=1.03,$B$27,$G$27)</f>
        <v>HABIL</v>
      </c>
      <c r="L30" s="38" t="str">
        <f>IF(L31&gt;=1.03,$B$27,$G$27)</f>
        <v>HABIL</v>
      </c>
      <c r="M30" s="39" t="str">
        <f>IF(M31&gt;=1.03,$B$27,$G$27)</f>
        <v>HABIL</v>
      </c>
      <c r="N30" s="39" t="str">
        <f>IF(N31&gt;=1.03,$B$27,$G$27)</f>
        <v>HABIL</v>
      </c>
      <c r="O30" s="38" t="str">
        <f>IF(O31&gt;=1,$B$27,$G$27)</f>
        <v>HABIL</v>
      </c>
    </row>
    <row r="31" spans="1:15" s="3" customFormat="1" ht="15.75" x14ac:dyDescent="0.2">
      <c r="B31" s="41" t="s">
        <v>20</v>
      </c>
      <c r="C31" s="42"/>
      <c r="D31" s="39">
        <f>(D15/D16)*$D$14</f>
        <v>15.52512888426214</v>
      </c>
      <c r="E31" s="39">
        <f>(E15/E16)*$E$14</f>
        <v>2.5866182716049386</v>
      </c>
      <c r="F31" s="42">
        <f>((D15*$D$14)+(E15*$E$14))/((D16*$D$14)+(E16*$E$14))</f>
        <v>17.266829047533175</v>
      </c>
      <c r="G31" s="39">
        <f>(G15/G16)*$G$14</f>
        <v>7.172044009030464</v>
      </c>
      <c r="H31" s="39">
        <f>(H15/H16)*$H$14</f>
        <v>133.53906119160226</v>
      </c>
      <c r="I31" s="39">
        <f>(I15/I16)*$I$14</f>
        <v>0.48330126971912279</v>
      </c>
      <c r="J31" s="43">
        <f>((G15*$G$14)+(H15*$H$14)+(I15*$I$14))/((G16*$G$14)+(H16*$H$14)+(I16*$I$14))</f>
        <v>106.2076068122031</v>
      </c>
      <c r="K31" s="42">
        <f>+K15/K16</f>
        <v>5.0727891326083512</v>
      </c>
      <c r="L31" s="42">
        <f>+L15/L16</f>
        <v>2.7737921483597892</v>
      </c>
      <c r="M31" s="39">
        <f>(M15/M16)*$D$14</f>
        <v>2.8186022660034973</v>
      </c>
      <c r="N31" s="39">
        <f>(N15/N16)*$E$14</f>
        <v>14.004827586206899</v>
      </c>
      <c r="O31" s="42">
        <f>((M15*$D$14)+(N15*$E$14))/((M16*$D$14)+(N16*$E$14))</f>
        <v>3.1330121865290286</v>
      </c>
    </row>
    <row r="32" spans="1:15" s="3" customFormat="1" ht="17.25" customHeight="1" x14ac:dyDescent="0.2">
      <c r="B32" s="9" t="s">
        <v>76</v>
      </c>
      <c r="C32" s="44"/>
      <c r="D32" s="45" t="str">
        <f xml:space="preserve"> IF(D33&lt;=74%,$B$27,$G$27)</f>
        <v>HABIL</v>
      </c>
      <c r="E32" s="45" t="str">
        <f xml:space="preserve"> IF(E33&lt;=74%,$B$27,$G$27)</f>
        <v>HABIL</v>
      </c>
      <c r="F32" s="44" t="str">
        <f xml:space="preserve"> IF(F33&lt;=70%,$B$27,$G$27)</f>
        <v>HABIL</v>
      </c>
      <c r="G32" s="45" t="str">
        <f xml:space="preserve"> IF(G33&lt;=74%,$B$27,$G$27)</f>
        <v>HABIL</v>
      </c>
      <c r="H32" s="45" t="str">
        <f xml:space="preserve"> IF(H33&lt;=74%,$B$27,$G$27)</f>
        <v>HABIL</v>
      </c>
      <c r="I32" s="45" t="str">
        <f xml:space="preserve"> IF(I33&lt;=74%,$B$27,$G$27)</f>
        <v>HABIL</v>
      </c>
      <c r="J32" s="46" t="str">
        <f xml:space="preserve"> IF(J33&lt;=55%,$B$27,$G$27)</f>
        <v>HABIL</v>
      </c>
      <c r="K32" s="44" t="str">
        <f xml:space="preserve"> IF(K33&lt;=74%,$B$27,$G$27)</f>
        <v>HABIL</v>
      </c>
      <c r="L32" s="44" t="str">
        <f xml:space="preserve"> IF(L33&lt;=74%,$B$27,$G$27)</f>
        <v>HABIL</v>
      </c>
      <c r="M32" s="45" t="str">
        <f xml:space="preserve"> IF(M33&lt;=74%,$B$27,$G$27)</f>
        <v>HABIL</v>
      </c>
      <c r="N32" s="45" t="str">
        <f xml:space="preserve"> IF(N33&lt;=74%,$B$27,$G$27)</f>
        <v>HABIL</v>
      </c>
      <c r="O32" s="44" t="str">
        <f xml:space="preserve"> IF(O33&lt;=70%,$B$27,$G$27)</f>
        <v>HABIL</v>
      </c>
    </row>
    <row r="33" spans="2:15" s="3" customFormat="1" ht="15.75" x14ac:dyDescent="0.2">
      <c r="B33" s="41" t="s">
        <v>21</v>
      </c>
      <c r="C33" s="47"/>
      <c r="D33" s="48">
        <f>(D18/D17)*$D$14</f>
        <v>0.24074399104669134</v>
      </c>
      <c r="E33" s="48">
        <f>(E18/E17)*$E$14</f>
        <v>2.4635397913133922E-2</v>
      </c>
      <c r="F33" s="47">
        <f>((D18*$D$14)+(E18*$E$14))/((D17*$D$14)+(E17*$E$14))</f>
        <v>0.26743629497556726</v>
      </c>
      <c r="G33" s="48">
        <f>(G18/G17)*$G$14</f>
        <v>1.1077450118621929E-3</v>
      </c>
      <c r="H33" s="48">
        <f>(H18/H17)*$H$14</f>
        <v>4.2702895282263741E-3</v>
      </c>
      <c r="I33" s="48">
        <f>(I18/I17)*$I$14</f>
        <v>7.6637277740099667E-3</v>
      </c>
      <c r="J33" s="43">
        <f>((G18*$G$14)+(H18*$H$14)+(I18*$I$14))/((G17*$G$14)+(H17*$H$14)+(I17*$I$14))</f>
        <v>8.1064194743540336E-3</v>
      </c>
      <c r="K33" s="47">
        <f>+K18/K17</f>
        <v>0.18636779824901828</v>
      </c>
      <c r="L33" s="47">
        <f>+L18/L17</f>
        <v>0.54725436831345908</v>
      </c>
      <c r="M33" s="48">
        <f>(M18/M17)*$D$14</f>
        <v>0.29686871427482664</v>
      </c>
      <c r="N33" s="48">
        <f>(N18/N17)*$E$14</f>
        <v>7.1403949377062104E-4</v>
      </c>
      <c r="O33" s="47">
        <f>((M18*$D$14)+(N18*$E$14))/((M17*$D$14)+(N17*$E$14))</f>
        <v>0.32975902074197005</v>
      </c>
    </row>
    <row r="34" spans="2:15" s="3" customFormat="1" ht="33.75" customHeight="1" x14ac:dyDescent="0.2">
      <c r="B34" s="9" t="s">
        <v>68</v>
      </c>
      <c r="C34" s="44"/>
      <c r="D34" s="48" t="str">
        <f t="shared" ref="C34:I34" si="3" xml:space="preserve"> IF(D35&gt;0,$B$27,$G$27)</f>
        <v>HABIL</v>
      </c>
      <c r="E34" s="48" t="str">
        <f t="shared" si="3"/>
        <v>HABIL</v>
      </c>
      <c r="F34" s="44" t="str">
        <f t="shared" si="3"/>
        <v>HABIL</v>
      </c>
      <c r="G34" s="48" t="e">
        <f t="shared" si="3"/>
        <v>#DIV/0!</v>
      </c>
      <c r="H34" s="48" t="e">
        <f t="shared" si="3"/>
        <v>#DIV/0!</v>
      </c>
      <c r="I34" s="48" t="str">
        <f t="shared" si="3"/>
        <v>HABIL</v>
      </c>
      <c r="J34" s="46" t="str">
        <f xml:space="preserve"> IF(J35&gt;5.5,$B$27,$G$27)</f>
        <v>HABIL</v>
      </c>
      <c r="K34" s="44" t="str">
        <f xml:space="preserve"> IF(K35&gt;0,$B$27,$G$27)</f>
        <v>HABIL</v>
      </c>
      <c r="L34" s="44" t="e">
        <f xml:space="preserve"> IF(L35&gt;0,$B$27,$G$27)</f>
        <v>#DIV/0!</v>
      </c>
      <c r="M34" s="48" t="str">
        <f xml:space="preserve"> IF(M35&gt;0,$B$27,$G$27)</f>
        <v>HABIL</v>
      </c>
      <c r="N34" s="48" t="e">
        <f xml:space="preserve"> IF(N35&gt;0,$B$27,$G$27)</f>
        <v>#DIV/0!</v>
      </c>
      <c r="O34" s="44" t="str">
        <f xml:space="preserve"> IF(O35&gt;0,$B$27,$G$27)</f>
        <v>HABIL</v>
      </c>
    </row>
    <row r="35" spans="2:15" s="3" customFormat="1" ht="31.5" x14ac:dyDescent="0.2">
      <c r="B35" s="41" t="s">
        <v>22</v>
      </c>
      <c r="C35" s="49"/>
      <c r="D35" s="50">
        <f>(D21/D22)*$D$14</f>
        <v>21.966982054633799</v>
      </c>
      <c r="E35" s="50">
        <f>(E21/E22)*$E$14</f>
        <v>224.16774579379637</v>
      </c>
      <c r="F35" s="49">
        <f>((D21*$D$14)+(E21*$E$14))/((D22*$D$14)+(E22*$E$14))</f>
        <v>24.55766323328098</v>
      </c>
      <c r="G35" s="50" t="e">
        <f>(G21/G22)*$G$14</f>
        <v>#DIV/0!</v>
      </c>
      <c r="H35" s="50" t="e">
        <f>(H21/H22)*$H$14</f>
        <v>#DIV/0!</v>
      </c>
      <c r="I35" s="50">
        <f>(I21/I22)*$I$14</f>
        <v>14.518705957719412</v>
      </c>
      <c r="J35" s="43">
        <f>((G21*$G$14)+(H21*$H$14)+(I21*$I$14))/((G22*$G$14)+(H22*$H$14)+(I22*$I$14))</f>
        <v>6678.0070467648939</v>
      </c>
      <c r="K35" s="49">
        <f>+K21/K22</f>
        <v>7.0398516097446615</v>
      </c>
      <c r="L35" s="49" t="e">
        <f>+L21/L22</f>
        <v>#DIV/0!</v>
      </c>
      <c r="M35" s="50">
        <f>(M21/M22)*$D$14</f>
        <v>7.6380994094636847</v>
      </c>
      <c r="N35" s="50" t="e">
        <f>(N21/N22)*$E$14</f>
        <v>#DIV/0!</v>
      </c>
      <c r="O35" s="49">
        <f>((M21*$D$14)+(N21*$E$14))/((M22*$D$14)+(N22*$E$14))</f>
        <v>8.4979356121311387</v>
      </c>
    </row>
    <row r="36" spans="2:15" s="3" customFormat="1" ht="31.5" x14ac:dyDescent="0.2">
      <c r="B36" s="9" t="s">
        <v>74</v>
      </c>
      <c r="C36" s="44"/>
      <c r="D36" s="48" t="str">
        <f xml:space="preserve"> IF(D37&gt;(D25*20%),$B$27,$G$27)</f>
        <v>HABIL</v>
      </c>
      <c r="E36" s="48" t="str">
        <f xml:space="preserve"> IF(E37&gt;(E25*20%),$B$27,$G$27)</f>
        <v>NO HABIL</v>
      </c>
      <c r="F36" s="44" t="str">
        <f xml:space="preserve"> IF(F37&gt;(F25*10%),$B$27,$G$27)</f>
        <v>HABIL</v>
      </c>
      <c r="G36" s="48" t="str">
        <f xml:space="preserve"> IF(G37&gt;(G25*20%),$B$27,$G$27)</f>
        <v>HABIL</v>
      </c>
      <c r="H36" s="48" t="str">
        <f xml:space="preserve"> IF(H37&gt;(H25*20%),$B$27,$G$27)</f>
        <v>HABIL</v>
      </c>
      <c r="I36" s="48" t="str">
        <f xml:space="preserve"> IF(I37&gt;(I25*20%),$B$27,$G$27)</f>
        <v>HABIL</v>
      </c>
      <c r="J36" s="46" t="str">
        <f xml:space="preserve"> IF(J37&gt;(J25*41%),$B$27,$G$27)</f>
        <v>HABIL</v>
      </c>
      <c r="K36" s="44" t="str">
        <f xml:space="preserve"> IF(K37&gt;(K25*20%),$B$27,$G$27)</f>
        <v>HABIL</v>
      </c>
      <c r="L36" s="44" t="str">
        <f xml:space="preserve"> IF(L37&gt;(L25*20%),$B$27,$G$27)</f>
        <v>HABIL</v>
      </c>
      <c r="M36" s="48" t="str">
        <f xml:space="preserve"> IF(M37&gt;(M25*20%),$B$27,$G$27)</f>
        <v>HABIL</v>
      </c>
      <c r="N36" s="48" t="str">
        <f xml:space="preserve"> IF(N37&gt;(N25*20%),$B$27,$G$27)</f>
        <v>NO HABIL</v>
      </c>
      <c r="O36" s="44" t="str">
        <f xml:space="preserve"> IF(O37&gt;(O25*10%),$B$27,$G$27)</f>
        <v>HABIL</v>
      </c>
    </row>
    <row r="37" spans="2:15" s="5" customFormat="1" ht="34.5" customHeight="1" x14ac:dyDescent="0.2">
      <c r="B37" s="51" t="s">
        <v>95</v>
      </c>
      <c r="C37" s="52"/>
      <c r="D37" s="53">
        <f>(D15-D16)*$D$14</f>
        <v>2374258048.2000003</v>
      </c>
      <c r="E37" s="53">
        <f>(E15-E16)*$E$14</f>
        <v>7049562.8000000007</v>
      </c>
      <c r="F37" s="52">
        <f>((D15*$D$14)+(E15*$E$14))-((D16*$D$14)+(E16*$E$14))</f>
        <v>2381307611.0000005</v>
      </c>
      <c r="G37" s="53">
        <f>(G15-G16)*$G$14</f>
        <v>196606833.30000001</v>
      </c>
      <c r="H37" s="53">
        <f>(H15-H16)*$H$14</f>
        <v>982019901.60000002</v>
      </c>
      <c r="I37" s="53">
        <f>(I15-I16)*$H$14</f>
        <v>79696000</v>
      </c>
      <c r="J37" s="54">
        <f>((G15*$G$14)+(H15*$H$14)+(I15*$I$14))-((G16*$G$14)+(H16*$H$14)+(I16*$I$14))</f>
        <v>1188588734.9000001</v>
      </c>
      <c r="K37" s="52">
        <f>+K15-K16</f>
        <v>196172515</v>
      </c>
      <c r="L37" s="52">
        <f>+L15-L16</f>
        <v>806099911</v>
      </c>
      <c r="M37" s="53">
        <f>(M15-M16)*$D$14</f>
        <v>20613004200</v>
      </c>
      <c r="N37" s="53">
        <f>(N15-N16)*$E$14</f>
        <v>12097200</v>
      </c>
      <c r="O37" s="52">
        <f>((M15*$D$14)+(N15*$E$14))-((M16*$D$14)+(N16*$E$14))</f>
        <v>20625101400</v>
      </c>
    </row>
    <row r="38" spans="2:15" s="3" customFormat="1" ht="15.75" x14ac:dyDescent="0.2">
      <c r="B38" s="102" t="s">
        <v>23</v>
      </c>
      <c r="C38" s="101"/>
      <c r="D38" s="101"/>
      <c r="E38" s="101"/>
      <c r="F38" s="101"/>
      <c r="G38" s="101"/>
      <c r="H38" s="101"/>
      <c r="I38" s="101"/>
      <c r="J38" s="103"/>
      <c r="K38" s="72"/>
      <c r="L38" s="101"/>
      <c r="M38" s="101"/>
      <c r="N38" s="101"/>
      <c r="O38" s="101"/>
    </row>
    <row r="39" spans="2:15" s="3" customFormat="1" ht="15.75" hidden="1" customHeight="1" x14ac:dyDescent="0.2">
      <c r="B39" s="55"/>
      <c r="C39" s="17"/>
      <c r="D39" s="17"/>
      <c r="E39" s="17"/>
      <c r="F39" s="17"/>
      <c r="G39" s="17"/>
      <c r="H39" s="17"/>
      <c r="I39" s="17"/>
      <c r="J39" s="18"/>
      <c r="K39" s="17"/>
      <c r="L39" s="17"/>
      <c r="M39" s="17"/>
      <c r="N39" s="17"/>
      <c r="O39" s="17"/>
    </row>
    <row r="40" spans="2:15" s="3" customFormat="1" ht="32.25" customHeight="1" x14ac:dyDescent="0.2">
      <c r="B40" s="9" t="s">
        <v>69</v>
      </c>
      <c r="C40" s="44"/>
      <c r="D40" s="56" t="str">
        <f t="shared" ref="C40:I40" si="4" xml:space="preserve"> IF(D41&gt;=0%,$B$27,$G$27)</f>
        <v>HABIL</v>
      </c>
      <c r="E40" s="56" t="str">
        <f t="shared" si="4"/>
        <v>HABIL</v>
      </c>
      <c r="F40" s="44" t="str">
        <f t="shared" si="4"/>
        <v>HABIL</v>
      </c>
      <c r="G40" s="56" t="str">
        <f t="shared" si="4"/>
        <v>HABIL</v>
      </c>
      <c r="H40" s="56" t="str">
        <f t="shared" si="4"/>
        <v>HABIL</v>
      </c>
      <c r="I40" s="56" t="str">
        <f t="shared" si="4"/>
        <v>HABIL</v>
      </c>
      <c r="J40" s="46" t="str">
        <f xml:space="preserve"> IF(J41&gt;=5%,$B$27,$G$27)</f>
        <v>HABIL</v>
      </c>
      <c r="K40" s="44" t="str">
        <f xml:space="preserve"> IF(K41&gt;=0%,$B$27,$G$27)</f>
        <v>HABIL</v>
      </c>
      <c r="L40" s="44" t="str">
        <f xml:space="preserve"> IF(L41&gt;=0%,$B$27,$G$27)</f>
        <v>HABIL</v>
      </c>
      <c r="M40" s="56" t="str">
        <f xml:space="preserve"> IF(M41&gt;=0%,$B$27,$G$27)</f>
        <v>HABIL</v>
      </c>
      <c r="N40" s="56" t="str">
        <f xml:space="preserve"> IF(N41&gt;=0%,$B$27,$G$27)</f>
        <v>HABIL</v>
      </c>
      <c r="O40" s="44" t="str">
        <f xml:space="preserve"> IF(O41&gt;=0%,$B$27,$G$27)</f>
        <v>HABIL</v>
      </c>
    </row>
    <row r="41" spans="2:15" s="3" customFormat="1" ht="49.5" customHeight="1" x14ac:dyDescent="0.2">
      <c r="B41" s="41" t="s">
        <v>24</v>
      </c>
      <c r="C41" s="57"/>
      <c r="D41" s="56">
        <f>(D21/D19)*$D$14</f>
        <v>0.20518727001442699</v>
      </c>
      <c r="E41" s="56">
        <f>(E21/E19)*$E$14</f>
        <v>5.0868915372196427E-2</v>
      </c>
      <c r="F41" s="57">
        <f>((D21*$D$14)+(E21*$E$14))/((D19*$D$14)+(E19*$E$14))</f>
        <v>0.22876491264938117</v>
      </c>
      <c r="G41" s="56">
        <f>(G21/G19)*$G$14</f>
        <v>8.4759719169121464E-2</v>
      </c>
      <c r="H41" s="56">
        <f>(H21/H19)*$H$14</f>
        <v>0.58713752647574513</v>
      </c>
      <c r="I41" s="56">
        <f>(I21/I19)*$I$14</f>
        <v>7.2375614741010411E-2</v>
      </c>
      <c r="J41" s="58">
        <f>((G21*$G$14)+(H21*$H$14)+(I21*$I$14))/((G19*$G$14)+(H19*$H$14)+(I19*$I$14))</f>
        <v>0.7541006260676183</v>
      </c>
      <c r="K41" s="57">
        <f>+K21/K19</f>
        <v>2.4275428532335615E-2</v>
      </c>
      <c r="L41" s="57">
        <f>+L21/L19</f>
        <v>9.123928031341344E-2</v>
      </c>
      <c r="M41" s="56">
        <f>(M21/M19)*$D$14</f>
        <v>4.929834968424826E-2</v>
      </c>
      <c r="N41" s="56">
        <f>(N21/N19)*$E$14</f>
        <v>1.6489766226895481E-2</v>
      </c>
      <c r="O41" s="57">
        <f>((M21*$D$14)+(N21*$E$14))/((M19*$D$14)+(N19*$E$14))</f>
        <v>5.482401932287484E-2</v>
      </c>
    </row>
    <row r="42" spans="2:15" s="3" customFormat="1" ht="31.5" x14ac:dyDescent="0.2">
      <c r="B42" s="9" t="s">
        <v>70</v>
      </c>
      <c r="C42" s="38"/>
      <c r="D42" s="56" t="str">
        <f t="shared" ref="C42:I42" si="5">IF(D43&gt;=0%,$B$27,$G$27)</f>
        <v>HABIL</v>
      </c>
      <c r="E42" s="56" t="str">
        <f t="shared" si="5"/>
        <v>HABIL</v>
      </c>
      <c r="F42" s="38" t="str">
        <f t="shared" si="5"/>
        <v>HABIL</v>
      </c>
      <c r="G42" s="56" t="str">
        <f t="shared" si="5"/>
        <v>HABIL</v>
      </c>
      <c r="H42" s="56" t="str">
        <f t="shared" si="5"/>
        <v>HABIL</v>
      </c>
      <c r="I42" s="56" t="str">
        <f t="shared" si="5"/>
        <v>HABIL</v>
      </c>
      <c r="J42" s="40" t="str">
        <f>IF(J43&gt;=3%,$B$27,$G$27)</f>
        <v>HABIL</v>
      </c>
      <c r="K42" s="38" t="str">
        <f>IF(K43&gt;=0%,$B$27,$G$27)</f>
        <v>HABIL</v>
      </c>
      <c r="L42" s="38" t="str">
        <f>IF(L43&gt;=0%,$B$27,$G$27)</f>
        <v>HABIL</v>
      </c>
      <c r="M42" s="56" t="str">
        <f>IF(M43&gt;=0%,$B$27,$G$27)</f>
        <v>HABIL</v>
      </c>
      <c r="N42" s="56" t="str">
        <f>IF(N43&gt;=0%,$B$27,$G$27)</f>
        <v>HABIL</v>
      </c>
      <c r="O42" s="38" t="str">
        <f>IF(O43&gt;=0%,$B$27,$G$27)</f>
        <v>HABIL</v>
      </c>
    </row>
    <row r="43" spans="2:15" s="3" customFormat="1" ht="33" customHeight="1" x14ac:dyDescent="0.2">
      <c r="B43" s="41" t="s">
        <v>25</v>
      </c>
      <c r="C43" s="57"/>
      <c r="D43" s="56">
        <f>(D21/D17)*$D$14</f>
        <v>0.15030104524192894</v>
      </c>
      <c r="E43" s="56">
        <f>(E21/E17)*$E$14</f>
        <v>3.8337155656160478E-2</v>
      </c>
      <c r="F43" s="57">
        <f>((D21*$D$14)+(E21*$E$14))/((D17*$D$14)+(E17*$E$14))</f>
        <v>0.16758487199002139</v>
      </c>
      <c r="G43" s="56">
        <f>(G21/G17)*$G$14</f>
        <v>8.3820797607957118E-2</v>
      </c>
      <c r="H43" s="56">
        <f>(H21/H17)*$H$14</f>
        <v>0.58400346743707254</v>
      </c>
      <c r="I43" s="56">
        <f>(I21/I17)*$I$14</f>
        <v>6.6828944652493158E-2</v>
      </c>
      <c r="J43" s="58">
        <f>((G21*$G$14)+(H21*$H$14)+(I21*$I$14))/((G17*$G$14)+(H17*$H$14)+(I17*$I$14))</f>
        <v>0.74798757006684113</v>
      </c>
      <c r="K43" s="57">
        <f>+K21/K17</f>
        <v>1.975127036521283E-2</v>
      </c>
      <c r="L43" s="57">
        <f>+L21/L17</f>
        <v>4.1308185600121748E-2</v>
      </c>
      <c r="M43" s="56">
        <f>(M21/M17)*$D$14</f>
        <v>3.3037085587988721E-2</v>
      </c>
      <c r="N43" s="56">
        <f>(N21/N17)*$E$14</f>
        <v>1.6372022783604997E-2</v>
      </c>
      <c r="O43" s="57">
        <f>((M21*$D$14)+(N21*$E$14))/((M17*$D$14)+(N17*$E$14))</f>
        <v>3.6745304397824786E-2</v>
      </c>
    </row>
    <row r="44" spans="2:15" s="3" customFormat="1" ht="31.5" x14ac:dyDescent="0.2">
      <c r="B44" s="9" t="s">
        <v>26</v>
      </c>
      <c r="C44" s="114" t="s">
        <v>94</v>
      </c>
      <c r="D44" s="16" t="str">
        <f t="shared" ref="C44:J44" si="6">+IF(COUNTIF(D30:D43,"NO HABIL")&gt;=1,"NO HABILITADO","HABILITADO")</f>
        <v>HABILITADO</v>
      </c>
      <c r="E44" s="16" t="str">
        <f t="shared" si="6"/>
        <v>NO HABILITADO</v>
      </c>
      <c r="F44" s="59" t="str">
        <f t="shared" si="6"/>
        <v>HABILITADO</v>
      </c>
      <c r="G44" s="16" t="str">
        <f t="shared" si="6"/>
        <v>HABILITADO</v>
      </c>
      <c r="H44" s="16" t="str">
        <f t="shared" si="6"/>
        <v>HABILITADO</v>
      </c>
      <c r="I44" s="16" t="str">
        <f>+IF(COUNTIF(I30:I43,"NO HABIL")&gt;=1,"NO HABILITADO","HABILITADO")</f>
        <v>NO HABILITADO</v>
      </c>
      <c r="J44" s="60" t="str">
        <f t="shared" si="6"/>
        <v>HABILITADO</v>
      </c>
      <c r="K44" s="59" t="str">
        <f t="shared" ref="K44" si="7">+IF(COUNTIF(K30:K43,"NO HABIL")&gt;=1,"NO HABILITADO","HABILITADO")</f>
        <v>HABILITADO</v>
      </c>
      <c r="L44" s="59" t="str">
        <f t="shared" ref="L44:O44" si="8">+IF(COUNTIF(L30:L43,"NO HABIL")&gt;=1,"NO HABILITADO","HABILITADO")</f>
        <v>HABILITADO</v>
      </c>
      <c r="M44" s="16" t="str">
        <f t="shared" si="8"/>
        <v>HABILITADO</v>
      </c>
      <c r="N44" s="16" t="str">
        <f t="shared" si="8"/>
        <v>NO HABILITADO</v>
      </c>
      <c r="O44" s="59" t="str">
        <f t="shared" si="8"/>
        <v>HABILITADO</v>
      </c>
    </row>
    <row r="45" spans="2:15" s="3" customFormat="1" ht="15.75" hidden="1" customHeight="1" x14ac:dyDescent="0.2">
      <c r="B45" s="55"/>
      <c r="C45" s="17"/>
      <c r="D45" s="17"/>
      <c r="E45" s="17"/>
      <c r="F45" s="17"/>
      <c r="G45" s="17"/>
      <c r="H45" s="17"/>
      <c r="I45" s="17"/>
      <c r="J45" s="18"/>
      <c r="K45" s="17"/>
      <c r="L45" s="17"/>
      <c r="M45" s="17"/>
      <c r="N45" s="17"/>
      <c r="O45" s="17"/>
    </row>
    <row r="46" spans="2:15" s="3" customFormat="1" ht="15.75" customHeight="1" x14ac:dyDescent="0.2">
      <c r="B46" s="95" t="s">
        <v>27</v>
      </c>
      <c r="C46" s="96"/>
      <c r="D46" s="96"/>
      <c r="E46" s="96"/>
      <c r="F46" s="96"/>
      <c r="G46" s="96"/>
      <c r="H46" s="96"/>
      <c r="I46" s="96"/>
      <c r="J46" s="96"/>
      <c r="K46" s="96"/>
      <c r="L46" s="96"/>
      <c r="M46" s="96"/>
      <c r="N46" s="96"/>
      <c r="O46" s="97"/>
    </row>
    <row r="47" spans="2:15" s="3" customFormat="1" ht="36.75" customHeight="1" x14ac:dyDescent="0.2">
      <c r="B47" s="98"/>
      <c r="C47" s="99"/>
      <c r="D47" s="99"/>
      <c r="E47" s="99"/>
      <c r="F47" s="99"/>
      <c r="G47" s="99"/>
      <c r="H47" s="99"/>
      <c r="I47" s="99"/>
      <c r="J47" s="99"/>
      <c r="K47" s="99"/>
      <c r="L47" s="99"/>
      <c r="M47" s="99"/>
      <c r="N47" s="99"/>
      <c r="O47" s="100"/>
    </row>
    <row r="48" spans="2:15" ht="15.75" x14ac:dyDescent="0.25">
      <c r="B48" s="78"/>
      <c r="C48" s="73"/>
      <c r="D48" s="73"/>
      <c r="E48" s="73"/>
      <c r="F48" s="73"/>
      <c r="G48" s="73"/>
      <c r="H48" s="73"/>
      <c r="I48" s="73"/>
      <c r="J48" s="79"/>
      <c r="K48" s="79"/>
      <c r="L48" s="79"/>
      <c r="M48" s="79"/>
      <c r="N48" s="79"/>
      <c r="O48" s="74"/>
    </row>
    <row r="49" spans="2:15" ht="15" customHeight="1" x14ac:dyDescent="0.25">
      <c r="B49" s="80"/>
      <c r="C49" s="61"/>
      <c r="D49" s="61"/>
      <c r="E49" s="61"/>
      <c r="F49" s="61"/>
      <c r="G49" s="61"/>
      <c r="H49" s="61"/>
      <c r="I49" s="61"/>
      <c r="J49" s="61"/>
      <c r="O49" s="75"/>
    </row>
    <row r="50" spans="2:15" ht="15" customHeight="1" x14ac:dyDescent="0.25">
      <c r="B50" s="80"/>
      <c r="C50" s="61"/>
      <c r="D50" s="61"/>
      <c r="E50" s="61"/>
      <c r="F50" s="61"/>
      <c r="G50" s="61"/>
      <c r="H50" s="61"/>
      <c r="I50" s="61"/>
      <c r="J50" s="61"/>
      <c r="O50" s="75"/>
    </row>
    <row r="51" spans="2:15" ht="15" customHeight="1" x14ac:dyDescent="0.25">
      <c r="B51" s="80"/>
      <c r="C51" s="61"/>
      <c r="D51" s="61"/>
      <c r="E51" s="61"/>
      <c r="F51" s="61"/>
      <c r="G51" s="61"/>
      <c r="H51" s="61"/>
      <c r="I51" s="61"/>
      <c r="J51" s="61"/>
      <c r="O51" s="75"/>
    </row>
    <row r="52" spans="2:15" ht="15" customHeight="1" x14ac:dyDescent="0.25">
      <c r="B52" s="81"/>
      <c r="C52" s="77"/>
      <c r="D52" s="77"/>
      <c r="E52" s="77"/>
      <c r="F52" s="61"/>
      <c r="G52" s="61"/>
      <c r="H52" s="77"/>
      <c r="I52" s="77"/>
      <c r="J52" s="77"/>
      <c r="O52" s="75"/>
    </row>
    <row r="53" spans="2:15" ht="15.75" x14ac:dyDescent="0.25">
      <c r="B53" s="82" t="s">
        <v>72</v>
      </c>
      <c r="C53" s="63"/>
      <c r="D53" s="63"/>
      <c r="E53" s="63"/>
      <c r="F53" s="63"/>
      <c r="G53" s="64"/>
      <c r="H53" s="63"/>
      <c r="I53" s="63"/>
      <c r="J53" s="63"/>
      <c r="O53" s="75"/>
    </row>
    <row r="54" spans="2:15" ht="15" customHeight="1" x14ac:dyDescent="0.25">
      <c r="B54" s="83"/>
      <c r="C54" s="84"/>
      <c r="D54" s="84"/>
      <c r="E54" s="84"/>
      <c r="F54" s="84"/>
      <c r="G54" s="84"/>
      <c r="H54" s="84"/>
      <c r="I54" s="84"/>
      <c r="J54" s="84"/>
      <c r="K54" s="85"/>
      <c r="L54" s="85"/>
      <c r="M54" s="85"/>
      <c r="N54" s="85"/>
      <c r="O54" s="76"/>
    </row>
    <row r="55" spans="2:15" ht="15" customHeight="1" x14ac:dyDescent="0.25">
      <c r="B55" s="89" t="s">
        <v>91</v>
      </c>
      <c r="C55" s="90"/>
      <c r="D55" s="90"/>
      <c r="E55" s="90"/>
      <c r="F55" s="90"/>
      <c r="G55" s="90"/>
      <c r="H55" s="90"/>
      <c r="I55" s="90"/>
      <c r="J55" s="90"/>
      <c r="K55" s="90"/>
      <c r="L55" s="90"/>
      <c r="M55" s="90"/>
      <c r="N55" s="90"/>
      <c r="O55" s="91"/>
    </row>
    <row r="56" spans="2:15" x14ac:dyDescent="0.25">
      <c r="B56" s="92"/>
      <c r="C56" s="93"/>
      <c r="D56" s="93"/>
      <c r="E56" s="93"/>
      <c r="F56" s="93"/>
      <c r="G56" s="93"/>
      <c r="H56" s="93"/>
      <c r="I56" s="93"/>
      <c r="J56" s="93"/>
      <c r="K56" s="93"/>
      <c r="L56" s="93"/>
      <c r="M56" s="93"/>
      <c r="N56" s="93"/>
      <c r="O56" s="94"/>
    </row>
  </sheetData>
  <mergeCells count="12">
    <mergeCell ref="C1:M8"/>
    <mergeCell ref="B55:O56"/>
    <mergeCell ref="B46:O47"/>
    <mergeCell ref="L26:O26"/>
    <mergeCell ref="L29:O29"/>
    <mergeCell ref="L38:O38"/>
    <mergeCell ref="B38:J38"/>
    <mergeCell ref="B1:B8"/>
    <mergeCell ref="B26:J26"/>
    <mergeCell ref="B29:J29"/>
    <mergeCell ref="B9:O9"/>
    <mergeCell ref="N1:O8"/>
  </mergeCells>
  <printOptions horizontalCentered="1" verticalCentered="1"/>
  <pageMargins left="0.19685039370078741" right="0.19685039370078741" top="0.15748031496062992" bottom="0.15748031496062992" header="0.31496062992125984" footer="0.31496062992125984"/>
  <pageSetup paperSize="256" scale="45"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C58"/>
  <sheetViews>
    <sheetView topLeftCell="B45" workbookViewId="0">
      <selection activeCell="C56" sqref="C56"/>
    </sheetView>
  </sheetViews>
  <sheetFormatPr baseColWidth="10" defaultColWidth="10.85546875" defaultRowHeight="15.75" x14ac:dyDescent="0.25"/>
  <cols>
    <col min="1" max="1" width="10.85546875" style="64"/>
    <col min="2" max="2" width="5.28515625" style="62" customWidth="1"/>
    <col min="3" max="3" width="133.42578125" style="65" customWidth="1"/>
    <col min="4" max="16384" width="10.85546875" style="64"/>
  </cols>
  <sheetData>
    <row r="1" spans="2:3" ht="16.5" thickBot="1" x14ac:dyDescent="0.3"/>
    <row r="2" spans="2:3" ht="16.5" thickBot="1" x14ac:dyDescent="0.3">
      <c r="B2" s="66" t="s">
        <v>28</v>
      </c>
      <c r="C2" s="67" t="s">
        <v>29</v>
      </c>
    </row>
    <row r="3" spans="2:3" ht="31.5" x14ac:dyDescent="0.25">
      <c r="B3" s="68">
        <v>1</v>
      </c>
      <c r="C3" s="69" t="s">
        <v>30</v>
      </c>
    </row>
    <row r="4" spans="2:3" x14ac:dyDescent="0.25">
      <c r="B4" s="68"/>
      <c r="C4" s="69"/>
    </row>
    <row r="5" spans="2:3" ht="47.25" x14ac:dyDescent="0.25">
      <c r="B5" s="68">
        <v>2</v>
      </c>
      <c r="C5" s="69" t="s">
        <v>38</v>
      </c>
    </row>
    <row r="6" spans="2:3" x14ac:dyDescent="0.25">
      <c r="B6" s="68"/>
      <c r="C6" s="69"/>
    </row>
    <row r="7" spans="2:3" x14ac:dyDescent="0.25">
      <c r="B7" s="68">
        <v>3</v>
      </c>
      <c r="C7" s="69" t="s">
        <v>39</v>
      </c>
    </row>
    <row r="8" spans="2:3" x14ac:dyDescent="0.25">
      <c r="B8" s="68"/>
      <c r="C8" s="69"/>
    </row>
    <row r="9" spans="2:3" ht="31.5" x14ac:dyDescent="0.25">
      <c r="B9" s="68">
        <v>4</v>
      </c>
      <c r="C9" s="69" t="s">
        <v>40</v>
      </c>
    </row>
    <row r="10" spans="2:3" x14ac:dyDescent="0.25">
      <c r="B10" s="68"/>
      <c r="C10" s="69"/>
    </row>
    <row r="11" spans="2:3" x14ac:dyDescent="0.25">
      <c r="B11" s="68">
        <v>5</v>
      </c>
      <c r="C11" s="69" t="s">
        <v>41</v>
      </c>
    </row>
    <row r="12" spans="2:3" x14ac:dyDescent="0.25">
      <c r="B12" s="68"/>
      <c r="C12" s="69"/>
    </row>
    <row r="13" spans="2:3" x14ac:dyDescent="0.25">
      <c r="B13" s="68">
        <v>6</v>
      </c>
      <c r="C13" s="69" t="s">
        <v>42</v>
      </c>
    </row>
    <row r="14" spans="2:3" x14ac:dyDescent="0.25">
      <c r="B14" s="68"/>
      <c r="C14" s="69"/>
    </row>
    <row r="15" spans="2:3" x14ac:dyDescent="0.25">
      <c r="B15" s="68">
        <v>7</v>
      </c>
      <c r="C15" s="69" t="s">
        <v>43</v>
      </c>
    </row>
    <row r="16" spans="2:3" x14ac:dyDescent="0.25">
      <c r="B16" s="68"/>
      <c r="C16" s="69"/>
    </row>
    <row r="17" spans="2:3" x14ac:dyDescent="0.25">
      <c r="B17" s="68">
        <v>8</v>
      </c>
      <c r="C17" s="69" t="s">
        <v>44</v>
      </c>
    </row>
    <row r="18" spans="2:3" x14ac:dyDescent="0.25">
      <c r="B18" s="68"/>
      <c r="C18" s="69"/>
    </row>
    <row r="19" spans="2:3" x14ac:dyDescent="0.25">
      <c r="B19" s="68">
        <v>9</v>
      </c>
      <c r="C19" s="69" t="s">
        <v>45</v>
      </c>
    </row>
    <row r="20" spans="2:3" x14ac:dyDescent="0.25">
      <c r="B20" s="68"/>
      <c r="C20" s="69"/>
    </row>
    <row r="21" spans="2:3" ht="31.5" x14ac:dyDescent="0.25">
      <c r="B21" s="111">
        <v>10</v>
      </c>
      <c r="C21" s="69" t="s">
        <v>46</v>
      </c>
    </row>
    <row r="22" spans="2:3" x14ac:dyDescent="0.25">
      <c r="B22" s="112"/>
      <c r="C22" s="69" t="s">
        <v>31</v>
      </c>
    </row>
    <row r="23" spans="2:3" x14ac:dyDescent="0.25">
      <c r="B23" s="113"/>
      <c r="C23" s="69" t="s">
        <v>48</v>
      </c>
    </row>
    <row r="24" spans="2:3" x14ac:dyDescent="0.25">
      <c r="B24" s="68"/>
      <c r="C24" s="69"/>
    </row>
    <row r="25" spans="2:3" x14ac:dyDescent="0.25">
      <c r="B25" s="68">
        <v>11</v>
      </c>
      <c r="C25" s="69" t="s">
        <v>47</v>
      </c>
    </row>
    <row r="26" spans="2:3" x14ac:dyDescent="0.25">
      <c r="B26" s="68"/>
      <c r="C26" s="69"/>
    </row>
    <row r="27" spans="2:3" ht="31.5" x14ac:dyDescent="0.25">
      <c r="B27" s="111">
        <v>12</v>
      </c>
      <c r="C27" s="69" t="s">
        <v>49</v>
      </c>
    </row>
    <row r="28" spans="2:3" x14ac:dyDescent="0.25">
      <c r="B28" s="112"/>
      <c r="C28" s="69" t="s">
        <v>32</v>
      </c>
    </row>
    <row r="29" spans="2:3" x14ac:dyDescent="0.25">
      <c r="B29" s="113"/>
      <c r="C29" s="69" t="s">
        <v>50</v>
      </c>
    </row>
    <row r="30" spans="2:3" x14ac:dyDescent="0.25">
      <c r="B30" s="68"/>
      <c r="C30" s="69"/>
    </row>
    <row r="31" spans="2:3" x14ac:dyDescent="0.25">
      <c r="B31" s="68">
        <v>13</v>
      </c>
      <c r="C31" s="69" t="s">
        <v>51</v>
      </c>
    </row>
    <row r="32" spans="2:3" x14ac:dyDescent="0.25">
      <c r="B32" s="68"/>
      <c r="C32" s="69"/>
    </row>
    <row r="33" spans="2:3" ht="31.5" x14ac:dyDescent="0.25">
      <c r="B33" s="111">
        <v>14</v>
      </c>
      <c r="C33" s="69" t="s">
        <v>52</v>
      </c>
    </row>
    <row r="34" spans="2:3" x14ac:dyDescent="0.25">
      <c r="B34" s="112"/>
      <c r="C34" s="69" t="s">
        <v>33</v>
      </c>
    </row>
    <row r="35" spans="2:3" x14ac:dyDescent="0.25">
      <c r="B35" s="113"/>
      <c r="C35" s="69" t="s">
        <v>53</v>
      </c>
    </row>
    <row r="36" spans="2:3" x14ac:dyDescent="0.25">
      <c r="B36" s="68"/>
      <c r="C36" s="69"/>
    </row>
    <row r="37" spans="2:3" x14ac:dyDescent="0.25">
      <c r="B37" s="111">
        <v>15</v>
      </c>
      <c r="C37" s="69" t="s">
        <v>54</v>
      </c>
    </row>
    <row r="38" spans="2:3" x14ac:dyDescent="0.25">
      <c r="B38" s="113"/>
      <c r="C38" s="69" t="s">
        <v>34</v>
      </c>
    </row>
    <row r="39" spans="2:3" x14ac:dyDescent="0.25">
      <c r="B39" s="68"/>
      <c r="C39" s="69"/>
    </row>
    <row r="40" spans="2:3" ht="31.5" x14ac:dyDescent="0.25">
      <c r="B40" s="111">
        <v>16</v>
      </c>
      <c r="C40" s="69" t="s">
        <v>55</v>
      </c>
    </row>
    <row r="41" spans="2:3" x14ac:dyDescent="0.25">
      <c r="B41" s="112"/>
      <c r="C41" s="69" t="s">
        <v>35</v>
      </c>
    </row>
    <row r="42" spans="2:3" x14ac:dyDescent="0.25">
      <c r="B42" s="113"/>
      <c r="C42" s="69" t="s">
        <v>56</v>
      </c>
    </row>
    <row r="43" spans="2:3" x14ac:dyDescent="0.25">
      <c r="B43" s="68"/>
      <c r="C43" s="69"/>
    </row>
    <row r="44" spans="2:3" ht="31.5" x14ac:dyDescent="0.25">
      <c r="B44" s="68">
        <v>17</v>
      </c>
      <c r="C44" s="69" t="s">
        <v>57</v>
      </c>
    </row>
    <row r="45" spans="2:3" x14ac:dyDescent="0.25">
      <c r="B45" s="68"/>
      <c r="C45" s="69"/>
    </row>
    <row r="46" spans="2:3" ht="31.5" x14ac:dyDescent="0.25">
      <c r="B46" s="111">
        <v>18</v>
      </c>
      <c r="C46" s="69" t="s">
        <v>58</v>
      </c>
    </row>
    <row r="47" spans="2:3" x14ac:dyDescent="0.25">
      <c r="B47" s="112"/>
      <c r="C47" s="69" t="s">
        <v>36</v>
      </c>
    </row>
    <row r="48" spans="2:3" x14ac:dyDescent="0.25">
      <c r="B48" s="113"/>
      <c r="C48" s="69" t="s">
        <v>59</v>
      </c>
    </row>
    <row r="49" spans="2:3" x14ac:dyDescent="0.25">
      <c r="B49" s="68"/>
      <c r="C49" s="69"/>
    </row>
    <row r="50" spans="2:3" x14ac:dyDescent="0.25">
      <c r="B50" s="68">
        <v>19</v>
      </c>
      <c r="C50" s="69" t="s">
        <v>60</v>
      </c>
    </row>
    <row r="51" spans="2:3" x14ac:dyDescent="0.25">
      <c r="B51" s="68"/>
      <c r="C51" s="69"/>
    </row>
    <row r="52" spans="2:3" ht="31.5" x14ac:dyDescent="0.25">
      <c r="B52" s="111">
        <v>20</v>
      </c>
      <c r="C52" s="69" t="s">
        <v>61</v>
      </c>
    </row>
    <row r="53" spans="2:3" x14ac:dyDescent="0.25">
      <c r="B53" s="112"/>
      <c r="C53" s="69" t="s">
        <v>37</v>
      </c>
    </row>
    <row r="54" spans="2:3" x14ac:dyDescent="0.25">
      <c r="B54" s="113"/>
      <c r="C54" s="69" t="s">
        <v>62</v>
      </c>
    </row>
    <row r="55" spans="2:3" x14ac:dyDescent="0.25">
      <c r="B55" s="68"/>
      <c r="C55" s="69"/>
    </row>
    <row r="56" spans="2:3" x14ac:dyDescent="0.25">
      <c r="B56" s="68">
        <v>21</v>
      </c>
      <c r="C56" s="69" t="s">
        <v>63</v>
      </c>
    </row>
    <row r="57" spans="2:3" x14ac:dyDescent="0.25">
      <c r="B57" s="68"/>
      <c r="C57" s="69"/>
    </row>
    <row r="58" spans="2:3" ht="16.5" thickBot="1" x14ac:dyDescent="0.3">
      <c r="B58" s="70">
        <v>22</v>
      </c>
      <c r="C58" s="71" t="s">
        <v>65</v>
      </c>
    </row>
  </sheetData>
  <mergeCells count="7">
    <mergeCell ref="B46:B48"/>
    <mergeCell ref="B52:B54"/>
    <mergeCell ref="B21:B23"/>
    <mergeCell ref="B27:B29"/>
    <mergeCell ref="B33:B35"/>
    <mergeCell ref="B37:B38"/>
    <mergeCell ref="B40:B4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Props1.xml><?xml version="1.0" encoding="utf-8"?>
<ds:datastoreItem xmlns:ds="http://schemas.openxmlformats.org/officeDocument/2006/customXml" ds:itemID="{1730A1E2-9171-48CF-A208-2C83E8E94235}">
  <ds:schemaRefs>
    <ds:schemaRef ds:uri="http://schemas.microsoft.com/sharepoint/v3/contenttype/forms"/>
  </ds:schemaRefs>
</ds:datastoreItem>
</file>

<file path=customXml/itemProps2.xml><?xml version="1.0" encoding="utf-8"?>
<ds:datastoreItem xmlns:ds="http://schemas.openxmlformats.org/officeDocument/2006/customXml" ds:itemID="{B0E4FE81-6603-41B9-8DEB-A69993A120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3C6EE6-E5B2-4CE8-B523-4B2ED91D23E4}">
  <ds:schemaRefs>
    <ds:schemaRef ds:uri="http://www.w3.org/XML/1998/namespace"/>
    <ds:schemaRef ds:uri="http://schemas.openxmlformats.org/package/2006/metadata/core-properties"/>
    <ds:schemaRef ds:uri="http://schemas.microsoft.com/office/2006/documentManagement/types"/>
    <ds:schemaRef ds:uri="http://purl.org/dc/dcmitype/"/>
    <ds:schemaRef ds:uri="d6eaa91c-3afb-4015-aba1-5ff992c1a5ca"/>
    <ds:schemaRef ds:uri="http://purl.org/dc/terms/"/>
    <ds:schemaRef ds:uri="http://schemas.microsoft.com/office/2006/metadata/properties"/>
    <ds:schemaRef ds:uri="http://schemas.microsoft.com/office/infopath/2007/PartnerControls"/>
    <ds:schemaRef ds:uri="4d1d2e24-7be0-47eb-a1db-99cc6d75caff"/>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GCO-GCI-107 (2)</vt:lpstr>
      <vt:lpstr>HOJA DE INSTRUCCIONES</vt:lpstr>
      <vt:lpstr>'GCO-GCI-107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Edison Guiovanni Clavijo Martinez</dc:creator>
  <cp:keywords/>
  <dc:description/>
  <cp:lastModifiedBy>Camila Zambrano</cp:lastModifiedBy>
  <cp:revision/>
  <cp:lastPrinted>2023-07-10T20:34:20Z</cp:lastPrinted>
  <dcterms:created xsi:type="dcterms:W3CDTF">2018-04-20T15:23:46Z</dcterms:created>
  <dcterms:modified xsi:type="dcterms:W3CDTF">2023-07-10T20:55:09Z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