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C:\Users\njimeneo\Desktop\NATALIA ADMINISTRATIVA\1. PROCESOS\7. MC-2023-XX AIRES\"/>
    </mc:Choice>
  </mc:AlternateContent>
  <xr:revisionPtr revIDLastSave="0" documentId="13_ncr:1_{E752AFAE-4F34-4200-B6DE-0A6955B39454}" xr6:coauthVersionLast="36" xr6:coauthVersionMax="36" xr10:uidLastSave="{00000000-0000-0000-0000-000000000000}"/>
  <bookViews>
    <workbookView xWindow="0" yWindow="0" windowWidth="8850" windowHeight="10515" activeTab="3" xr2:uid="{612A1526-EEE8-4ADD-9681-8805D05EB5B0}"/>
  </bookViews>
  <sheets>
    <sheet name="ESTUDIO DEL MERCADO" sheetId="2" r:id="rId1"/>
    <sheet name="ANALISIS SISTEMAS VRF" sheetId="14" r:id="rId2"/>
    <sheet name="ANALISIS MINI SPLIT" sheetId="15" r:id="rId3"/>
    <sheet name="POE" sheetId="16" r:id="rId4"/>
  </sheets>
  <definedNames>
    <definedName name="_xlnm.Print_Area" localSheetId="1">'ANALISIS SISTEMAS VRF'!$B$9:$AO$19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4" i="15" l="1"/>
  <c r="F15" i="16" l="1"/>
  <c r="F11" i="16"/>
  <c r="F13" i="16" s="1"/>
  <c r="G13" i="16" s="1"/>
  <c r="G15" i="16"/>
  <c r="F18" i="16"/>
  <c r="G18" i="16" s="1"/>
  <c r="F16" i="16"/>
  <c r="G16" i="16" s="1"/>
  <c r="F12" i="16"/>
  <c r="G12" i="16" s="1"/>
  <c r="F14" i="16"/>
  <c r="G14" i="16" s="1"/>
  <c r="L14" i="15"/>
  <c r="M14" i="15" s="1"/>
  <c r="L12" i="15"/>
  <c r="M12" i="15" s="1"/>
  <c r="M7" i="15"/>
  <c r="M8" i="15"/>
  <c r="M9" i="15"/>
  <c r="M10" i="15"/>
  <c r="M11" i="15"/>
  <c r="M13" i="15"/>
  <c r="M15" i="15"/>
  <c r="M16" i="15"/>
  <c r="M17" i="15"/>
  <c r="M18" i="15"/>
  <c r="M19" i="15"/>
  <c r="M20" i="15"/>
  <c r="M21" i="15"/>
  <c r="M22" i="15"/>
  <c r="M6" i="15"/>
  <c r="G21" i="16"/>
  <c r="G20" i="16"/>
  <c r="I9" i="16"/>
  <c r="I22" i="16" s="1"/>
  <c r="G8" i="16"/>
  <c r="G7" i="16"/>
  <c r="G6" i="16"/>
  <c r="G5" i="16"/>
  <c r="J14" i="15"/>
  <c r="K14" i="15" s="1"/>
  <c r="J12" i="15"/>
  <c r="K12" i="15" s="1"/>
  <c r="F15" i="15"/>
  <c r="F13" i="15"/>
  <c r="F12" i="15"/>
  <c r="F19" i="15"/>
  <c r="F17" i="15"/>
  <c r="F16" i="15"/>
  <c r="F18" i="15" s="1"/>
  <c r="K22" i="15"/>
  <c r="K7" i="15"/>
  <c r="K8" i="15"/>
  <c r="K9" i="15"/>
  <c r="K10" i="15"/>
  <c r="K11" i="15"/>
  <c r="K13" i="15"/>
  <c r="K15" i="15"/>
  <c r="K16" i="15"/>
  <c r="K17" i="15"/>
  <c r="K18" i="15"/>
  <c r="K19" i="15"/>
  <c r="K20" i="15"/>
  <c r="K21" i="15"/>
  <c r="K6" i="15"/>
  <c r="I10" i="15"/>
  <c r="I23" i="15" s="1"/>
  <c r="G6" i="15"/>
  <c r="G7" i="15"/>
  <c r="G8" i="15"/>
  <c r="G9" i="15"/>
  <c r="G11" i="15"/>
  <c r="G21" i="15"/>
  <c r="G22" i="15"/>
  <c r="M23" i="15" l="1"/>
  <c r="F17" i="16"/>
  <c r="G17" i="16" s="1"/>
  <c r="G19" i="16"/>
  <c r="G11" i="16"/>
  <c r="G17" i="15"/>
  <c r="G16" i="15"/>
  <c r="G12" i="15"/>
  <c r="K23" i="15"/>
  <c r="G13" i="15"/>
  <c r="G19" i="15"/>
  <c r="F20" i="15"/>
  <c r="G20" i="15" s="1"/>
  <c r="F14" i="15"/>
  <c r="AP13" i="14"/>
  <c r="AP14" i="14"/>
  <c r="AP15" i="14"/>
  <c r="AP16" i="14"/>
  <c r="AP17" i="14"/>
  <c r="AP18" i="14"/>
  <c r="AP19" i="14"/>
  <c r="AP20" i="14"/>
  <c r="AP21" i="14"/>
  <c r="AP24" i="14"/>
  <c r="AP25" i="14"/>
  <c r="AP26" i="14"/>
  <c r="AP27" i="14"/>
  <c r="AP28" i="14"/>
  <c r="AP29" i="14"/>
  <c r="AP30" i="14"/>
  <c r="AP31" i="14"/>
  <c r="AP32" i="14"/>
  <c r="AP33" i="14"/>
  <c r="AP34" i="14"/>
  <c r="AP35" i="14"/>
  <c r="AP36" i="14"/>
  <c r="AP12" i="14"/>
  <c r="AH23" i="14"/>
  <c r="AP23" i="14" s="1"/>
  <c r="AF22" i="14"/>
  <c r="AP22" i="14" s="1"/>
  <c r="G22" i="16" l="1"/>
  <c r="G23" i="16" s="1"/>
  <c r="G15" i="15"/>
  <c r="G18" i="15"/>
  <c r="G14" i="15"/>
  <c r="X36" i="14"/>
  <c r="V36" i="14"/>
  <c r="W36" i="14" s="1"/>
  <c r="S36" i="14"/>
  <c r="T36" i="14" s="1"/>
  <c r="P36" i="14"/>
  <c r="Q36" i="14" s="1"/>
  <c r="M36" i="14"/>
  <c r="N36" i="14" s="1"/>
  <c r="J36" i="14"/>
  <c r="K36" i="14" s="1"/>
  <c r="G36" i="14"/>
  <c r="H36" i="14" s="1"/>
  <c r="X35" i="14"/>
  <c r="V35" i="14"/>
  <c r="W35" i="14" s="1"/>
  <c r="S35" i="14"/>
  <c r="T35" i="14" s="1"/>
  <c r="P35" i="14"/>
  <c r="Q35" i="14" s="1"/>
  <c r="M35" i="14"/>
  <c r="N35" i="14" s="1"/>
  <c r="J35" i="14"/>
  <c r="K35" i="14" s="1"/>
  <c r="G35" i="14"/>
  <c r="H35" i="14" s="1"/>
  <c r="X34" i="14"/>
  <c r="V34" i="14"/>
  <c r="W34" i="14" s="1"/>
  <c r="S34" i="14"/>
  <c r="T34" i="14" s="1"/>
  <c r="P34" i="14"/>
  <c r="Q34" i="14" s="1"/>
  <c r="M34" i="14"/>
  <c r="N34" i="14" s="1"/>
  <c r="J34" i="14"/>
  <c r="K34" i="14" s="1"/>
  <c r="G34" i="14"/>
  <c r="H34" i="14" s="1"/>
  <c r="X33" i="14"/>
  <c r="V33" i="14"/>
  <c r="W33" i="14" s="1"/>
  <c r="S33" i="14"/>
  <c r="T33" i="14" s="1"/>
  <c r="P33" i="14"/>
  <c r="Q33" i="14" s="1"/>
  <c r="M33" i="14"/>
  <c r="N33" i="14" s="1"/>
  <c r="J33" i="14"/>
  <c r="K33" i="14" s="1"/>
  <c r="G33" i="14"/>
  <c r="H33" i="14" s="1"/>
  <c r="X32" i="14"/>
  <c r="V32" i="14"/>
  <c r="W32" i="14" s="1"/>
  <c r="S32" i="14"/>
  <c r="T32" i="14" s="1"/>
  <c r="P32" i="14"/>
  <c r="Q32" i="14" s="1"/>
  <c r="M32" i="14"/>
  <c r="N32" i="14" s="1"/>
  <c r="J32" i="14"/>
  <c r="K32" i="14" s="1"/>
  <c r="G32" i="14"/>
  <c r="H32" i="14" s="1"/>
  <c r="X31" i="14"/>
  <c r="V31" i="14"/>
  <c r="W31" i="14" s="1"/>
  <c r="S31" i="14"/>
  <c r="T31" i="14" s="1"/>
  <c r="P31" i="14"/>
  <c r="Q31" i="14" s="1"/>
  <c r="M31" i="14"/>
  <c r="N31" i="14" s="1"/>
  <c r="J31" i="14"/>
  <c r="K31" i="14" s="1"/>
  <c r="G31" i="14"/>
  <c r="H31" i="14" s="1"/>
  <c r="X30" i="14"/>
  <c r="V30" i="14"/>
  <c r="W30" i="14" s="1"/>
  <c r="S30" i="14"/>
  <c r="T30" i="14" s="1"/>
  <c r="P30" i="14"/>
  <c r="Q30" i="14" s="1"/>
  <c r="M30" i="14"/>
  <c r="N30" i="14" s="1"/>
  <c r="J30" i="14"/>
  <c r="K30" i="14" s="1"/>
  <c r="G30" i="14"/>
  <c r="H30" i="14" s="1"/>
  <c r="X29" i="14"/>
  <c r="V29" i="14"/>
  <c r="W29" i="14" s="1"/>
  <c r="S29" i="14"/>
  <c r="T29" i="14" s="1"/>
  <c r="P29" i="14"/>
  <c r="Q29" i="14" s="1"/>
  <c r="M29" i="14"/>
  <c r="N29" i="14" s="1"/>
  <c r="J29" i="14"/>
  <c r="K29" i="14" s="1"/>
  <c r="G29" i="14"/>
  <c r="H29" i="14" s="1"/>
  <c r="X28" i="14"/>
  <c r="V28" i="14"/>
  <c r="W28" i="14" s="1"/>
  <c r="S28" i="14"/>
  <c r="T28" i="14" s="1"/>
  <c r="P28" i="14"/>
  <c r="Q28" i="14" s="1"/>
  <c r="M28" i="14"/>
  <c r="N28" i="14" s="1"/>
  <c r="J28" i="14"/>
  <c r="K28" i="14" s="1"/>
  <c r="G28" i="14"/>
  <c r="H28" i="14" s="1"/>
  <c r="X27" i="14"/>
  <c r="V27" i="14"/>
  <c r="W27" i="14" s="1"/>
  <c r="S27" i="14"/>
  <c r="T27" i="14" s="1"/>
  <c r="P27" i="14"/>
  <c r="Q27" i="14" s="1"/>
  <c r="M27" i="14"/>
  <c r="N27" i="14" s="1"/>
  <c r="J27" i="14"/>
  <c r="K27" i="14" s="1"/>
  <c r="G27" i="14"/>
  <c r="H27" i="14" s="1"/>
  <c r="X26" i="14"/>
  <c r="V26" i="14"/>
  <c r="W26" i="14" s="1"/>
  <c r="S26" i="14"/>
  <c r="T26" i="14" s="1"/>
  <c r="P26" i="14"/>
  <c r="Q26" i="14" s="1"/>
  <c r="M26" i="14"/>
  <c r="N26" i="14" s="1"/>
  <c r="J26" i="14"/>
  <c r="K26" i="14" s="1"/>
  <c r="G26" i="14"/>
  <c r="H26" i="14" s="1"/>
  <c r="X25" i="14"/>
  <c r="V25" i="14"/>
  <c r="W25" i="14" s="1"/>
  <c r="S25" i="14"/>
  <c r="T25" i="14" s="1"/>
  <c r="P25" i="14"/>
  <c r="Q25" i="14" s="1"/>
  <c r="M25" i="14"/>
  <c r="N25" i="14" s="1"/>
  <c r="J25" i="14"/>
  <c r="K25" i="14" s="1"/>
  <c r="G25" i="14"/>
  <c r="H25" i="14" s="1"/>
  <c r="X24" i="14"/>
  <c r="V24" i="14"/>
  <c r="W24" i="14" s="1"/>
  <c r="S24" i="14"/>
  <c r="T24" i="14" s="1"/>
  <c r="P24" i="14"/>
  <c r="Q24" i="14" s="1"/>
  <c r="M24" i="14"/>
  <c r="N24" i="14" s="1"/>
  <c r="J24" i="14"/>
  <c r="K24" i="14" s="1"/>
  <c r="G24" i="14"/>
  <c r="H24" i="14" s="1"/>
  <c r="X23" i="14"/>
  <c r="V23" i="14"/>
  <c r="W23" i="14" s="1"/>
  <c r="S23" i="14"/>
  <c r="T23" i="14" s="1"/>
  <c r="P23" i="14"/>
  <c r="Q23" i="14" s="1"/>
  <c r="M23" i="14"/>
  <c r="N23" i="14" s="1"/>
  <c r="J23" i="14"/>
  <c r="K23" i="14" s="1"/>
  <c r="G23" i="14"/>
  <c r="H23" i="14" s="1"/>
  <c r="X22" i="14"/>
  <c r="V22" i="14"/>
  <c r="W22" i="14" s="1"/>
  <c r="S22" i="14"/>
  <c r="T22" i="14" s="1"/>
  <c r="P22" i="14"/>
  <c r="Q22" i="14" s="1"/>
  <c r="M22" i="14"/>
  <c r="N22" i="14" s="1"/>
  <c r="J22" i="14"/>
  <c r="K22" i="14" s="1"/>
  <c r="G22" i="14"/>
  <c r="H22" i="14" s="1"/>
  <c r="X21" i="14"/>
  <c r="V21" i="14"/>
  <c r="W21" i="14" s="1"/>
  <c r="S21" i="14"/>
  <c r="T21" i="14" s="1"/>
  <c r="P21" i="14"/>
  <c r="Q21" i="14" s="1"/>
  <c r="M21" i="14"/>
  <c r="N21" i="14" s="1"/>
  <c r="J21" i="14"/>
  <c r="K21" i="14" s="1"/>
  <c r="G21" i="14"/>
  <c r="H21" i="14" s="1"/>
  <c r="X19" i="14"/>
  <c r="V19" i="14"/>
  <c r="W19" i="14" s="1"/>
  <c r="S19" i="14"/>
  <c r="T19" i="14" s="1"/>
  <c r="P19" i="14"/>
  <c r="Q19" i="14" s="1"/>
  <c r="M19" i="14"/>
  <c r="N19" i="14" s="1"/>
  <c r="J19" i="14"/>
  <c r="K19" i="14" s="1"/>
  <c r="G19" i="14"/>
  <c r="H19" i="14" s="1"/>
  <c r="X18" i="14"/>
  <c r="V18" i="14"/>
  <c r="W18" i="14" s="1"/>
  <c r="S18" i="14"/>
  <c r="T18" i="14" s="1"/>
  <c r="P18" i="14"/>
  <c r="Q18" i="14" s="1"/>
  <c r="M18" i="14"/>
  <c r="N18" i="14" s="1"/>
  <c r="J18" i="14"/>
  <c r="K18" i="14" s="1"/>
  <c r="G18" i="14"/>
  <c r="H18" i="14" s="1"/>
  <c r="X17" i="14"/>
  <c r="V17" i="14"/>
  <c r="W17" i="14" s="1"/>
  <c r="S17" i="14"/>
  <c r="T17" i="14" s="1"/>
  <c r="P17" i="14"/>
  <c r="Q17" i="14" s="1"/>
  <c r="M17" i="14"/>
  <c r="N17" i="14" s="1"/>
  <c r="J17" i="14"/>
  <c r="K17" i="14" s="1"/>
  <c r="G17" i="14"/>
  <c r="H17" i="14" s="1"/>
  <c r="X16" i="14"/>
  <c r="V16" i="14"/>
  <c r="W16" i="14" s="1"/>
  <c r="S16" i="14"/>
  <c r="T16" i="14" s="1"/>
  <c r="P16" i="14"/>
  <c r="Q16" i="14" s="1"/>
  <c r="M16" i="14"/>
  <c r="N16" i="14" s="1"/>
  <c r="J16" i="14"/>
  <c r="K16" i="14" s="1"/>
  <c r="G16" i="14"/>
  <c r="H16" i="14" s="1"/>
  <c r="X15" i="14"/>
  <c r="V15" i="14"/>
  <c r="W15" i="14" s="1"/>
  <c r="S15" i="14"/>
  <c r="T15" i="14" s="1"/>
  <c r="P15" i="14"/>
  <c r="Q15" i="14" s="1"/>
  <c r="M15" i="14"/>
  <c r="N15" i="14" s="1"/>
  <c r="J15" i="14"/>
  <c r="K15" i="14" s="1"/>
  <c r="G15" i="14"/>
  <c r="H15" i="14" s="1"/>
  <c r="X14" i="14"/>
  <c r="V14" i="14"/>
  <c r="W14" i="14" s="1"/>
  <c r="S14" i="14"/>
  <c r="T14" i="14" s="1"/>
  <c r="P14" i="14"/>
  <c r="Q14" i="14" s="1"/>
  <c r="M14" i="14"/>
  <c r="N14" i="14" s="1"/>
  <c r="J14" i="14"/>
  <c r="K14" i="14" s="1"/>
  <c r="G14" i="14"/>
  <c r="H14" i="14" s="1"/>
  <c r="X13" i="14"/>
  <c r="V13" i="14"/>
  <c r="W13" i="14" s="1"/>
  <c r="S13" i="14"/>
  <c r="T13" i="14" s="1"/>
  <c r="P13" i="14"/>
  <c r="Q13" i="14" s="1"/>
  <c r="M13" i="14"/>
  <c r="N13" i="14" s="1"/>
  <c r="J13" i="14"/>
  <c r="K13" i="14" s="1"/>
  <c r="G13" i="14"/>
  <c r="H13" i="14" s="1"/>
  <c r="X12" i="14"/>
  <c r="V12" i="14"/>
  <c r="W12" i="14" s="1"/>
  <c r="S12" i="14"/>
  <c r="T12" i="14" s="1"/>
  <c r="P12" i="14"/>
  <c r="Q12" i="14" s="1"/>
  <c r="M12" i="14"/>
  <c r="N12" i="14" s="1"/>
  <c r="J12" i="14"/>
  <c r="K12" i="14" s="1"/>
  <c r="G12" i="14"/>
  <c r="H12" i="14" s="1"/>
  <c r="G23" i="15" l="1"/>
  <c r="Y12" i="14"/>
  <c r="Z12" i="14" s="1"/>
  <c r="Y13" i="14"/>
  <c r="Z13" i="14" s="1"/>
  <c r="Y14" i="14"/>
  <c r="Z14" i="14" s="1"/>
  <c r="Y15" i="14"/>
  <c r="Z15" i="14" s="1"/>
  <c r="Y16" i="14"/>
  <c r="Z16" i="14" s="1"/>
  <c r="Y17" i="14"/>
  <c r="Z17" i="14" s="1"/>
  <c r="Y18" i="14"/>
  <c r="Z18" i="14" s="1"/>
  <c r="Y19" i="14"/>
  <c r="Z19" i="14" s="1"/>
  <c r="Y21" i="14"/>
  <c r="Z21" i="14" s="1"/>
  <c r="Y22" i="14"/>
  <c r="Z22" i="14" s="1"/>
  <c r="Y23" i="14"/>
  <c r="Z23" i="14" s="1"/>
  <c r="Y24" i="14"/>
  <c r="Z24" i="14" s="1"/>
  <c r="Y25" i="14"/>
  <c r="Z25" i="14" s="1"/>
  <c r="Y26" i="14"/>
  <c r="Z26" i="14" s="1"/>
  <c r="Y27" i="14"/>
  <c r="Z27" i="14" s="1"/>
  <c r="Y28" i="14"/>
  <c r="Z28" i="14" s="1"/>
  <c r="Y29" i="14"/>
  <c r="Z29" i="14" s="1"/>
  <c r="Y30" i="14"/>
  <c r="Z30" i="14" s="1"/>
  <c r="Y31" i="14"/>
  <c r="Z31" i="14" s="1"/>
  <c r="Y32" i="14"/>
  <c r="Z32" i="14" s="1"/>
  <c r="Y33" i="14"/>
  <c r="Z33" i="14" s="1"/>
  <c r="Y34" i="14"/>
  <c r="Z34" i="14" s="1"/>
  <c r="Y35" i="14"/>
  <c r="Z35" i="14" s="1"/>
  <c r="Y36" i="14"/>
  <c r="Z36" i="14" s="1"/>
  <c r="AA29" i="14" l="1"/>
  <c r="AG29" i="14"/>
  <c r="AM29" i="14"/>
  <c r="AE29" i="14"/>
  <c r="AK29" i="14"/>
  <c r="AC29" i="14"/>
  <c r="AI29" i="14"/>
  <c r="AO29" i="14"/>
  <c r="AA12" i="14"/>
  <c r="AM12" i="14"/>
  <c r="AE12" i="14"/>
  <c r="AK12" i="14"/>
  <c r="AC12" i="14"/>
  <c r="AI12" i="14"/>
  <c r="AO12" i="14"/>
  <c r="AG12" i="14"/>
  <c r="AA36" i="14"/>
  <c r="AE36" i="14"/>
  <c r="AK36" i="14"/>
  <c r="AC36" i="14"/>
  <c r="AI36" i="14"/>
  <c r="AO36" i="14"/>
  <c r="AG36" i="14"/>
  <c r="AM36" i="14"/>
  <c r="AA28" i="14"/>
  <c r="AM28" i="14"/>
  <c r="AK28" i="14"/>
  <c r="AC28" i="14"/>
  <c r="AI28" i="14"/>
  <c r="AO28" i="14"/>
  <c r="AG28" i="14"/>
  <c r="AE28" i="14"/>
  <c r="AA19" i="14"/>
  <c r="AK19" i="14"/>
  <c r="AI19" i="14"/>
  <c r="AC19" i="14"/>
  <c r="AO19" i="14"/>
  <c r="AG19" i="14"/>
  <c r="AM19" i="14"/>
  <c r="AE19" i="14"/>
  <c r="AA35" i="14"/>
  <c r="AK35" i="14"/>
  <c r="AC35" i="14"/>
  <c r="AI35" i="14"/>
  <c r="AO35" i="14"/>
  <c r="AG35" i="14"/>
  <c r="AM35" i="14"/>
  <c r="AE35" i="14"/>
  <c r="AA27" i="14"/>
  <c r="AE27" i="14"/>
  <c r="AK27" i="14"/>
  <c r="AC27" i="14"/>
  <c r="AI27" i="14"/>
  <c r="AO27" i="14"/>
  <c r="AG27" i="14"/>
  <c r="AM27" i="14"/>
  <c r="AA18" i="14"/>
  <c r="AC18" i="14"/>
  <c r="AI18" i="14"/>
  <c r="AO18" i="14"/>
  <c r="AG18" i="14"/>
  <c r="AM18" i="14"/>
  <c r="AE18" i="14"/>
  <c r="AK18" i="14"/>
  <c r="AA34" i="14"/>
  <c r="AC34" i="14"/>
  <c r="AI34" i="14"/>
  <c r="AO34" i="14"/>
  <c r="AG34" i="14"/>
  <c r="AM34" i="14"/>
  <c r="AE34" i="14"/>
  <c r="AK34" i="14"/>
  <c r="AA26" i="14"/>
  <c r="AK26" i="14"/>
  <c r="AC26" i="14"/>
  <c r="AI26" i="14"/>
  <c r="AG26" i="14"/>
  <c r="AO26" i="14"/>
  <c r="AM26" i="14"/>
  <c r="AE26" i="14"/>
  <c r="AA17" i="14"/>
  <c r="AI17" i="14"/>
  <c r="AO17" i="14"/>
  <c r="AG17" i="14"/>
  <c r="AC17" i="14"/>
  <c r="AM17" i="14"/>
  <c r="AE17" i="14"/>
  <c r="AK17" i="14"/>
  <c r="AA33" i="14"/>
  <c r="AA37" i="14" s="1"/>
  <c r="AK33" i="14"/>
  <c r="AI33" i="14"/>
  <c r="AO33" i="14"/>
  <c r="AG33" i="14"/>
  <c r="AM33" i="14"/>
  <c r="AE33" i="14"/>
  <c r="AC33" i="14"/>
  <c r="AA25" i="14"/>
  <c r="AI25" i="14"/>
  <c r="AO25" i="14"/>
  <c r="AG25" i="14"/>
  <c r="AM25" i="14"/>
  <c r="AE25" i="14"/>
  <c r="AK25" i="14"/>
  <c r="AC25" i="14"/>
  <c r="AA16" i="14"/>
  <c r="AC16" i="14"/>
  <c r="AI16" i="14"/>
  <c r="AO16" i="14"/>
  <c r="AG16" i="14"/>
  <c r="AM16" i="14"/>
  <c r="AE16" i="14"/>
  <c r="AK16" i="14"/>
  <c r="AA32" i="14"/>
  <c r="AO32" i="14"/>
  <c r="AG32" i="14"/>
  <c r="AM32" i="14"/>
  <c r="AE32" i="14"/>
  <c r="AK32" i="14"/>
  <c r="AC32" i="14"/>
  <c r="AI32" i="14"/>
  <c r="AA24" i="14"/>
  <c r="AO24" i="14"/>
  <c r="AG24" i="14"/>
  <c r="AM24" i="14"/>
  <c r="AE24" i="14"/>
  <c r="AK24" i="14"/>
  <c r="AC24" i="14"/>
  <c r="AI24" i="14"/>
  <c r="AA15" i="14"/>
  <c r="AO15" i="14"/>
  <c r="AG15" i="14"/>
  <c r="AM15" i="14"/>
  <c r="AE15" i="14"/>
  <c r="AK15" i="14"/>
  <c r="AC15" i="14"/>
  <c r="AI15" i="14"/>
  <c r="AA31" i="14"/>
  <c r="AO31" i="14"/>
  <c r="AG31" i="14"/>
  <c r="AM31" i="14"/>
  <c r="AE31" i="14"/>
  <c r="AK31" i="14"/>
  <c r="AC31" i="14"/>
  <c r="AI31" i="14"/>
  <c r="AA23" i="14"/>
  <c r="AO23" i="14"/>
  <c r="AG23" i="14"/>
  <c r="AM23" i="14"/>
  <c r="AE23" i="14"/>
  <c r="AK23" i="14"/>
  <c r="AC23" i="14"/>
  <c r="AI23" i="14"/>
  <c r="AA14" i="14"/>
  <c r="AO14" i="14"/>
  <c r="AG14" i="14"/>
  <c r="AM14" i="14"/>
  <c r="AE14" i="14"/>
  <c r="AK14" i="14"/>
  <c r="AC14" i="14"/>
  <c r="AI14" i="14"/>
  <c r="AA30" i="14"/>
  <c r="AG30" i="14"/>
  <c r="AM30" i="14"/>
  <c r="AE30" i="14"/>
  <c r="AK30" i="14"/>
  <c r="AC30" i="14"/>
  <c r="AI30" i="14"/>
  <c r="AO30" i="14"/>
  <c r="AA22" i="14"/>
  <c r="AM22" i="14"/>
  <c r="AE22" i="14"/>
  <c r="AK22" i="14"/>
  <c r="AC22" i="14"/>
  <c r="AI22" i="14"/>
  <c r="AO22" i="14"/>
  <c r="AG22" i="14"/>
  <c r="AA13" i="14"/>
  <c r="AM13" i="14"/>
  <c r="AE13" i="14"/>
  <c r="AK13" i="14"/>
  <c r="AC13" i="14"/>
  <c r="AI13" i="14"/>
  <c r="AO13" i="14"/>
  <c r="AG13" i="14"/>
  <c r="AA21" i="14"/>
  <c r="AM21" i="14"/>
  <c r="AE21" i="14"/>
  <c r="AK21" i="14"/>
  <c r="AC21" i="14"/>
  <c r="AI21" i="14"/>
  <c r="AO21" i="14"/>
  <c r="AG21" i="14"/>
  <c r="AM37" i="14" l="1"/>
  <c r="AG37" i="14"/>
  <c r="AO37" i="14"/>
  <c r="AI37" i="14"/>
  <c r="AC37" i="14"/>
  <c r="AK37" i="14"/>
  <c r="AE37" i="14"/>
  <c r="X41" i="2"/>
  <c r="X40" i="2"/>
  <c r="Y40" i="2" s="1"/>
  <c r="X39" i="2"/>
  <c r="AC38" i="14" l="1"/>
  <c r="X24" i="2"/>
  <c r="Y24" i="2" s="1"/>
  <c r="X23" i="2"/>
  <c r="X22" i="2"/>
  <c r="X21" i="2"/>
  <c r="Y21" i="2" s="1"/>
  <c r="X20" i="2"/>
  <c r="Y20" i="2" s="1"/>
  <c r="X19" i="2"/>
  <c r="Y19" i="2" s="1"/>
  <c r="X18" i="2"/>
  <c r="Y18" i="2" s="1"/>
  <c r="X17" i="2"/>
  <c r="Y17" i="2" s="1"/>
  <c r="X16" i="2"/>
  <c r="Y16" i="2" s="1"/>
  <c r="X15" i="2"/>
  <c r="X14" i="2"/>
  <c r="X13" i="2"/>
  <c r="X12" i="2"/>
  <c r="Y12" i="2" s="1"/>
  <c r="Z12" i="2" l="1"/>
  <c r="AA12" i="2" s="1"/>
  <c r="Y13" i="2"/>
  <c r="Y14" i="2"/>
  <c r="Y15" i="2"/>
  <c r="Z15" i="2" s="1"/>
  <c r="AA15" i="2" s="1"/>
  <c r="Z17" i="2"/>
  <c r="AA17" i="2" s="1"/>
  <c r="Z19" i="2"/>
  <c r="AA19" i="2" s="1"/>
  <c r="Z20" i="2"/>
  <c r="AA20" i="2" s="1"/>
  <c r="Z21" i="2"/>
  <c r="AA21" i="2" s="1"/>
  <c r="Y22" i="2"/>
  <c r="Y23" i="2"/>
  <c r="Z23" i="2" s="1"/>
  <c r="AA23" i="2" s="1"/>
  <c r="V12" i="2"/>
  <c r="W12" i="2" s="1"/>
  <c r="G12" i="2"/>
  <c r="H12" i="2" s="1"/>
  <c r="J41" i="2"/>
  <c r="K41" i="2" s="1"/>
  <c r="Z14" i="2"/>
  <c r="AA14" i="2" s="1"/>
  <c r="Z16" i="2"/>
  <c r="AA16" i="2" s="1"/>
  <c r="Z18" i="2"/>
  <c r="AA18" i="2" s="1"/>
  <c r="Z22" i="2"/>
  <c r="AA22" i="2" s="1"/>
  <c r="V13" i="2"/>
  <c r="W13" i="2" s="1"/>
  <c r="V14" i="2"/>
  <c r="W14" i="2" s="1"/>
  <c r="V15" i="2"/>
  <c r="W15" i="2" s="1"/>
  <c r="V16" i="2"/>
  <c r="W16" i="2" s="1"/>
  <c r="V17" i="2"/>
  <c r="W17" i="2" s="1"/>
  <c r="V18" i="2"/>
  <c r="W18" i="2" s="1"/>
  <c r="V19" i="2"/>
  <c r="W19" i="2" s="1"/>
  <c r="V20" i="2"/>
  <c r="W20" i="2" s="1"/>
  <c r="V21" i="2"/>
  <c r="W21" i="2" s="1"/>
  <c r="V22" i="2"/>
  <c r="W22" i="2" s="1"/>
  <c r="V23" i="2"/>
  <c r="W23" i="2" s="1"/>
  <c r="V24" i="2"/>
  <c r="W24" i="2" s="1"/>
  <c r="V26" i="2"/>
  <c r="W26" i="2" s="1"/>
  <c r="V27" i="2"/>
  <c r="W27" i="2" s="1"/>
  <c r="V28" i="2"/>
  <c r="W28" i="2" s="1"/>
  <c r="V29" i="2"/>
  <c r="W29" i="2" s="1"/>
  <c r="V30" i="2"/>
  <c r="W30" i="2" s="1"/>
  <c r="V31" i="2"/>
  <c r="W31" i="2" s="1"/>
  <c r="V32" i="2"/>
  <c r="W32" i="2" s="1"/>
  <c r="V33" i="2"/>
  <c r="W33" i="2" s="1"/>
  <c r="V34" i="2"/>
  <c r="W34" i="2" s="1"/>
  <c r="V35" i="2"/>
  <c r="W35" i="2" s="1"/>
  <c r="V36" i="2"/>
  <c r="W36" i="2" s="1"/>
  <c r="V37" i="2"/>
  <c r="W37" i="2" s="1"/>
  <c r="V38" i="2"/>
  <c r="W38" i="2" s="1"/>
  <c r="V39" i="2"/>
  <c r="W39" i="2" s="1"/>
  <c r="V40" i="2"/>
  <c r="W40" i="2" s="1"/>
  <c r="V41" i="2"/>
  <c r="W41" i="2" s="1"/>
  <c r="S13" i="2"/>
  <c r="T13" i="2" s="1"/>
  <c r="S14" i="2"/>
  <c r="T14" i="2" s="1"/>
  <c r="S15" i="2"/>
  <c r="T15" i="2" s="1"/>
  <c r="S16" i="2"/>
  <c r="T16" i="2" s="1"/>
  <c r="S17" i="2"/>
  <c r="T17" i="2" s="1"/>
  <c r="S18" i="2"/>
  <c r="T18" i="2" s="1"/>
  <c r="S19" i="2"/>
  <c r="T19" i="2" s="1"/>
  <c r="S20" i="2"/>
  <c r="T20" i="2" s="1"/>
  <c r="S21" i="2"/>
  <c r="T21" i="2" s="1"/>
  <c r="S22" i="2"/>
  <c r="T22" i="2" s="1"/>
  <c r="S23" i="2"/>
  <c r="T23" i="2" s="1"/>
  <c r="S24" i="2"/>
  <c r="T24" i="2" s="1"/>
  <c r="S26" i="2"/>
  <c r="T26" i="2" s="1"/>
  <c r="S27" i="2"/>
  <c r="T27" i="2" s="1"/>
  <c r="S28" i="2"/>
  <c r="T28" i="2" s="1"/>
  <c r="S29" i="2"/>
  <c r="T29" i="2" s="1"/>
  <c r="S30" i="2"/>
  <c r="T30" i="2" s="1"/>
  <c r="S31" i="2"/>
  <c r="T31" i="2" s="1"/>
  <c r="S32" i="2"/>
  <c r="T32" i="2" s="1"/>
  <c r="S33" i="2"/>
  <c r="T33" i="2" s="1"/>
  <c r="S34" i="2"/>
  <c r="T34" i="2" s="1"/>
  <c r="S35" i="2"/>
  <c r="T35" i="2" s="1"/>
  <c r="S36" i="2"/>
  <c r="T36" i="2" s="1"/>
  <c r="S37" i="2"/>
  <c r="T37" i="2" s="1"/>
  <c r="S38" i="2"/>
  <c r="T38" i="2" s="1"/>
  <c r="S39" i="2"/>
  <c r="T39" i="2" s="1"/>
  <c r="S40" i="2"/>
  <c r="T40" i="2" s="1"/>
  <c r="S41" i="2"/>
  <c r="T41" i="2" s="1"/>
  <c r="S12" i="2"/>
  <c r="T12" i="2" s="1"/>
  <c r="P40" i="2"/>
  <c r="Q40" i="2" s="1"/>
  <c r="P41" i="2"/>
  <c r="Q41" i="2" s="1"/>
  <c r="P27" i="2"/>
  <c r="Q27" i="2" s="1"/>
  <c r="P28" i="2"/>
  <c r="Q28" i="2" s="1"/>
  <c r="P29" i="2"/>
  <c r="Q29" i="2" s="1"/>
  <c r="P30" i="2"/>
  <c r="Q30" i="2" s="1"/>
  <c r="P31" i="2"/>
  <c r="Q31" i="2" s="1"/>
  <c r="P32" i="2"/>
  <c r="Q32" i="2" s="1"/>
  <c r="P33" i="2"/>
  <c r="Q33" i="2" s="1"/>
  <c r="P34" i="2"/>
  <c r="Q34" i="2" s="1"/>
  <c r="P35" i="2"/>
  <c r="Q35" i="2" s="1"/>
  <c r="P36" i="2"/>
  <c r="Q36" i="2" s="1"/>
  <c r="P37" i="2"/>
  <c r="Q37" i="2" s="1"/>
  <c r="P38" i="2"/>
  <c r="Q38" i="2" s="1"/>
  <c r="P39" i="2"/>
  <c r="Q39" i="2" s="1"/>
  <c r="P26" i="2"/>
  <c r="Q26" i="2" s="1"/>
  <c r="P13" i="2"/>
  <c r="Q13" i="2" s="1"/>
  <c r="P14" i="2"/>
  <c r="Q14" i="2" s="1"/>
  <c r="P15" i="2"/>
  <c r="Q15" i="2" s="1"/>
  <c r="P16" i="2"/>
  <c r="Q16" i="2" s="1"/>
  <c r="P17" i="2"/>
  <c r="Q17" i="2" s="1"/>
  <c r="P18" i="2"/>
  <c r="Q18" i="2" s="1"/>
  <c r="P19" i="2"/>
  <c r="Q19" i="2" s="1"/>
  <c r="P20" i="2"/>
  <c r="Q20" i="2" s="1"/>
  <c r="P21" i="2"/>
  <c r="Q21" i="2" s="1"/>
  <c r="P22" i="2"/>
  <c r="Q22" i="2" s="1"/>
  <c r="P23" i="2"/>
  <c r="Q23" i="2" s="1"/>
  <c r="P24" i="2"/>
  <c r="Q24" i="2" s="1"/>
  <c r="P12" i="2"/>
  <c r="Q12" i="2" s="1"/>
  <c r="M27" i="2"/>
  <c r="N27" i="2" s="1"/>
  <c r="M28" i="2"/>
  <c r="N28" i="2" s="1"/>
  <c r="M29" i="2"/>
  <c r="N29" i="2" s="1"/>
  <c r="M30" i="2"/>
  <c r="N30" i="2" s="1"/>
  <c r="M31" i="2"/>
  <c r="N31" i="2" s="1"/>
  <c r="M32" i="2"/>
  <c r="N32" i="2" s="1"/>
  <c r="M33" i="2"/>
  <c r="N33" i="2" s="1"/>
  <c r="M34" i="2"/>
  <c r="N34" i="2" s="1"/>
  <c r="M35" i="2"/>
  <c r="N35" i="2" s="1"/>
  <c r="M36" i="2"/>
  <c r="N36" i="2" s="1"/>
  <c r="M37" i="2"/>
  <c r="N37" i="2" s="1"/>
  <c r="M38" i="2"/>
  <c r="N38" i="2" s="1"/>
  <c r="M39" i="2"/>
  <c r="N39" i="2" s="1"/>
  <c r="M40" i="2"/>
  <c r="N40" i="2" s="1"/>
  <c r="M41" i="2"/>
  <c r="N41" i="2" s="1"/>
  <c r="M26" i="2"/>
  <c r="N26" i="2" s="1"/>
  <c r="M13" i="2"/>
  <c r="N13" i="2" s="1"/>
  <c r="M14" i="2"/>
  <c r="N14" i="2" s="1"/>
  <c r="M15" i="2"/>
  <c r="N15" i="2" s="1"/>
  <c r="M16" i="2"/>
  <c r="N16" i="2" s="1"/>
  <c r="M17" i="2"/>
  <c r="N17" i="2" s="1"/>
  <c r="M18" i="2"/>
  <c r="N18" i="2" s="1"/>
  <c r="M19" i="2"/>
  <c r="N19" i="2" s="1"/>
  <c r="M20" i="2"/>
  <c r="N20" i="2" s="1"/>
  <c r="M21" i="2"/>
  <c r="N21" i="2" s="1"/>
  <c r="M22" i="2"/>
  <c r="N22" i="2" s="1"/>
  <c r="M23" i="2"/>
  <c r="N23" i="2" s="1"/>
  <c r="M24" i="2"/>
  <c r="N24" i="2" s="1"/>
  <c r="M12" i="2"/>
  <c r="N12" i="2" s="1"/>
  <c r="J27" i="2"/>
  <c r="K27" i="2" s="1"/>
  <c r="J28" i="2"/>
  <c r="K28" i="2" s="1"/>
  <c r="J29" i="2"/>
  <c r="K29" i="2" s="1"/>
  <c r="J30" i="2"/>
  <c r="K30" i="2" s="1"/>
  <c r="J31" i="2"/>
  <c r="K31" i="2" s="1"/>
  <c r="J32" i="2"/>
  <c r="K32" i="2" s="1"/>
  <c r="J33" i="2"/>
  <c r="K33" i="2" s="1"/>
  <c r="J34" i="2"/>
  <c r="K34" i="2" s="1"/>
  <c r="J35" i="2"/>
  <c r="K35" i="2" s="1"/>
  <c r="J36" i="2"/>
  <c r="K36" i="2" s="1"/>
  <c r="J37" i="2"/>
  <c r="K37" i="2" s="1"/>
  <c r="J38" i="2"/>
  <c r="K38" i="2" s="1"/>
  <c r="J39" i="2"/>
  <c r="K39" i="2" s="1"/>
  <c r="J40" i="2"/>
  <c r="K40" i="2" s="1"/>
  <c r="J26" i="2"/>
  <c r="K26" i="2" s="1"/>
  <c r="J13" i="2"/>
  <c r="K13" i="2" s="1"/>
  <c r="J14" i="2"/>
  <c r="K14" i="2" s="1"/>
  <c r="J15" i="2"/>
  <c r="K15" i="2" s="1"/>
  <c r="J16" i="2"/>
  <c r="K16" i="2" s="1"/>
  <c r="J17" i="2"/>
  <c r="K17" i="2" s="1"/>
  <c r="J18" i="2"/>
  <c r="K18" i="2" s="1"/>
  <c r="J19" i="2"/>
  <c r="K19" i="2" s="1"/>
  <c r="J20" i="2"/>
  <c r="K20" i="2" s="1"/>
  <c r="J21" i="2"/>
  <c r="K21" i="2" s="1"/>
  <c r="J22" i="2"/>
  <c r="K22" i="2" s="1"/>
  <c r="J23" i="2"/>
  <c r="K23" i="2" s="1"/>
  <c r="J24" i="2"/>
  <c r="K24" i="2" s="1"/>
  <c r="J12" i="2"/>
  <c r="K12" i="2" s="1"/>
  <c r="G27" i="2"/>
  <c r="H27" i="2" s="1"/>
  <c r="G28" i="2"/>
  <c r="H28" i="2" s="1"/>
  <c r="G29" i="2"/>
  <c r="H29" i="2" s="1"/>
  <c r="G30" i="2"/>
  <c r="H30" i="2" s="1"/>
  <c r="G31" i="2"/>
  <c r="H31" i="2" s="1"/>
  <c r="G32" i="2"/>
  <c r="H32" i="2" s="1"/>
  <c r="G33" i="2"/>
  <c r="H33" i="2" s="1"/>
  <c r="G34" i="2"/>
  <c r="H34" i="2" s="1"/>
  <c r="G35" i="2"/>
  <c r="H35" i="2" s="1"/>
  <c r="G36" i="2"/>
  <c r="H36" i="2" s="1"/>
  <c r="G37" i="2"/>
  <c r="H37" i="2" s="1"/>
  <c r="G38" i="2"/>
  <c r="H38" i="2" s="1"/>
  <c r="G39" i="2"/>
  <c r="H39" i="2" s="1"/>
  <c r="G40" i="2"/>
  <c r="H40" i="2" s="1"/>
  <c r="G41" i="2"/>
  <c r="H41" i="2" s="1"/>
  <c r="G26" i="2"/>
  <c r="H26" i="2" s="1"/>
  <c r="G13" i="2"/>
  <c r="H13" i="2" s="1"/>
  <c r="G14" i="2"/>
  <c r="H14" i="2" s="1"/>
  <c r="G15" i="2"/>
  <c r="H15" i="2" s="1"/>
  <c r="G16" i="2"/>
  <c r="H16" i="2" s="1"/>
  <c r="G17" i="2"/>
  <c r="H17" i="2" s="1"/>
  <c r="G18" i="2"/>
  <c r="H18" i="2" s="1"/>
  <c r="G19" i="2"/>
  <c r="H19" i="2" s="1"/>
  <c r="G20" i="2"/>
  <c r="H20" i="2" s="1"/>
  <c r="G21" i="2"/>
  <c r="H21" i="2" s="1"/>
  <c r="G22" i="2"/>
  <c r="H22" i="2" s="1"/>
  <c r="G23" i="2"/>
  <c r="H23" i="2" s="1"/>
  <c r="G24" i="2"/>
  <c r="H24" i="2" s="1"/>
  <c r="Z13" i="2" l="1"/>
  <c r="AA13" i="2" s="1"/>
  <c r="Z40" i="2"/>
  <c r="AA40" i="2" s="1"/>
  <c r="Z24" i="2"/>
  <c r="AA24" i="2" s="1"/>
  <c r="X38" i="2" l="1"/>
  <c r="Y38" i="2" s="1"/>
  <c r="Z38" i="2" s="1"/>
  <c r="AA38" i="2" s="1"/>
  <c r="X37" i="2"/>
  <c r="X36" i="2"/>
  <c r="X35" i="2"/>
  <c r="X34" i="2"/>
  <c r="Y34" i="2" s="1"/>
  <c r="Z34" i="2" s="1"/>
  <c r="AA34" i="2" s="1"/>
  <c r="X33" i="2"/>
  <c r="X32" i="2"/>
  <c r="X31" i="2"/>
  <c r="X30" i="2"/>
  <c r="Y30" i="2" s="1"/>
  <c r="Z30" i="2" s="1"/>
  <c r="AA30" i="2" s="1"/>
  <c r="X29" i="2"/>
  <c r="X28" i="2"/>
  <c r="X27" i="2"/>
  <c r="X26" i="2"/>
  <c r="Y26" i="2" s="1"/>
  <c r="Z26" i="2" s="1"/>
  <c r="AA26" i="2" s="1"/>
  <c r="Y31" i="2" l="1"/>
  <c r="Z31" i="2" s="1"/>
  <c r="AA31" i="2" s="1"/>
  <c r="Y35" i="2"/>
  <c r="Z35" i="2" s="1"/>
  <c r="AA35" i="2" s="1"/>
  <c r="Y39" i="2"/>
  <c r="Z39" i="2" s="1"/>
  <c r="AA39" i="2" s="1"/>
  <c r="Y28" i="2"/>
  <c r="Z28" i="2" s="1"/>
  <c r="AA28" i="2" s="1"/>
  <c r="Y32" i="2"/>
  <c r="Z32" i="2" s="1"/>
  <c r="AA32" i="2" s="1"/>
  <c r="Y36" i="2"/>
  <c r="Z36" i="2" s="1"/>
  <c r="AA36" i="2" s="1"/>
  <c r="Y41" i="2"/>
  <c r="Z41" i="2" s="1"/>
  <c r="AA41" i="2" s="1"/>
  <c r="Y27" i="2"/>
  <c r="Z27" i="2" s="1"/>
  <c r="AA27" i="2" s="1"/>
  <c r="AA42" i="2" s="1"/>
  <c r="Y29" i="2"/>
  <c r="Z29" i="2" s="1"/>
  <c r="AA29" i="2" s="1"/>
  <c r="Y33" i="2"/>
  <c r="Z33" i="2" s="1"/>
  <c r="AA33" i="2" s="1"/>
  <c r="Y37" i="2"/>
  <c r="Z37" i="2" s="1"/>
  <c r="AA37" i="2" s="1"/>
</calcChain>
</file>

<file path=xl/sharedStrings.xml><?xml version="1.0" encoding="utf-8"?>
<sst xmlns="http://schemas.openxmlformats.org/spreadsheetml/2006/main" count="329" uniqueCount="92">
  <si>
    <t>UND</t>
  </si>
  <si>
    <t>MTS</t>
  </si>
  <si>
    <t>CABLE DE COMUNICACIÓN 3X18</t>
  </si>
  <si>
    <t xml:space="preserve">ITEM </t>
  </si>
  <si>
    <t xml:space="preserve">DESCRIPCIÓN </t>
  </si>
  <si>
    <t>UNIDAD</t>
  </si>
  <si>
    <t>CANTIDAD</t>
  </si>
  <si>
    <t xml:space="preserve">Pase muro de 1" a 2" espesor de 20 a 40 cm </t>
  </si>
  <si>
    <t>Suministro e instalación TUBERIA DE COBRE Ф1/2 incluye accesorios y elementos de fijación para su correcto funcionamiento</t>
  </si>
  <si>
    <t xml:space="preserve">Suministro e instalación RUBATEX  1/4 </t>
  </si>
  <si>
    <t xml:space="preserve">Suministro e instalación RUBATEX  3/8  </t>
  </si>
  <si>
    <t xml:space="preserve">Suministro e instalación RUBATEX  1/2 </t>
  </si>
  <si>
    <t xml:space="preserve">Suministro e instalación RUBATEX  5/8  </t>
  </si>
  <si>
    <t xml:space="preserve">Suministro e instalación RUBATEX  3/4  </t>
  </si>
  <si>
    <t xml:space="preserve">Suministro e instalación RUBATEX  7/8 </t>
  </si>
  <si>
    <t xml:space="preserve">Suministro e instalación TUBERIA PVC 3/4 incluye accesorios y elementos de fijación, para desagües. </t>
  </si>
  <si>
    <t>A</t>
  </si>
  <si>
    <t>EQUIPOS DE REFRIGERACIÓN Y VENTILACIÓN</t>
  </si>
  <si>
    <t>Suministro, instalación y puesta en funcionamiento de equipo mini Split de 12.000 BTU, Inverter, R410A, 220v, consumo energético tipo A o B. Incluye, Soporte para manejadora, soporte para condensadora con sus respectivos dilatadores en neopreno, Kit de tubería de cobre 3 mts, rubatex y recarga de refrigerante.</t>
  </si>
  <si>
    <t>Suministro, instalación y puesta en funcionamiento de equipo mini Split de 18.000 BTU, Inverter, R410A, 220v, consumo energético tipo A o B. Incluye, Soporte para manejadora, soporte para condensadora con sus respectivos dilatadores en neopreno, Kit de tubería de cobre 3 mts, rubatex y recarga de refrigerante.</t>
  </si>
  <si>
    <t>Suministro, instalación y puesta en funcionamiento de equipo mini Split de 24.000 BTU, Inverter, R410A, 220v, consumo energético tipo A o B. Incluye, Soporte para manejadora, soporte para condensadora con sus respectivos dilatadores en neopreno, Kit de tubería de cobre 3 mts, rubatex y recarga de refrigerante.</t>
  </si>
  <si>
    <t>Suministro, instalación y puesta en funcionamiento de equipo mini Split de 36.000 BTU, Inverter, R410A, 220v, consumo energético tipo A o B. Incluye, Soporte para manejadora, soporte para condensadora con sus respectivos dilatadores en neopreno, Kit de tubería de cobre 3 mts, rubatex y recarga de refrigerante.</t>
  </si>
  <si>
    <t xml:space="preserve">Unidad de ventilación extracción de aire; motor de 3HP, 220v,1750RPM, Transmisión por banda, ventilador centrifugo caudal 6000CFM, buitrón en lámina galvanizada para toma y salida de aire hasta 15 metros, rejillas en aluminio, base para instalación piso con dilatadores sen neopreno, soportes de fijación y anclaje. </t>
  </si>
  <si>
    <t>B</t>
  </si>
  <si>
    <t>ELEMENTOS NECESARIOS PARA LA INSTALACIÓN DE LOS EQUIPOS</t>
  </si>
  <si>
    <t>Suministro e instalación de accesorio ramal para unidades interiores en cobre, incluye uniones, soldadura, soporte de fijación.</t>
  </si>
  <si>
    <t>Suministro e instalación TUBERIA DE COBRE Ф1/4, incluye accesorios y elementos de fijación para su correcto funcionamiento</t>
  </si>
  <si>
    <t>Suministro e instalación TUBERIA DE COBRE Ф3/8 incluye accesorios y elementos de fijación para su correcto funcionamiento</t>
  </si>
  <si>
    <t>Suministro e instalación TUBERIA DE COBRE Ф5/8 incluye accesorios y elementos de fijación para su correcto funcionamiento</t>
  </si>
  <si>
    <t>Suministro e instalación TUBERIA DE COBRE Ф3/4 incluye accesorios y elementos de fijación para su correcto funcionamiento</t>
  </si>
  <si>
    <t>Suministro e instalación TUBERIA DE COBRE Ф7/8 incluye accesorios y elementos de fijación para su correcto funcionamiento</t>
  </si>
  <si>
    <t>COTIZACIÓN #1</t>
  </si>
  <si>
    <t>COTIZACIÓN #2</t>
  </si>
  <si>
    <t>COTIZACIÓN #3</t>
  </si>
  <si>
    <t>COTIZACIÓN #4</t>
  </si>
  <si>
    <t>VALOR PROMEDIO</t>
  </si>
  <si>
    <t>COTIZACIÓN #5</t>
  </si>
  <si>
    <t>Vlr. Unitario 
SIN IVA</t>
  </si>
  <si>
    <t xml:space="preserve">Vlr. Unitario 
SIN IVA </t>
  </si>
  <si>
    <t xml:space="preserve">Vlr. PROMEDIO UNITARIO
SIN IVA </t>
  </si>
  <si>
    <t>COTIZACIÓN #6</t>
  </si>
  <si>
    <t>PRECIOS MUY BAJOS</t>
  </si>
  <si>
    <t>PRECIOS MUY ALTOS</t>
  </si>
  <si>
    <t xml:space="preserve">Suministro, instalación y puesta en funcionamiento de unidad condensadora externa VRF de 86.000 BTU, Inverter, R410A, 3F 220 v, descarga horizontal (salidas máximas 11 evaporadoras) Incluye base para piso con sus respectivos dilatadores en neopreno, carga completa de refrigerante 410A, nitrógeno, conectores y demás accesorios para su correcta conexión </t>
  </si>
  <si>
    <t xml:space="preserve">Suministro, instalación y puesta en funcionamiento de unidad condensadora externa VRF de 41.000 BTU, Inverter, R410A, 1F 220 v, descarga horizontal (salidas máximas 7 evaporadoras) Incluye base para piso con sus respectivos dilatadores en neopreno, carga completa de refrigerante 410A, nitrógeno, conectores y demás accesorios para su correcta conexión </t>
  </si>
  <si>
    <t xml:space="preserve">Suministro, instalación y puesta en funcionamiento de unidad condensadora externa VRF de 34.000 BTU, Inverter, R410A, 1F 220 v, descarga horizontal (salidas máximas 6 evaporadoras) Incluye base para piso con sus respectivos dilatadores en neopreno, carga completa de refrigerante 410A, nitrógeno, conectores y demás accesorios para su correcta conexión </t>
  </si>
  <si>
    <t>Suministro, instalación y puesta en funcionamiento de unidad manejadora de pared de 24.000 BTU para condensadora externa VRF, incluye control remoto, soporte, pernos, y demás elementos para su correcta instalación</t>
  </si>
  <si>
    <t xml:space="preserve">Suministro, instalación y puesta en funcionamiento de unidad manejadora de pared de 18.000 BTU para condensadora externa VRF, incluye control remoto, soporte, pernos, y demás elementos para su correcta instalación </t>
  </si>
  <si>
    <t xml:space="preserve"> Suministro, instalación y puesta en funcionamiento de unidad manejadora de pared de 12.000 BTU para condensadora externa VRF, incluye control remoto, soporte, pernos, y demás elementos para su correcta instalación</t>
  </si>
  <si>
    <t>Suministro, instalación y puesta en funcionamiento de unidad manejadora de pared de 9.000 BTU para condensadora externa VRF, incluye control remoto, soporte, pernos, y demás elementos para su correcta instalación</t>
  </si>
  <si>
    <t xml:space="preserve">Suministro, instalación y puesta en funcionamiento de unidad manejadora de piso techo de 38.000 BTU para condensadora externa VRF, incluye control remoto, soporte, pernos, y demás elementos para su correcta instalación </t>
  </si>
  <si>
    <t>Elaborado por:</t>
  </si>
  <si>
    <t>NATALIA JIMÉNEZ OROZCO</t>
  </si>
  <si>
    <t>VALOR TOTAL INCLUIDO IVA</t>
  </si>
  <si>
    <t>VALOR IVA</t>
  </si>
  <si>
    <t>VALOR TOTAL UNITARIO INCLUIDO IVA</t>
  </si>
  <si>
    <t>VALOR PROMEDIO UNITARIO INCLUIDO IVA</t>
  </si>
  <si>
    <t xml:space="preserve">VALOR IVA UNITARIO
 </t>
  </si>
  <si>
    <t>VALOR UNITARIO INCLUIDO IVA</t>
  </si>
  <si>
    <r>
      <rPr>
        <b/>
        <sz val="11"/>
        <rFont val="Arial"/>
        <family val="2"/>
      </rPr>
      <t xml:space="preserve">NOTAS: </t>
    </r>
    <r>
      <rPr>
        <sz val="11"/>
        <rFont val="Arial"/>
        <family val="2"/>
      </rPr>
      <t xml:space="preserve">
-Con el propósito de determinar el Presupuesto Oficial Estimado, la Entidad tuvo en cuenta los valores unitarios cotizados por 6 proveedores.
- Para la elaboración del presente estudio, la Entidad no tuvo en cuenta los siguientes valores: 
COTIZACIÓN No. 1: Ítem 14
COTIZACIÓN No. 2: Ítems 14, 27 y 28
COTIZACIÓN No. 3: Ítems del 14 al 20
COTIZACIÓN No. 5: Ítems 13 y 28
COTIZACIÓN No. 6: Ítem 13
Lo anterior toda vez que los precios cotizados son altos o muy bajos, es decir, estan por encima o por debajo en un 100% y/o 200% de los demás precios contenidos en las cotizaciones.  Los valores subrayados en color azul corresponden a precios bajos y los verdes a precios altos.
- Los valores determinados con $0 corresponden a ítems que no se les asignó valor por parte de los cotizantes. </t>
    </r>
  </si>
  <si>
    <t xml:space="preserve">Vr. Total </t>
  </si>
  <si>
    <t xml:space="preserve">Rama Judicial del Poder Público </t>
  </si>
  <si>
    <t>Consejo Superior de la Judicatura</t>
  </si>
  <si>
    <t>Dirección Ejecutiva Seccional de Administración Judicial - Cali, Valle del Cauca</t>
  </si>
  <si>
    <t>ESTUDIO DE MERCADO</t>
  </si>
  <si>
    <r>
      <rPr>
        <b/>
        <sz val="11"/>
        <color theme="1"/>
        <rFont val="Arial"/>
        <family val="2"/>
      </rPr>
      <t>OBJETO</t>
    </r>
    <r>
      <rPr>
        <sz val="11"/>
        <color theme="1"/>
        <rFont val="Arial"/>
        <family val="2"/>
      </rPr>
      <t>: Contratar en nombre de la Nación - Consejo Superior de la Judicatura – Dirección Ejecutiva Seccional de Administración Judicial de Cali – Valle del Cauca, la adquisición, instalación y puesta en funcionamiento de Equipos de Refrigeración, ventilación y extracción de aire para el Palacio de Justicia “Manuel Antonio Sanclemente” de Buga y la Sede de Familia de Palmira</t>
    </r>
  </si>
  <si>
    <t xml:space="preserve">TOTAL X SISTEMA </t>
  </si>
  <si>
    <t xml:space="preserve">TOTAL SISTEMAS </t>
  </si>
  <si>
    <t>SISTEMA A</t>
  </si>
  <si>
    <t>SISTEMA B</t>
  </si>
  <si>
    <t>SISTEMA C</t>
  </si>
  <si>
    <t>SISTEMA D</t>
  </si>
  <si>
    <t>SISTEMA E</t>
  </si>
  <si>
    <t>SISTEMA F</t>
  </si>
  <si>
    <t>SISTEMA G</t>
  </si>
  <si>
    <t>Can</t>
  </si>
  <si>
    <t xml:space="preserve">VALOR UNITARIO  IVA INCLUIDO </t>
  </si>
  <si>
    <t xml:space="preserve">VALOR TOTAL </t>
  </si>
  <si>
    <t xml:space="preserve">NECESIDAD BUGA </t>
  </si>
  <si>
    <t xml:space="preserve">NECESIDAD PALMIRA </t>
  </si>
  <si>
    <t>TOTAL X INMUEBLE</t>
  </si>
  <si>
    <t>TOTAL NECESIDAD</t>
  </si>
  <si>
    <t xml:space="preserve">EDWIN REINALDO CANTE </t>
  </si>
  <si>
    <t>EDWIN REINALDO CANTE CRUZ</t>
  </si>
  <si>
    <t xml:space="preserve">DISCRIMINACION POR SISTEMA MINI VARIABLE </t>
  </si>
  <si>
    <t>CANTIDADES TOTALES REQUERIDAS</t>
  </si>
  <si>
    <t>TOTAL NECESIDAD AJUSTADA</t>
  </si>
  <si>
    <t>NECESIDAD TULUÁ</t>
  </si>
  <si>
    <t>NECESIDAD B/TURA</t>
  </si>
  <si>
    <t xml:space="preserve">VALOR UNITARIO INCLUIDO IVA </t>
  </si>
  <si>
    <r>
      <rPr>
        <b/>
        <sz val="11"/>
        <color theme="1"/>
        <rFont val="Arial"/>
        <family val="2"/>
      </rPr>
      <t>OBJETO</t>
    </r>
    <r>
      <rPr>
        <sz val="11"/>
        <color theme="1"/>
        <rFont val="Arial"/>
        <family val="2"/>
      </rPr>
      <t>: Contratar en nombre de la Nación - Consejo Superior de la Judicatura – Dirección Ejecutiva Seccional de Administración Judicial de Cali – Valle del Cauca, la adquisición, instalación y puesta en funcionamiento de Equipos de Refrigeración, ventilación y extracción de aire para las Corporaciones y Despachos Judiciales del Valle del Cauca.</t>
    </r>
  </si>
  <si>
    <r>
      <rPr>
        <sz val="10"/>
        <color theme="1"/>
        <rFont val="Arial"/>
        <family val="2"/>
      </rPr>
      <t>Revisó</t>
    </r>
    <r>
      <rPr>
        <b/>
        <sz val="10"/>
        <color theme="1"/>
        <rFont val="Arial"/>
        <family val="2"/>
      </rPr>
      <t>: EDWIN REINALDO CANTE CRUZ</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</si>
</sst>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164" formatCode="_-[$$-240A]\ * #,##0.00_-;\-[$$-240A]\ * #,##0.00_-;_-[$$-240A]\ * &quot;-&quot;??_-;_-@_-"/>
  </numFmts>
  <fonts count="18">
    <font>
      <sz val="11"/>
      <color theme="1"/>
      <name val="Calibri"/>
      <family val="2"/>
      <scheme val="minor"/>
    </font>
    <font>
      <sz val="10"/>
      <color theme="1"/>
      <name val="Arial Unicode MS"/>
      <family val="2"/>
      <charset val="134"/>
    </font>
    <font>
      <sz val="10"/>
      <color theme="1"/>
      <name val="Arial"/>
      <family val="2"/>
    </font>
    <font>
      <sz val="10"/>
      <color rgb="FF000000"/>
      <name val="Arial"/>
      <family val="2"/>
    </font>
    <font>
      <b/>
      <sz val="10"/>
      <color rgb="FF000000"/>
      <name val="Arial"/>
      <family val="2"/>
    </font>
    <font>
      <b/>
      <sz val="10"/>
      <color theme="1"/>
      <name val="Arial"/>
      <family val="2"/>
    </font>
    <font>
      <sz val="10"/>
      <name val="Arial"/>
      <family val="2"/>
    </font>
    <font>
      <b/>
      <sz val="11"/>
      <color rgb="FF000000"/>
      <name val="Arial"/>
      <family val="2"/>
    </font>
    <font>
      <b/>
      <sz val="10"/>
      <name val="Arial"/>
      <family val="2"/>
    </font>
    <font>
      <sz val="11"/>
      <name val="Arial"/>
      <family val="2"/>
    </font>
    <font>
      <b/>
      <sz val="11"/>
      <name val="Arial"/>
      <family val="2"/>
    </font>
    <font>
      <sz val="11"/>
      <color rgb="FFFF0000"/>
      <name val="Arial"/>
      <family val="2"/>
    </font>
    <font>
      <sz val="11"/>
      <color rgb="FF000000"/>
      <name val="Arial"/>
      <family val="2"/>
    </font>
    <font>
      <b/>
      <sz val="12"/>
      <color theme="1"/>
      <name val="Arial"/>
      <family val="2"/>
    </font>
    <font>
      <b/>
      <sz val="12"/>
      <color rgb="FF000000"/>
      <name val="Arial"/>
      <family val="2"/>
    </font>
    <font>
      <sz val="11"/>
      <color theme="1"/>
      <name val="Arial"/>
      <family val="2"/>
    </font>
    <font>
      <b/>
      <sz val="11"/>
      <color theme="1"/>
      <name val="Arial"/>
      <family val="2"/>
    </font>
    <font>
      <sz val="12"/>
      <color theme="1"/>
      <name val="Arial"/>
      <family val="2"/>
    </font>
  </fonts>
  <fills count="13">
    <fill>
      <patternFill patternType="none"/>
    </fill>
    <fill>
      <patternFill patternType="gray125"/>
    </fill>
    <fill>
      <patternFill patternType="solid">
        <fgColor rgb="FFFFFFFF"/>
        <bgColor indexed="64"/>
      </patternFill>
    </fill>
    <fill>
      <patternFill patternType="solid">
        <fgColor rgb="FFF2F2F2"/>
        <bgColor indexed="64"/>
      </patternFill>
    </fill>
    <fill>
      <patternFill patternType="solid">
        <fgColor rgb="FFFADBC6"/>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DFC9EF"/>
        <bgColor indexed="64"/>
      </patternFill>
    </fill>
    <fill>
      <patternFill patternType="solid">
        <fgColor rgb="FFFFFF99"/>
        <bgColor indexed="64"/>
      </patternFill>
    </fill>
    <fill>
      <patternFill patternType="solid">
        <fgColor rgb="FFE6A8D6"/>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8" tint="0.79998168889431442"/>
        <bgColor indexed="64"/>
      </patternFill>
    </fill>
  </fills>
  <borders count="3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s>
  <cellStyleXfs count="4">
    <xf numFmtId="0" fontId="0" fillId="0" borderId="0"/>
    <xf numFmtId="0" fontId="1" fillId="0" borderId="0">
      <alignment vertical="center"/>
    </xf>
    <xf numFmtId="0" fontId="6" fillId="0" borderId="0"/>
    <xf numFmtId="0" fontId="6" fillId="0" borderId="0"/>
  </cellStyleXfs>
  <cellXfs count="269">
    <xf numFmtId="0" fontId="0" fillId="0" borderId="0" xfId="0"/>
    <xf numFmtId="0" fontId="2" fillId="0" borderId="0" xfId="0" applyFont="1"/>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3" fillId="0" borderId="3" xfId="0" applyFont="1" applyBorder="1" applyAlignment="1">
      <alignment horizontal="center" vertical="center"/>
    </xf>
    <xf numFmtId="0" fontId="3" fillId="2" borderId="4" xfId="0" applyFont="1" applyFill="1" applyBorder="1" applyAlignment="1">
      <alignment horizontal="justify" vertical="center" wrapText="1"/>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xf>
    <xf numFmtId="0" fontId="3" fillId="3" borderId="4" xfId="0" applyFont="1" applyFill="1" applyBorder="1" applyAlignment="1">
      <alignment horizontal="justify" vertical="center" wrapText="1"/>
    </xf>
    <xf numFmtId="0" fontId="3" fillId="3" borderId="4" xfId="0" applyFont="1" applyFill="1" applyBorder="1" applyAlignment="1">
      <alignment horizontal="center" vertical="center" wrapText="1"/>
    </xf>
    <xf numFmtId="0" fontId="3" fillId="3" borderId="4" xfId="0" applyFont="1" applyFill="1" applyBorder="1" applyAlignment="1">
      <alignment horizontal="center" vertical="center"/>
    </xf>
    <xf numFmtId="0" fontId="3" fillId="0" borderId="4" xfId="0" applyFont="1" applyBorder="1" applyAlignment="1">
      <alignment horizontal="justify" vertical="center" wrapText="1"/>
    </xf>
    <xf numFmtId="0" fontId="3" fillId="0" borderId="4" xfId="0" applyFont="1" applyBorder="1" applyAlignment="1">
      <alignment horizontal="center" vertical="center"/>
    </xf>
    <xf numFmtId="0" fontId="3" fillId="0" borderId="4" xfId="0" applyFont="1" applyBorder="1" applyAlignment="1">
      <alignment horizontal="justify" vertical="center"/>
    </xf>
    <xf numFmtId="0" fontId="3" fillId="0" borderId="0" xfId="0" applyFont="1" applyAlignment="1">
      <alignment horizontal="center" vertical="center"/>
    </xf>
    <xf numFmtId="0" fontId="4" fillId="0" borderId="0" xfId="0" applyFont="1" applyAlignment="1">
      <alignment horizontal="justify" vertical="center" wrapText="1"/>
    </xf>
    <xf numFmtId="0" fontId="4" fillId="0" borderId="8" xfId="0" applyFont="1" applyBorder="1" applyAlignment="1">
      <alignment horizontal="center" vertical="center"/>
    </xf>
    <xf numFmtId="0" fontId="4" fillId="0" borderId="0" xfId="0" applyFont="1" applyBorder="1" applyAlignment="1">
      <alignment horizontal="center" vertical="center" wrapText="1"/>
    </xf>
    <xf numFmtId="0" fontId="3" fillId="2" borderId="8" xfId="0" applyFont="1" applyFill="1" applyBorder="1" applyAlignment="1">
      <alignment horizontal="justify" vertical="center" wrapText="1"/>
    </xf>
    <xf numFmtId="0" fontId="3" fillId="0" borderId="5" xfId="0" applyFont="1" applyBorder="1" applyAlignment="1">
      <alignment horizontal="center" vertical="center" wrapText="1"/>
    </xf>
    <xf numFmtId="0" fontId="3" fillId="2" borderId="5" xfId="0" applyFont="1" applyFill="1" applyBorder="1" applyAlignment="1">
      <alignment horizontal="center" vertical="center"/>
    </xf>
    <xf numFmtId="0" fontId="3" fillId="3" borderId="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4" fillId="7" borderId="5" xfId="0" applyFont="1" applyFill="1" applyBorder="1" applyAlignment="1">
      <alignment horizontal="center" vertical="center" wrapText="1"/>
    </xf>
    <xf numFmtId="0" fontId="2" fillId="0" borderId="0" xfId="0" applyFont="1" applyBorder="1"/>
    <xf numFmtId="0" fontId="3" fillId="3" borderId="5" xfId="0" applyFont="1" applyFill="1" applyBorder="1" applyAlignment="1">
      <alignment horizontal="center" vertical="center" wrapText="1"/>
    </xf>
    <xf numFmtId="0" fontId="4" fillId="8" borderId="2" xfId="0" applyFont="1" applyFill="1" applyBorder="1" applyAlignment="1">
      <alignment horizontal="center" vertical="center" wrapText="1"/>
    </xf>
    <xf numFmtId="0" fontId="4" fillId="9" borderId="8" xfId="0" applyFont="1" applyFill="1" applyBorder="1" applyAlignment="1">
      <alignment horizontal="center" vertical="center" wrapText="1"/>
    </xf>
    <xf numFmtId="8" fontId="3" fillId="0" borderId="4" xfId="0" applyNumberFormat="1" applyFont="1" applyBorder="1" applyAlignment="1">
      <alignment vertical="center"/>
    </xf>
    <xf numFmtId="0" fontId="2" fillId="0" borderId="0" xfId="0" applyFont="1" applyFill="1" applyAlignment="1">
      <alignment horizontal="center" wrapText="1"/>
    </xf>
    <xf numFmtId="0" fontId="11" fillId="0" borderId="0" xfId="0" applyFont="1" applyAlignment="1">
      <alignment horizontal="left" vertical="center" wrapText="1"/>
    </xf>
    <xf numFmtId="8" fontId="2" fillId="0" borderId="0" xfId="0" applyNumberFormat="1" applyFont="1"/>
    <xf numFmtId="8" fontId="6" fillId="0" borderId="4" xfId="0" applyNumberFormat="1" applyFont="1" applyBorder="1" applyAlignment="1">
      <alignment vertical="center"/>
    </xf>
    <xf numFmtId="8" fontId="3" fillId="0" borderId="4" xfId="0" applyNumberFormat="1" applyFont="1" applyFill="1" applyBorder="1" applyAlignment="1">
      <alignment vertical="center"/>
    </xf>
    <xf numFmtId="8" fontId="6" fillId="10" borderId="4" xfId="0" applyNumberFormat="1" applyFont="1" applyFill="1" applyBorder="1" applyAlignment="1">
      <alignment vertical="center"/>
    </xf>
    <xf numFmtId="8" fontId="6" fillId="11" borderId="4" xfId="0" applyNumberFormat="1" applyFont="1" applyFill="1" applyBorder="1" applyAlignment="1">
      <alignment vertical="center"/>
    </xf>
    <xf numFmtId="8" fontId="6" fillId="0" borderId="4" xfId="0" applyNumberFormat="1" applyFont="1" applyFill="1" applyBorder="1" applyAlignment="1">
      <alignment vertical="center"/>
    </xf>
    <xf numFmtId="8" fontId="3" fillId="11" borderId="4" xfId="0" applyNumberFormat="1" applyFont="1" applyFill="1" applyBorder="1" applyAlignment="1">
      <alignment vertical="center"/>
    </xf>
    <xf numFmtId="8" fontId="3" fillId="0" borderId="0" xfId="0" applyNumberFormat="1" applyFont="1" applyBorder="1" applyAlignment="1">
      <alignment vertical="center"/>
    </xf>
    <xf numFmtId="8" fontId="3" fillId="0" borderId="5" xfId="0" applyNumberFormat="1" applyFont="1" applyBorder="1" applyAlignment="1">
      <alignment vertical="center"/>
    </xf>
    <xf numFmtId="8" fontId="3" fillId="0" borderId="8" xfId="0" applyNumberFormat="1" applyFont="1" applyBorder="1" applyAlignment="1">
      <alignment vertical="center"/>
    </xf>
    <xf numFmtId="6" fontId="7" fillId="0" borderId="0" xfId="0" applyNumberFormat="1" applyFont="1" applyBorder="1" applyAlignment="1">
      <alignment vertical="center"/>
    </xf>
    <xf numFmtId="8" fontId="8" fillId="0" borderId="0" xfId="0" applyNumberFormat="1" applyFont="1" applyBorder="1" applyAlignment="1">
      <alignment vertical="center"/>
    </xf>
    <xf numFmtId="0" fontId="4" fillId="7" borderId="1"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7" borderId="8" xfId="0" applyFont="1" applyFill="1" applyBorder="1" applyAlignment="1">
      <alignment horizontal="center" vertical="center" wrapText="1"/>
    </xf>
    <xf numFmtId="0" fontId="4" fillId="8" borderId="8" xfId="0" applyFont="1" applyFill="1" applyBorder="1" applyAlignment="1">
      <alignment horizontal="center" vertical="center" wrapText="1"/>
    </xf>
    <xf numFmtId="8" fontId="6" fillId="0" borderId="8" xfId="0" applyNumberFormat="1" applyFont="1" applyBorder="1" applyAlignment="1">
      <alignment vertical="center"/>
    </xf>
    <xf numFmtId="6" fontId="12" fillId="0" borderId="0" xfId="0" applyNumberFormat="1" applyFont="1" applyBorder="1" applyAlignment="1">
      <alignment vertical="center"/>
    </xf>
    <xf numFmtId="0" fontId="13" fillId="0" borderId="0" xfId="0" applyFont="1"/>
    <xf numFmtId="8" fontId="14" fillId="0" borderId="4" xfId="0" applyNumberFormat="1" applyFont="1" applyBorder="1" applyAlignment="1">
      <alignment vertical="center"/>
    </xf>
    <xf numFmtId="6" fontId="14" fillId="0" borderId="0" xfId="0" applyNumberFormat="1" applyFont="1" applyBorder="1" applyAlignment="1">
      <alignment vertical="center"/>
    </xf>
    <xf numFmtId="8" fontId="14" fillId="0" borderId="0" xfId="0" applyNumberFormat="1" applyFont="1" applyBorder="1" applyAlignment="1">
      <alignment vertical="center"/>
    </xf>
    <xf numFmtId="0" fontId="2" fillId="0" borderId="0" xfId="0" applyFont="1" applyAlignment="1">
      <alignment horizontal="center" vertical="center"/>
    </xf>
    <xf numFmtId="0" fontId="3" fillId="0" borderId="14" xfId="0" applyFont="1" applyBorder="1" applyAlignment="1">
      <alignment horizontal="center" vertical="center"/>
    </xf>
    <xf numFmtId="0" fontId="3" fillId="0" borderId="11" xfId="0" applyFont="1" applyBorder="1" applyAlignment="1">
      <alignment horizontal="center" vertical="center" wrapText="1"/>
    </xf>
    <xf numFmtId="8" fontId="2" fillId="0" borderId="15" xfId="0" applyNumberFormat="1" applyFont="1" applyBorder="1" applyAlignment="1">
      <alignment horizontal="center" vertical="center"/>
    </xf>
    <xf numFmtId="0" fontId="3" fillId="3" borderId="11" xfId="0" applyFont="1" applyFill="1" applyBorder="1" applyAlignment="1">
      <alignment horizontal="justify" vertical="center" wrapText="1"/>
    </xf>
    <xf numFmtId="0" fontId="3" fillId="3" borderId="11" xfId="0" applyFont="1" applyFill="1" applyBorder="1" applyAlignment="1">
      <alignment horizontal="center" vertical="center" wrapText="1"/>
    </xf>
    <xf numFmtId="0" fontId="3" fillId="0" borderId="11" xfId="0" applyFont="1" applyBorder="1" applyAlignment="1">
      <alignment horizontal="justify" vertical="center" wrapText="1"/>
    </xf>
    <xf numFmtId="0" fontId="4" fillId="0" borderId="14" xfId="0" applyFont="1" applyBorder="1" applyAlignment="1">
      <alignment horizontal="center" vertical="center"/>
    </xf>
    <xf numFmtId="0" fontId="3" fillId="0" borderId="11" xfId="0" applyFont="1" applyBorder="1" applyAlignment="1">
      <alignment horizontal="justify" vertical="center"/>
    </xf>
    <xf numFmtId="0" fontId="3" fillId="0" borderId="16" xfId="0" applyFont="1" applyBorder="1" applyAlignment="1">
      <alignment horizontal="center" vertical="center"/>
    </xf>
    <xf numFmtId="0" fontId="15" fillId="0" borderId="0" xfId="0" applyFont="1" applyAlignment="1">
      <alignment horizontal="center" vertical="center" wrapText="1"/>
    </xf>
    <xf numFmtId="0" fontId="2" fillId="0" borderId="0" xfId="0" applyFont="1" applyAlignment="1"/>
    <xf numFmtId="0" fontId="15" fillId="0" borderId="0" xfId="0" applyFont="1" applyAlignment="1">
      <alignment vertical="center" wrapText="1"/>
    </xf>
    <xf numFmtId="0" fontId="2" fillId="0" borderId="12" xfId="0" applyFont="1" applyBorder="1" applyAlignment="1"/>
    <xf numFmtId="0" fontId="4" fillId="0" borderId="1" xfId="0" applyFont="1" applyBorder="1" applyAlignment="1">
      <alignment horizontal="center" vertical="center"/>
    </xf>
    <xf numFmtId="0" fontId="3" fillId="0" borderId="0" xfId="0" applyFont="1" applyAlignment="1">
      <alignment horizontal="center" vertical="center"/>
    </xf>
    <xf numFmtId="0" fontId="15" fillId="0" borderId="0" xfId="0" applyFont="1" applyAlignment="1">
      <alignment horizontal="center" vertical="center" wrapText="1"/>
    </xf>
    <xf numFmtId="0" fontId="4" fillId="0" borderId="10" xfId="0" applyFont="1" applyBorder="1" applyAlignment="1">
      <alignment horizontal="center" vertical="center"/>
    </xf>
    <xf numFmtId="0" fontId="2" fillId="0" borderId="0" xfId="0" applyNumberFormat="1" applyFont="1"/>
    <xf numFmtId="0" fontId="2" fillId="0" borderId="0" xfId="0" applyFont="1" applyBorder="1" applyAlignment="1"/>
    <xf numFmtId="0" fontId="4" fillId="0" borderId="11" xfId="0" applyFont="1" applyBorder="1" applyAlignment="1">
      <alignment horizontal="center" vertical="center"/>
    </xf>
    <xf numFmtId="0" fontId="4" fillId="4" borderId="11"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4" fillId="7" borderId="11" xfId="0" applyFont="1" applyFill="1" applyBorder="1" applyAlignment="1">
      <alignment horizontal="center" vertical="center" wrapText="1"/>
    </xf>
    <xf numFmtId="0" fontId="4" fillId="8" borderId="11" xfId="0" applyFont="1" applyFill="1" applyBorder="1" applyAlignment="1">
      <alignment horizontal="center" vertical="center" wrapText="1"/>
    </xf>
    <xf numFmtId="0" fontId="4" fillId="9" borderId="11" xfId="0" applyFont="1" applyFill="1" applyBorder="1" applyAlignment="1">
      <alignment horizontal="center" vertical="center" wrapText="1"/>
    </xf>
    <xf numFmtId="0" fontId="5" fillId="0" borderId="0" xfId="0" applyFont="1"/>
    <xf numFmtId="0" fontId="5" fillId="0" borderId="11" xfId="0" applyFont="1" applyBorder="1"/>
    <xf numFmtId="0" fontId="4" fillId="0" borderId="11" xfId="0" applyFont="1" applyBorder="1" applyAlignment="1">
      <alignment horizontal="center" vertical="center" wrapText="1"/>
    </xf>
    <xf numFmtId="0" fontId="4" fillId="2" borderId="11" xfId="0" applyFont="1" applyFill="1" applyBorder="1" applyAlignment="1">
      <alignment horizontal="center" vertical="center"/>
    </xf>
    <xf numFmtId="0" fontId="4" fillId="3" borderId="11" xfId="0" applyFont="1" applyFill="1" applyBorder="1" applyAlignment="1">
      <alignment horizontal="center" vertical="center" wrapText="1"/>
    </xf>
    <xf numFmtId="0" fontId="4" fillId="3" borderId="11" xfId="0" applyFont="1" applyFill="1" applyBorder="1" applyAlignment="1">
      <alignment horizontal="center"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Border="1" applyAlignment="1">
      <alignment vertical="center" wrapText="1"/>
    </xf>
    <xf numFmtId="8" fontId="8" fillId="0" borderId="0" xfId="0" applyNumberFormat="1" applyFont="1"/>
    <xf numFmtId="0" fontId="5" fillId="0" borderId="11" xfId="0" applyNumberFormat="1" applyFont="1" applyBorder="1" applyAlignment="1">
      <alignment horizontal="center"/>
    </xf>
    <xf numFmtId="0" fontId="2" fillId="0" borderId="0" xfId="0" applyFont="1" applyAlignment="1">
      <alignment wrapText="1"/>
    </xf>
    <xf numFmtId="0" fontId="5" fillId="0" borderId="11" xfId="0" applyFont="1" applyBorder="1" applyAlignment="1">
      <alignment wrapText="1"/>
    </xf>
    <xf numFmtId="8" fontId="4" fillId="0" borderId="11" xfId="0" applyNumberFormat="1" applyFont="1" applyBorder="1" applyAlignment="1">
      <alignment horizontal="center" vertical="center"/>
    </xf>
    <xf numFmtId="8" fontId="8" fillId="0" borderId="11" xfId="0" applyNumberFormat="1" applyFont="1" applyBorder="1" applyAlignment="1">
      <alignment horizontal="center" vertical="center"/>
    </xf>
    <xf numFmtId="8" fontId="14" fillId="0" borderId="11" xfId="0" applyNumberFormat="1" applyFont="1" applyBorder="1" applyAlignment="1">
      <alignment horizontal="center" vertical="center"/>
    </xf>
    <xf numFmtId="0" fontId="5" fillId="0" borderId="11" xfId="0" applyNumberFormat="1" applyFont="1" applyBorder="1" applyAlignment="1">
      <alignment horizontal="center" vertical="center"/>
    </xf>
    <xf numFmtId="8" fontId="5" fillId="0" borderId="11" xfId="0" applyNumberFormat="1" applyFont="1" applyBorder="1" applyAlignment="1">
      <alignment horizontal="center" vertical="center"/>
    </xf>
    <xf numFmtId="0" fontId="5" fillId="0" borderId="11" xfId="0" applyFont="1" applyBorder="1" applyAlignment="1">
      <alignment horizontal="center" vertical="center"/>
    </xf>
    <xf numFmtId="0" fontId="2" fillId="0" borderId="0" xfId="0" applyNumberFormat="1" applyFont="1" applyAlignment="1">
      <alignment horizontal="center" vertical="center"/>
    </xf>
    <xf numFmtId="8" fontId="3" fillId="0" borderId="4" xfId="0" applyNumberFormat="1" applyFont="1" applyFill="1" applyBorder="1" applyAlignment="1">
      <alignment horizontal="center" vertical="center"/>
    </xf>
    <xf numFmtId="8" fontId="3" fillId="0" borderId="4" xfId="0" applyNumberFormat="1" applyFont="1" applyBorder="1" applyAlignment="1">
      <alignment horizontal="center" vertical="center"/>
    </xf>
    <xf numFmtId="8" fontId="6" fillId="0" borderId="4" xfId="0" applyNumberFormat="1" applyFont="1" applyFill="1" applyBorder="1" applyAlignment="1">
      <alignment horizontal="center" vertical="center"/>
    </xf>
    <xf numFmtId="8" fontId="6" fillId="0" borderId="4" xfId="0" applyNumberFormat="1" applyFont="1" applyBorder="1" applyAlignment="1">
      <alignment horizontal="center" vertical="center"/>
    </xf>
    <xf numFmtId="8" fontId="14" fillId="0" borderId="4" xfId="0" applyNumberFormat="1" applyFont="1" applyBorder="1" applyAlignment="1">
      <alignment horizontal="center" vertical="center"/>
    </xf>
    <xf numFmtId="8" fontId="3" fillId="11" borderId="4" xfId="0" applyNumberFormat="1" applyFont="1" applyFill="1" applyBorder="1" applyAlignment="1">
      <alignment horizontal="center" vertical="center"/>
    </xf>
    <xf numFmtId="8" fontId="3" fillId="0" borderId="8" xfId="0" applyNumberFormat="1" applyFont="1" applyBorder="1" applyAlignment="1">
      <alignment horizontal="center" vertical="center"/>
    </xf>
    <xf numFmtId="8" fontId="3" fillId="0" borderId="5" xfId="0" applyNumberFormat="1" applyFont="1" applyBorder="1" applyAlignment="1">
      <alignment horizontal="center" vertical="center"/>
    </xf>
    <xf numFmtId="8" fontId="6" fillId="0" borderId="8" xfId="0" applyNumberFormat="1" applyFont="1" applyBorder="1" applyAlignment="1">
      <alignment horizontal="center" vertical="center"/>
    </xf>
    <xf numFmtId="0" fontId="3" fillId="2" borderId="11"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0" borderId="4" xfId="0" applyFont="1" applyBorder="1" applyAlignment="1">
      <alignment horizontal="left" vertical="center" wrapText="1"/>
    </xf>
    <xf numFmtId="0" fontId="4" fillId="0" borderId="3"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1" xfId="0" applyFont="1" applyFill="1" applyBorder="1" applyAlignment="1">
      <alignment horizontal="center" vertical="center"/>
    </xf>
    <xf numFmtId="0" fontId="4" fillId="0" borderId="11" xfId="0" applyFont="1" applyBorder="1" applyAlignment="1">
      <alignment vertical="center" wrapText="1"/>
    </xf>
    <xf numFmtId="0" fontId="3" fillId="3" borderId="17" xfId="0" applyFont="1" applyFill="1" applyBorder="1" applyAlignment="1">
      <alignment horizontal="justify" vertical="center" wrapText="1"/>
    </xf>
    <xf numFmtId="0" fontId="3" fillId="3" borderId="17" xfId="0" applyFont="1" applyFill="1" applyBorder="1" applyAlignment="1">
      <alignment horizontal="center" vertical="center" wrapText="1"/>
    </xf>
    <xf numFmtId="0" fontId="2" fillId="0" borderId="14" xfId="0" applyFont="1" applyBorder="1"/>
    <xf numFmtId="0" fontId="2" fillId="0" borderId="14" xfId="0" applyFont="1" applyBorder="1" applyAlignment="1">
      <alignment horizontal="center" vertical="center"/>
    </xf>
    <xf numFmtId="164" fontId="2" fillId="0" borderId="15" xfId="0" applyNumberFormat="1" applyFont="1" applyBorder="1" applyAlignment="1">
      <alignment horizontal="center" vertical="center"/>
    </xf>
    <xf numFmtId="0" fontId="2" fillId="0" borderId="16" xfId="0" applyFont="1" applyBorder="1"/>
    <xf numFmtId="164" fontId="3" fillId="0" borderId="22" xfId="0" applyNumberFormat="1" applyFont="1" applyBorder="1" applyAlignment="1">
      <alignment horizontal="center" vertical="center" wrapText="1"/>
    </xf>
    <xf numFmtId="164" fontId="3" fillId="3" borderId="22" xfId="0" applyNumberFormat="1" applyFont="1" applyFill="1" applyBorder="1" applyAlignment="1">
      <alignment horizontal="center" vertical="center" wrapText="1"/>
    </xf>
    <xf numFmtId="164" fontId="3" fillId="3" borderId="29" xfId="0" applyNumberFormat="1" applyFont="1" applyFill="1" applyBorder="1" applyAlignment="1">
      <alignment horizontal="center" vertical="center" wrapText="1"/>
    </xf>
    <xf numFmtId="0" fontId="3" fillId="0" borderId="14"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6" xfId="0" applyFont="1" applyFill="1" applyBorder="1" applyAlignment="1">
      <alignment horizontal="center" vertical="center" wrapText="1"/>
    </xf>
    <xf numFmtId="164" fontId="2" fillId="0" borderId="22" xfId="0" applyNumberFormat="1" applyFont="1" applyBorder="1" applyAlignment="1">
      <alignment horizontal="center" vertical="center"/>
    </xf>
    <xf numFmtId="0" fontId="3" fillId="0" borderId="0" xfId="0" applyFont="1" applyAlignment="1">
      <alignment vertical="center"/>
    </xf>
    <xf numFmtId="8" fontId="5" fillId="0" borderId="0" xfId="0" applyNumberFormat="1" applyFont="1" applyAlignment="1">
      <alignment horizontal="center" vertical="center"/>
    </xf>
    <xf numFmtId="8" fontId="16" fillId="0" borderId="0" xfId="0" applyNumberFormat="1" applyFont="1" applyAlignment="1">
      <alignment horizontal="center" vertical="center"/>
    </xf>
    <xf numFmtId="0" fontId="16" fillId="0" borderId="0" xfId="0" applyFont="1" applyAlignment="1">
      <alignment horizontal="center" vertical="center"/>
    </xf>
    <xf numFmtId="164" fontId="4" fillId="0" borderId="22"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2" fillId="0" borderId="22" xfId="0" applyFont="1" applyBorder="1" applyAlignment="1">
      <alignment horizontal="center" vertical="center"/>
    </xf>
    <xf numFmtId="8" fontId="2" fillId="0" borderId="18" xfId="0" applyNumberFormat="1" applyFont="1" applyBorder="1" applyAlignment="1">
      <alignment horizontal="center" vertical="center"/>
    </xf>
    <xf numFmtId="0" fontId="2" fillId="0" borderId="16" xfId="0" applyFont="1" applyBorder="1" applyAlignment="1">
      <alignment horizontal="center" vertical="center"/>
    </xf>
    <xf numFmtId="0" fontId="2" fillId="0" borderId="29" xfId="0" applyFont="1" applyBorder="1" applyAlignment="1">
      <alignment horizontal="center" vertical="center"/>
    </xf>
    <xf numFmtId="164" fontId="2" fillId="0" borderId="29" xfId="0" applyNumberFormat="1" applyFont="1" applyBorder="1" applyAlignment="1">
      <alignment horizontal="center" vertical="center"/>
    </xf>
    <xf numFmtId="0" fontId="3" fillId="0" borderId="13" xfId="0" applyFont="1" applyBorder="1" applyAlignment="1">
      <alignment horizontal="center" vertical="center"/>
    </xf>
    <xf numFmtId="0" fontId="3" fillId="2" borderId="30" xfId="0" applyFont="1" applyFill="1" applyBorder="1" applyAlignment="1">
      <alignment horizontal="justify" vertical="center" wrapText="1"/>
    </xf>
    <xf numFmtId="0" fontId="3" fillId="0" borderId="30" xfId="0" applyFont="1" applyBorder="1" applyAlignment="1">
      <alignment horizontal="center" vertical="center" wrapText="1"/>
    </xf>
    <xf numFmtId="164" fontId="3" fillId="0" borderId="31" xfId="0" applyNumberFormat="1" applyFont="1" applyBorder="1" applyAlignment="1">
      <alignment horizontal="center" vertical="center" wrapText="1"/>
    </xf>
    <xf numFmtId="8" fontId="2" fillId="0" borderId="32" xfId="0" applyNumberFormat="1" applyFont="1" applyBorder="1" applyAlignment="1">
      <alignment horizontal="center" vertical="center"/>
    </xf>
    <xf numFmtId="0" fontId="2" fillId="0" borderId="13" xfId="0" applyFont="1" applyBorder="1" applyAlignment="1">
      <alignment horizontal="center" vertical="center"/>
    </xf>
    <xf numFmtId="0" fontId="2" fillId="0" borderId="31" xfId="0" applyFont="1" applyBorder="1" applyAlignment="1">
      <alignment horizontal="center" vertical="center"/>
    </xf>
    <xf numFmtId="164" fontId="2" fillId="0" borderId="31" xfId="0" applyNumberFormat="1" applyFont="1" applyBorder="1" applyAlignment="1">
      <alignment horizontal="center" vertical="center"/>
    </xf>
    <xf numFmtId="0" fontId="2" fillId="0" borderId="13" xfId="0" applyFont="1" applyBorder="1"/>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16" fillId="0" borderId="29" xfId="0" applyFont="1" applyBorder="1" applyAlignment="1">
      <alignment horizontal="center" wrapText="1"/>
    </xf>
    <xf numFmtId="0" fontId="16" fillId="0" borderId="18" xfId="0" applyFont="1" applyBorder="1" applyAlignment="1">
      <alignment horizontal="center" vertical="center"/>
    </xf>
    <xf numFmtId="0" fontId="16" fillId="0" borderId="29" xfId="0" applyFont="1" applyBorder="1" applyAlignment="1">
      <alignment horizontal="center" vertical="center"/>
    </xf>
    <xf numFmtId="164" fontId="2" fillId="0" borderId="32" xfId="0" applyNumberFormat="1" applyFont="1" applyBorder="1"/>
    <xf numFmtId="0" fontId="2" fillId="0" borderId="14" xfId="0" applyNumberFormat="1" applyFont="1" applyBorder="1"/>
    <xf numFmtId="164" fontId="16" fillId="0" borderId="0" xfId="0" applyNumberFormat="1" applyFont="1" applyAlignment="1">
      <alignment horizontal="center" vertical="center"/>
    </xf>
    <xf numFmtId="0" fontId="2" fillId="0" borderId="32" xfId="0" applyFont="1" applyBorder="1" applyAlignment="1">
      <alignment horizontal="center" vertical="center"/>
    </xf>
    <xf numFmtId="0" fontId="2" fillId="0" borderId="15" xfId="0" applyFont="1" applyBorder="1" applyAlignment="1">
      <alignment horizontal="center" vertical="center"/>
    </xf>
    <xf numFmtId="0" fontId="2" fillId="0" borderId="18" xfId="0" applyFont="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8" fontId="13" fillId="0" borderId="0" xfId="0" applyNumberFormat="1" applyFont="1" applyAlignment="1">
      <alignment horizontal="center" vertical="center"/>
    </xf>
    <xf numFmtId="0" fontId="5" fillId="0" borderId="0" xfId="0" applyFont="1" applyAlignment="1">
      <alignment wrapText="1"/>
    </xf>
    <xf numFmtId="0" fontId="4" fillId="0" borderId="10" xfId="0" applyFont="1" applyFill="1" applyBorder="1" applyAlignment="1">
      <alignment horizontal="center" vertical="center"/>
    </xf>
    <xf numFmtId="0" fontId="3" fillId="0" borderId="11" xfId="0" applyFont="1" applyFill="1" applyBorder="1" applyAlignment="1">
      <alignment horizontal="left" vertical="center" wrapText="1"/>
    </xf>
    <xf numFmtId="8" fontId="4" fillId="0" borderId="11" xfId="0" applyNumberFormat="1" applyFont="1" applyFill="1" applyBorder="1" applyAlignment="1">
      <alignment horizontal="center" vertical="center"/>
    </xf>
    <xf numFmtId="8" fontId="8" fillId="0" borderId="11" xfId="0" applyNumberFormat="1" applyFont="1" applyFill="1" applyBorder="1" applyAlignment="1">
      <alignment horizontal="center" vertical="center"/>
    </xf>
    <xf numFmtId="8" fontId="14" fillId="0" borderId="11" xfId="0" applyNumberFormat="1" applyFont="1" applyFill="1" applyBorder="1" applyAlignment="1">
      <alignment horizontal="center" vertical="center"/>
    </xf>
    <xf numFmtId="0" fontId="5" fillId="0" borderId="11" xfId="0" applyNumberFormat="1" applyFont="1" applyFill="1" applyBorder="1" applyAlignment="1">
      <alignment horizontal="center" vertical="center"/>
    </xf>
    <xf numFmtId="8" fontId="5" fillId="0" borderId="11" xfId="0" applyNumberFormat="1" applyFont="1" applyFill="1" applyBorder="1" applyAlignment="1">
      <alignment horizontal="center" vertical="center"/>
    </xf>
    <xf numFmtId="0" fontId="5" fillId="0" borderId="11" xfId="0" applyFont="1" applyFill="1" applyBorder="1" applyAlignment="1">
      <alignment horizontal="center" vertical="center"/>
    </xf>
    <xf numFmtId="0" fontId="2" fillId="0" borderId="0" xfId="0" applyFont="1" applyFill="1"/>
    <xf numFmtId="0" fontId="2" fillId="0" borderId="0" xfId="0" applyNumberFormat="1" applyFont="1" applyFill="1" applyAlignment="1">
      <alignment horizontal="center" vertical="center"/>
    </xf>
    <xf numFmtId="0" fontId="2" fillId="0" borderId="0" xfId="0" applyFont="1" applyFill="1" applyAlignment="1">
      <alignment horizontal="center" vertical="center"/>
    </xf>
    <xf numFmtId="0" fontId="3" fillId="0" borderId="4"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8" fontId="14" fillId="0" borderId="4" xfId="0" applyNumberFormat="1" applyFont="1" applyFill="1" applyBorder="1" applyAlignment="1">
      <alignment horizontal="center" vertical="center"/>
    </xf>
    <xf numFmtId="8" fontId="5" fillId="0" borderId="30" xfId="0" applyNumberFormat="1" applyFont="1" applyFill="1" applyBorder="1" applyAlignment="1">
      <alignment horizontal="center" vertical="center"/>
    </xf>
    <xf numFmtId="0" fontId="4" fillId="12" borderId="14" xfId="0" applyFont="1" applyFill="1" applyBorder="1" applyAlignment="1">
      <alignment horizontal="center" vertical="center"/>
    </xf>
    <xf numFmtId="0" fontId="4" fillId="12" borderId="26" xfId="0" applyFont="1" applyFill="1" applyBorder="1" applyAlignment="1">
      <alignment horizontal="center" vertical="center"/>
    </xf>
    <xf numFmtId="0" fontId="15" fillId="0" borderId="0" xfId="0" applyFont="1" applyAlignment="1">
      <alignment horizontal="center" vertical="center" wrapText="1"/>
    </xf>
    <xf numFmtId="0" fontId="13" fillId="0" borderId="0" xfId="0" applyFont="1" applyAlignment="1">
      <alignment horizontal="center"/>
    </xf>
    <xf numFmtId="0" fontId="17" fillId="0" borderId="0" xfId="0" applyFont="1" applyAlignment="1">
      <alignment horizontal="center"/>
    </xf>
    <xf numFmtId="0" fontId="15" fillId="0" borderId="12" xfId="0" applyFont="1" applyBorder="1" applyAlignment="1">
      <alignment horizont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0" xfId="0" applyFont="1" applyBorder="1" applyAlignment="1">
      <alignment horizontal="center" vertical="center"/>
    </xf>
    <xf numFmtId="0" fontId="4" fillId="0" borderId="12" xfId="0" applyFont="1" applyBorder="1" applyAlignment="1">
      <alignment horizontal="center" vertical="center"/>
    </xf>
    <xf numFmtId="0" fontId="4" fillId="0" borderId="4" xfId="0" applyFont="1" applyBorder="1" applyAlignment="1">
      <alignment horizontal="center" vertical="center"/>
    </xf>
    <xf numFmtId="0" fontId="5" fillId="9" borderId="1" xfId="0" applyFont="1" applyFill="1" applyBorder="1" applyAlignment="1">
      <alignment horizontal="center"/>
    </xf>
    <xf numFmtId="0" fontId="5" fillId="9" borderId="2" xfId="0" applyFont="1" applyFill="1" applyBorder="1" applyAlignment="1">
      <alignment horizontal="center"/>
    </xf>
    <xf numFmtId="0" fontId="5" fillId="9" borderId="5" xfId="0" applyFont="1" applyFill="1" applyBorder="1" applyAlignment="1">
      <alignment horizontal="center"/>
    </xf>
    <xf numFmtId="0" fontId="5" fillId="8" borderId="1" xfId="0" applyFont="1" applyFill="1" applyBorder="1" applyAlignment="1">
      <alignment horizontal="center"/>
    </xf>
    <xf numFmtId="0" fontId="5" fillId="8" borderId="2" xfId="0" applyFont="1" applyFill="1" applyBorder="1" applyAlignment="1">
      <alignment horizontal="center"/>
    </xf>
    <xf numFmtId="0" fontId="5" fillId="8" borderId="5" xfId="0" applyFont="1" applyFill="1" applyBorder="1" applyAlignment="1">
      <alignment horizontal="center"/>
    </xf>
    <xf numFmtId="0" fontId="5" fillId="7" borderId="1" xfId="0" applyFont="1" applyFill="1" applyBorder="1" applyAlignment="1">
      <alignment horizontal="center"/>
    </xf>
    <xf numFmtId="0" fontId="5" fillId="7" borderId="2" xfId="0" applyFont="1" applyFill="1" applyBorder="1" applyAlignment="1">
      <alignment horizontal="center"/>
    </xf>
    <xf numFmtId="0" fontId="5" fillId="7" borderId="5" xfId="0" applyFont="1" applyFill="1" applyBorder="1" applyAlignment="1">
      <alignment horizontal="center"/>
    </xf>
    <xf numFmtId="0" fontId="4" fillId="0" borderId="6" xfId="0" applyFont="1" applyFill="1" applyBorder="1" applyAlignment="1">
      <alignment horizontal="center" vertical="center" wrapText="1"/>
    </xf>
    <xf numFmtId="0" fontId="4" fillId="0" borderId="3" xfId="0" applyFont="1" applyFill="1" applyBorder="1" applyAlignment="1">
      <alignment horizontal="center" vertical="center"/>
    </xf>
    <xf numFmtId="0" fontId="5" fillId="0" borderId="1" xfId="0" applyFont="1" applyBorder="1" applyAlignment="1">
      <alignment horizontal="center" wrapText="1"/>
    </xf>
    <xf numFmtId="0" fontId="5" fillId="0" borderId="5" xfId="0" applyFont="1" applyBorder="1" applyAlignment="1">
      <alignment horizontal="center" wrapText="1"/>
    </xf>
    <xf numFmtId="0" fontId="5" fillId="4" borderId="1" xfId="0" applyFont="1" applyFill="1" applyBorder="1" applyAlignment="1">
      <alignment horizontal="center"/>
    </xf>
    <xf numFmtId="0" fontId="5" fillId="4" borderId="2" xfId="0" applyFont="1" applyFill="1" applyBorder="1" applyAlignment="1">
      <alignment horizontal="center"/>
    </xf>
    <xf numFmtId="0" fontId="5" fillId="4" borderId="5" xfId="0" applyFont="1" applyFill="1" applyBorder="1" applyAlignment="1">
      <alignment horizontal="center"/>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5" borderId="5" xfId="0" applyFont="1" applyFill="1" applyBorder="1" applyAlignment="1">
      <alignment horizontal="center"/>
    </xf>
    <xf numFmtId="0" fontId="5" fillId="6" borderId="1" xfId="0" applyFont="1" applyFill="1" applyBorder="1" applyAlignment="1">
      <alignment horizontal="center"/>
    </xf>
    <xf numFmtId="0" fontId="5" fillId="6" borderId="2" xfId="0" applyFont="1" applyFill="1" applyBorder="1" applyAlignment="1">
      <alignment horizontal="center"/>
    </xf>
    <xf numFmtId="0" fontId="5" fillId="6" borderId="5" xfId="0" applyFont="1" applyFill="1" applyBorder="1" applyAlignment="1">
      <alignment horizontal="center"/>
    </xf>
    <xf numFmtId="0" fontId="2" fillId="11" borderId="11" xfId="0" applyFont="1" applyFill="1" applyBorder="1" applyAlignment="1">
      <alignment horizontal="center"/>
    </xf>
    <xf numFmtId="0" fontId="5" fillId="0" borderId="0" xfId="0" applyFont="1" applyAlignment="1">
      <alignment horizontal="left" vertical="center"/>
    </xf>
    <xf numFmtId="0" fontId="9" fillId="0" borderId="0" xfId="0" applyFont="1" applyAlignment="1">
      <alignment horizontal="left" vertical="center" wrapText="1"/>
    </xf>
    <xf numFmtId="0" fontId="11" fillId="0" borderId="0" xfId="0" applyFont="1" applyAlignment="1">
      <alignment horizontal="left" vertical="center" wrapText="1"/>
    </xf>
    <xf numFmtId="0" fontId="3" fillId="10" borderId="11" xfId="0" applyFont="1" applyFill="1" applyBorder="1" applyAlignment="1">
      <alignment horizontal="center" vertical="center"/>
    </xf>
    <xf numFmtId="0" fontId="4" fillId="0" borderId="0" xfId="0" applyFont="1" applyAlignment="1">
      <alignment horizontal="left" vertical="center" wrapText="1"/>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Border="1" applyAlignment="1">
      <alignment vertical="center" wrapText="1"/>
    </xf>
    <xf numFmtId="0" fontId="4" fillId="0" borderId="11" xfId="0" applyFont="1" applyFill="1" applyBorder="1" applyAlignment="1">
      <alignment horizontal="center" vertical="center" wrapText="1"/>
    </xf>
    <xf numFmtId="6" fontId="14" fillId="0" borderId="24" xfId="0" applyNumberFormat="1" applyFont="1" applyBorder="1" applyAlignment="1">
      <alignment horizontal="center" vertical="center"/>
    </xf>
    <xf numFmtId="0" fontId="5" fillId="0" borderId="0" xfId="0" applyFont="1" applyBorder="1" applyAlignment="1">
      <alignment horizontal="center"/>
    </xf>
    <xf numFmtId="0" fontId="5" fillId="9" borderId="11" xfId="0" applyFont="1" applyFill="1" applyBorder="1" applyAlignment="1">
      <alignment horizontal="center"/>
    </xf>
    <xf numFmtId="0" fontId="5" fillId="0" borderId="11" xfId="0" applyFont="1" applyBorder="1" applyAlignment="1">
      <alignment horizontal="center" wrapText="1"/>
    </xf>
    <xf numFmtId="0" fontId="13"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4" fillId="0" borderId="11" xfId="0" applyFont="1" applyFill="1" applyBorder="1" applyAlignment="1">
      <alignment horizontal="center" vertical="center"/>
    </xf>
    <xf numFmtId="0" fontId="4" fillId="0" borderId="11" xfId="0" applyFont="1" applyBorder="1" applyAlignment="1">
      <alignment horizontal="center" vertical="center"/>
    </xf>
    <xf numFmtId="0" fontId="5" fillId="4" borderId="11" xfId="0" applyFont="1" applyFill="1" applyBorder="1" applyAlignment="1">
      <alignment horizontal="center"/>
    </xf>
    <xf numFmtId="0" fontId="5" fillId="5" borderId="11" xfId="0" applyFont="1" applyFill="1" applyBorder="1" applyAlignment="1">
      <alignment horizontal="center"/>
    </xf>
    <xf numFmtId="0" fontId="5" fillId="6" borderId="11" xfId="0" applyFont="1" applyFill="1" applyBorder="1" applyAlignment="1">
      <alignment horizontal="center"/>
    </xf>
    <xf numFmtId="0" fontId="5" fillId="7" borderId="11" xfId="0" applyFont="1" applyFill="1" applyBorder="1" applyAlignment="1">
      <alignment horizontal="center"/>
    </xf>
    <xf numFmtId="0" fontId="5" fillId="8" borderId="11" xfId="0" applyFont="1" applyFill="1" applyBorder="1" applyAlignment="1">
      <alignment horizontal="center"/>
    </xf>
    <xf numFmtId="0" fontId="15" fillId="0" borderId="0" xfId="0" applyFont="1" applyBorder="1" applyAlignment="1">
      <alignment horizontal="center" wrapText="1"/>
    </xf>
    <xf numFmtId="0" fontId="5" fillId="0" borderId="22" xfId="0" applyNumberFormat="1" applyFont="1" applyBorder="1" applyAlignment="1">
      <alignment horizontal="center"/>
    </xf>
    <xf numFmtId="0" fontId="5" fillId="0" borderId="25" xfId="0" applyNumberFormat="1" applyFont="1" applyBorder="1" applyAlignment="1">
      <alignment horizontal="center"/>
    </xf>
    <xf numFmtId="0" fontId="5" fillId="0" borderId="23" xfId="0" applyNumberFormat="1" applyFont="1" applyBorder="1" applyAlignment="1">
      <alignment horizontal="center"/>
    </xf>
    <xf numFmtId="0" fontId="16" fillId="0" borderId="26" xfId="0" applyFont="1" applyBorder="1" applyAlignment="1">
      <alignment horizontal="center"/>
    </xf>
    <xf numFmtId="0" fontId="16" fillId="0" borderId="27" xfId="0" applyFont="1" applyBorder="1" applyAlignment="1">
      <alignment horizontal="center"/>
    </xf>
    <xf numFmtId="0" fontId="4" fillId="0" borderId="24" xfId="0" applyFont="1" applyBorder="1" applyAlignment="1">
      <alignment horizontal="center" vertical="center" wrapText="1"/>
    </xf>
    <xf numFmtId="0" fontId="5" fillId="0" borderId="0" xfId="0" applyFont="1" applyBorder="1" applyAlignment="1">
      <alignment horizontal="center" vertical="center" wrapText="1"/>
    </xf>
    <xf numFmtId="0" fontId="16" fillId="0" borderId="28" xfId="0" applyFont="1" applyBorder="1" applyAlignment="1">
      <alignment horizontal="center"/>
    </xf>
    <xf numFmtId="0" fontId="16" fillId="0" borderId="21" xfId="0" applyFont="1" applyBorder="1" applyAlignment="1">
      <alignment horizontal="center"/>
    </xf>
    <xf numFmtId="0" fontId="16" fillId="0" borderId="20" xfId="0" applyFont="1" applyBorder="1" applyAlignment="1">
      <alignment horizontal="center"/>
    </xf>
    <xf numFmtId="0" fontId="16" fillId="0" borderId="19" xfId="0" applyFont="1" applyBorder="1" applyAlignment="1">
      <alignment horizontal="center"/>
    </xf>
    <xf numFmtId="0" fontId="13" fillId="0" borderId="0" xfId="0" applyFont="1" applyBorder="1" applyAlignment="1">
      <alignment horizontal="center" vertical="center" wrapText="1"/>
    </xf>
    <xf numFmtId="0" fontId="7" fillId="0" borderId="24" xfId="0" applyFont="1" applyBorder="1" applyAlignment="1">
      <alignment horizontal="center" vertical="center" wrapText="1"/>
    </xf>
    <xf numFmtId="0" fontId="4" fillId="12" borderId="19" xfId="0" applyFont="1" applyFill="1" applyBorder="1" applyAlignment="1">
      <alignment horizontal="center" vertical="center" wrapText="1"/>
    </xf>
    <xf numFmtId="0" fontId="4" fillId="12" borderId="20" xfId="0" applyFont="1" applyFill="1" applyBorder="1" applyAlignment="1">
      <alignment horizontal="center" vertical="center" wrapText="1"/>
    </xf>
    <xf numFmtId="0" fontId="4" fillId="12" borderId="21" xfId="0" applyFont="1" applyFill="1" applyBorder="1" applyAlignment="1">
      <alignment horizontal="center" vertical="center" wrapText="1"/>
    </xf>
    <xf numFmtId="0" fontId="4" fillId="12" borderId="22" xfId="0" applyFont="1" applyFill="1" applyBorder="1" applyAlignment="1">
      <alignment horizontal="center" vertical="center" wrapText="1"/>
    </xf>
    <xf numFmtId="0" fontId="4" fillId="12" borderId="23" xfId="0" applyFont="1" applyFill="1" applyBorder="1" applyAlignment="1">
      <alignment horizontal="center" vertical="center" wrapText="1"/>
    </xf>
    <xf numFmtId="0" fontId="16" fillId="0" borderId="1" xfId="0" applyFont="1" applyBorder="1" applyAlignment="1">
      <alignment horizontal="center"/>
    </xf>
    <xf numFmtId="0" fontId="16" fillId="0" borderId="5" xfId="0" applyFont="1" applyBorder="1" applyAlignment="1">
      <alignment horizontal="center"/>
    </xf>
    <xf numFmtId="0" fontId="16" fillId="0" borderId="33" xfId="0" applyFont="1" applyBorder="1" applyAlignment="1">
      <alignment horizontal="center"/>
    </xf>
    <xf numFmtId="0" fontId="16" fillId="0" borderId="34" xfId="0" applyFont="1" applyBorder="1" applyAlignment="1">
      <alignment horizontal="center"/>
    </xf>
  </cellXfs>
  <cellStyles count="4">
    <cellStyle name="Normal" xfId="0" builtinId="0"/>
    <cellStyle name="Normal 2" xfId="1" xr:uid="{F446746B-368E-4966-99C9-F1DFBEAF7D19}"/>
    <cellStyle name="Normal 2 2" xfId="2" xr:uid="{0F99DBBE-065F-4671-8E3A-BD736728EB71}"/>
    <cellStyle name="Normal 4" xfId="3" xr:uid="{1D667BB0-D14B-4166-B625-9B59705947BE}"/>
  </cellStyles>
  <dxfs count="0"/>
  <tableStyles count="0" defaultTableStyle="TableStyleMedium2" defaultPivotStyle="PivotStyleLight16"/>
  <colors>
    <mruColors>
      <color rgb="FFF2F2F2"/>
      <color rgb="FFFF6161"/>
      <color rgb="FFFADBC6"/>
      <color rgb="FFE6A8D6"/>
      <color rgb="FFFFFF99"/>
      <color rgb="FFDFC9EF"/>
      <color rgb="FFDAC1ED"/>
      <color rgb="FFD1B2E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324970</xdr:colOff>
      <xdr:row>0</xdr:row>
      <xdr:rowOff>0</xdr:rowOff>
    </xdr:from>
    <xdr:to>
      <xdr:col>10</xdr:col>
      <xdr:colOff>446537</xdr:colOff>
      <xdr:row>5</xdr:row>
      <xdr:rowOff>38273</xdr:rowOff>
    </xdr:to>
    <xdr:pic>
      <xdr:nvPicPr>
        <xdr:cNvPr id="4" name="Imagen 3">
          <a:extLst>
            <a:ext uri="{FF2B5EF4-FFF2-40B4-BE49-F238E27FC236}">
              <a16:creationId xmlns:a16="http://schemas.microsoft.com/office/drawing/2014/main" id="{D80F5BC0-0536-4CD5-B4FD-63D561D79C0B}"/>
            </a:ext>
          </a:extLst>
        </xdr:cNvPr>
        <xdr:cNvPicPr>
          <a:picLocks noChangeAspect="1"/>
        </xdr:cNvPicPr>
      </xdr:nvPicPr>
      <xdr:blipFill>
        <a:blip xmlns:r="http://schemas.openxmlformats.org/officeDocument/2006/relationships" r:embed="rId1"/>
        <a:stretch>
          <a:fillRect/>
        </a:stretch>
      </xdr:blipFill>
      <xdr:spPr>
        <a:xfrm>
          <a:off x="6656294" y="0"/>
          <a:ext cx="4200508" cy="9571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324970</xdr:colOff>
      <xdr:row>0</xdr:row>
      <xdr:rowOff>0</xdr:rowOff>
    </xdr:from>
    <xdr:to>
      <xdr:col>31</xdr:col>
      <xdr:colOff>169445</xdr:colOff>
      <xdr:row>5</xdr:row>
      <xdr:rowOff>38273</xdr:rowOff>
    </xdr:to>
    <xdr:pic>
      <xdr:nvPicPr>
        <xdr:cNvPr id="2" name="Imagen 1">
          <a:extLst>
            <a:ext uri="{FF2B5EF4-FFF2-40B4-BE49-F238E27FC236}">
              <a16:creationId xmlns:a16="http://schemas.microsoft.com/office/drawing/2014/main" id="{260B7A1B-F582-4BBF-9A2C-D2EC556BE51C}"/>
            </a:ext>
          </a:extLst>
        </xdr:cNvPr>
        <xdr:cNvPicPr>
          <a:picLocks noChangeAspect="1"/>
        </xdr:cNvPicPr>
      </xdr:nvPicPr>
      <xdr:blipFill>
        <a:blip xmlns:r="http://schemas.openxmlformats.org/officeDocument/2006/relationships" r:embed="rId1"/>
        <a:stretch>
          <a:fillRect/>
        </a:stretch>
      </xdr:blipFill>
      <xdr:spPr>
        <a:xfrm>
          <a:off x="6649570" y="0"/>
          <a:ext cx="4198267" cy="96219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707B2-10A5-43F7-927B-44655AB5336B}">
  <dimension ref="B2:AB56"/>
  <sheetViews>
    <sheetView zoomScale="85" zoomScaleNormal="85" workbookViewId="0">
      <selection activeCell="J12" sqref="J12"/>
    </sheetView>
  </sheetViews>
  <sheetFormatPr baseColWidth="10" defaultRowHeight="15.75"/>
  <cols>
    <col min="1" max="1" width="11.42578125" style="1"/>
    <col min="2" max="2" width="6" style="1" bestFit="1" customWidth="1"/>
    <col min="3" max="3" width="43.7109375" style="1" bestFit="1" customWidth="1"/>
    <col min="4" max="4" width="8" style="1" bestFit="1" customWidth="1"/>
    <col min="5" max="5" width="10.42578125" style="1" bestFit="1" customWidth="1"/>
    <col min="6" max="6" width="15.28515625" style="1" bestFit="1" customWidth="1"/>
    <col min="7" max="8" width="15.28515625" style="1" customWidth="1"/>
    <col min="9" max="9" width="15.28515625" style="1" bestFit="1" customWidth="1"/>
    <col min="10" max="11" width="15.28515625" style="1" customWidth="1"/>
    <col min="12" max="12" width="15.28515625" style="1" bestFit="1" customWidth="1"/>
    <col min="13" max="14" width="15.28515625" style="1" customWidth="1"/>
    <col min="15" max="15" width="15.28515625" style="1" bestFit="1" customWidth="1"/>
    <col min="16" max="17" width="15.28515625" style="1" customWidth="1"/>
    <col min="18" max="18" width="15.28515625" style="1" bestFit="1" customWidth="1"/>
    <col min="19" max="20" width="15.28515625" style="1" customWidth="1"/>
    <col min="21" max="21" width="16.28515625" style="1" bestFit="1" customWidth="1"/>
    <col min="22" max="23" width="16.28515625" style="1" customWidth="1"/>
    <col min="24" max="25" width="15" style="1" customWidth="1"/>
    <col min="26" max="26" width="18.85546875" style="51" bestFit="1" customWidth="1"/>
    <col min="27" max="27" width="16.42578125" style="1" hidden="1" customWidth="1"/>
    <col min="28" max="28" width="16.28515625" style="1" bestFit="1" customWidth="1"/>
    <col min="29" max="16384" width="11.42578125" style="1"/>
  </cols>
  <sheetData>
    <row r="2" spans="2:28" ht="14.25" customHeight="1">
      <c r="F2" s="185" t="s">
        <v>61</v>
      </c>
      <c r="G2" s="185"/>
      <c r="H2" s="185"/>
      <c r="I2" s="185"/>
      <c r="J2" s="185"/>
      <c r="K2" s="185"/>
      <c r="L2" s="185"/>
      <c r="M2" s="185"/>
      <c r="N2" s="185"/>
      <c r="O2" s="185"/>
      <c r="P2" s="185"/>
      <c r="Q2" s="185"/>
      <c r="R2" s="185"/>
      <c r="S2" s="185"/>
      <c r="T2" s="185"/>
      <c r="U2" s="185"/>
      <c r="V2" s="185"/>
      <c r="W2" s="185"/>
      <c r="X2" s="67"/>
      <c r="Y2" s="67"/>
      <c r="Z2" s="67"/>
    </row>
    <row r="3" spans="2:28" ht="14.25" customHeight="1">
      <c r="F3" s="185" t="s">
        <v>62</v>
      </c>
      <c r="G3" s="185"/>
      <c r="H3" s="185"/>
      <c r="I3" s="185"/>
      <c r="J3" s="185"/>
      <c r="K3" s="185"/>
      <c r="L3" s="185"/>
      <c r="M3" s="185"/>
      <c r="N3" s="185"/>
      <c r="O3" s="185"/>
      <c r="P3" s="185"/>
      <c r="Q3" s="185"/>
      <c r="R3" s="185"/>
      <c r="S3" s="185"/>
      <c r="T3" s="185"/>
      <c r="U3" s="185"/>
      <c r="V3" s="185"/>
      <c r="W3" s="185"/>
      <c r="X3" s="67"/>
      <c r="Y3" s="67"/>
      <c r="Z3" s="67"/>
    </row>
    <row r="4" spans="2:28" ht="14.25" customHeight="1">
      <c r="F4" s="185" t="s">
        <v>63</v>
      </c>
      <c r="G4" s="185"/>
      <c r="H4" s="185"/>
      <c r="I4" s="185"/>
      <c r="J4" s="185"/>
      <c r="K4" s="185"/>
      <c r="L4" s="185"/>
      <c r="M4" s="185"/>
      <c r="N4" s="185"/>
      <c r="O4" s="185"/>
      <c r="P4" s="185"/>
      <c r="Q4" s="185"/>
      <c r="R4" s="185"/>
      <c r="S4" s="185"/>
      <c r="T4" s="185"/>
      <c r="U4" s="185"/>
      <c r="V4" s="185"/>
      <c r="W4" s="185"/>
      <c r="X4" s="67"/>
      <c r="Y4" s="67"/>
      <c r="Z4" s="67"/>
    </row>
    <row r="5" spans="2:28" ht="14.25">
      <c r="M5" s="65"/>
      <c r="N5" s="65"/>
      <c r="O5" s="65"/>
      <c r="P5" s="65"/>
      <c r="Q5" s="65"/>
      <c r="R5" s="65"/>
      <c r="S5" s="65"/>
      <c r="T5" s="65"/>
      <c r="U5" s="65"/>
      <c r="V5" s="65"/>
      <c r="W5" s="65"/>
      <c r="X5" s="65"/>
      <c r="Y5" s="65"/>
      <c r="Z5" s="65"/>
    </row>
    <row r="6" spans="2:28">
      <c r="F6" s="186" t="s">
        <v>64</v>
      </c>
      <c r="G6" s="187"/>
      <c r="H6" s="187"/>
      <c r="I6" s="187"/>
      <c r="J6" s="187"/>
      <c r="K6" s="187"/>
      <c r="L6" s="187"/>
      <c r="M6" s="187"/>
      <c r="N6" s="187"/>
      <c r="O6" s="187"/>
      <c r="P6" s="187"/>
      <c r="Q6" s="187"/>
      <c r="R6" s="187"/>
      <c r="S6" s="187"/>
      <c r="T6" s="187"/>
      <c r="U6" s="187"/>
      <c r="V6" s="187"/>
      <c r="W6" s="187"/>
      <c r="X6" s="66"/>
      <c r="Y6" s="66"/>
    </row>
    <row r="8" spans="2:28" ht="34.5" customHeight="1" thickBot="1">
      <c r="F8" s="188" t="s">
        <v>90</v>
      </c>
      <c r="G8" s="188"/>
      <c r="H8" s="188"/>
      <c r="I8" s="188"/>
      <c r="J8" s="188"/>
      <c r="K8" s="188"/>
      <c r="L8" s="188"/>
      <c r="M8" s="188"/>
      <c r="N8" s="188"/>
      <c r="O8" s="188"/>
      <c r="P8" s="188"/>
      <c r="Q8" s="188"/>
      <c r="R8" s="188"/>
      <c r="S8" s="188"/>
      <c r="T8" s="188"/>
      <c r="U8" s="188"/>
      <c r="V8" s="188"/>
      <c r="W8" s="188"/>
      <c r="X8" s="68"/>
      <c r="Y8" s="68"/>
    </row>
    <row r="9" spans="2:28" ht="15.75" customHeight="1" thickBot="1">
      <c r="F9" s="214" t="s">
        <v>31</v>
      </c>
      <c r="G9" s="215"/>
      <c r="H9" s="216"/>
      <c r="I9" s="217" t="s">
        <v>32</v>
      </c>
      <c r="J9" s="218"/>
      <c r="K9" s="219"/>
      <c r="L9" s="220" t="s">
        <v>33</v>
      </c>
      <c r="M9" s="221"/>
      <c r="N9" s="222"/>
      <c r="O9" s="207" t="s">
        <v>34</v>
      </c>
      <c r="P9" s="208"/>
      <c r="Q9" s="209"/>
      <c r="R9" s="204" t="s">
        <v>36</v>
      </c>
      <c r="S9" s="205"/>
      <c r="T9" s="206"/>
      <c r="U9" s="201" t="s">
        <v>40</v>
      </c>
      <c r="V9" s="202"/>
      <c r="W9" s="203"/>
      <c r="X9" s="212" t="s">
        <v>35</v>
      </c>
      <c r="Y9" s="213"/>
      <c r="Z9" s="189" t="s">
        <v>56</v>
      </c>
      <c r="AA9" s="192" t="s">
        <v>53</v>
      </c>
    </row>
    <row r="10" spans="2:28" ht="39" thickBot="1">
      <c r="B10" s="16" t="s">
        <v>3</v>
      </c>
      <c r="C10" s="3" t="s">
        <v>4</v>
      </c>
      <c r="D10" s="3" t="s">
        <v>5</v>
      </c>
      <c r="E10" s="3" t="s">
        <v>6</v>
      </c>
      <c r="F10" s="22" t="s">
        <v>37</v>
      </c>
      <c r="G10" s="22" t="s">
        <v>54</v>
      </c>
      <c r="H10" s="22" t="s">
        <v>58</v>
      </c>
      <c r="I10" s="23" t="s">
        <v>37</v>
      </c>
      <c r="J10" s="23" t="s">
        <v>54</v>
      </c>
      <c r="K10" s="23" t="s">
        <v>58</v>
      </c>
      <c r="L10" s="24" t="s">
        <v>38</v>
      </c>
      <c r="M10" s="24" t="s">
        <v>54</v>
      </c>
      <c r="N10" s="24" t="s">
        <v>58</v>
      </c>
      <c r="O10" s="25" t="s">
        <v>37</v>
      </c>
      <c r="P10" s="45" t="s">
        <v>54</v>
      </c>
      <c r="Q10" s="47" t="s">
        <v>58</v>
      </c>
      <c r="R10" s="48" t="s">
        <v>37</v>
      </c>
      <c r="S10" s="46" t="s">
        <v>54</v>
      </c>
      <c r="T10" s="28" t="s">
        <v>58</v>
      </c>
      <c r="U10" s="29" t="s">
        <v>37</v>
      </c>
      <c r="V10" s="29" t="s">
        <v>54</v>
      </c>
      <c r="W10" s="29" t="s">
        <v>55</v>
      </c>
      <c r="X10" s="210" t="s">
        <v>39</v>
      </c>
      <c r="Y10" s="210" t="s">
        <v>57</v>
      </c>
      <c r="Z10" s="190"/>
      <c r="AA10" s="193"/>
    </row>
    <row r="11" spans="2:28" ht="25.5" customHeight="1" thickBot="1">
      <c r="B11" s="2" t="s">
        <v>16</v>
      </c>
      <c r="C11" s="198" t="s">
        <v>17</v>
      </c>
      <c r="D11" s="199"/>
      <c r="E11" s="199"/>
      <c r="F11" s="199"/>
      <c r="G11" s="199"/>
      <c r="H11" s="199"/>
      <c r="I11" s="199"/>
      <c r="J11" s="199"/>
      <c r="K11" s="199"/>
      <c r="L11" s="199"/>
      <c r="M11" s="199"/>
      <c r="N11" s="199"/>
      <c r="O11" s="199"/>
      <c r="P11" s="199"/>
      <c r="Q11" s="199"/>
      <c r="R11" s="199"/>
      <c r="S11" s="199"/>
      <c r="T11" s="199"/>
      <c r="U11" s="199"/>
      <c r="V11" s="199"/>
      <c r="W11" s="200"/>
      <c r="X11" s="211"/>
      <c r="Y11" s="211"/>
      <c r="Z11" s="191"/>
      <c r="AA11" s="194"/>
    </row>
    <row r="12" spans="2:28" ht="115.5" thickBot="1">
      <c r="B12" s="4">
        <v>1</v>
      </c>
      <c r="C12" s="18" t="s">
        <v>43</v>
      </c>
      <c r="D12" s="19" t="s">
        <v>0</v>
      </c>
      <c r="E12" s="20">
        <v>1</v>
      </c>
      <c r="F12" s="30">
        <v>28700000</v>
      </c>
      <c r="G12" s="30">
        <f>ROUND(F12*0.19,0)</f>
        <v>5453000</v>
      </c>
      <c r="H12" s="30">
        <f>+F12+G12</f>
        <v>34153000</v>
      </c>
      <c r="I12" s="30">
        <v>49000000</v>
      </c>
      <c r="J12" s="30">
        <f>ROUND(I12*0.19,0)</f>
        <v>9310000</v>
      </c>
      <c r="K12" s="30">
        <f>+I12+J12</f>
        <v>58310000</v>
      </c>
      <c r="L12" s="30">
        <v>21920250</v>
      </c>
      <c r="M12" s="30">
        <f>ROUND(L12*0.19,0)</f>
        <v>4164848</v>
      </c>
      <c r="N12" s="30">
        <f>+L12+M12</f>
        <v>26085098</v>
      </c>
      <c r="O12" s="30">
        <v>18099501</v>
      </c>
      <c r="P12" s="30">
        <f>ROUND(O12*0.19,0)</f>
        <v>3438905</v>
      </c>
      <c r="Q12" s="30">
        <f>+O12+P12</f>
        <v>21538406</v>
      </c>
      <c r="R12" s="30">
        <v>36037676</v>
      </c>
      <c r="S12" s="30">
        <f>ROUND(R12*0.19,0)</f>
        <v>6847158</v>
      </c>
      <c r="T12" s="30">
        <f>+R12+S12</f>
        <v>42884834</v>
      </c>
      <c r="U12" s="30">
        <v>28033715</v>
      </c>
      <c r="V12" s="30">
        <f>ROUND(U12*0.19,0)</f>
        <v>5326406</v>
      </c>
      <c r="W12" s="30">
        <f>+U12+V12</f>
        <v>33360121</v>
      </c>
      <c r="X12" s="34">
        <f t="shared" ref="X12:X23" si="0">ROUND((F12+I12+L12+O12+R12+U12)/6,0)</f>
        <v>30298524</v>
      </c>
      <c r="Y12" s="34">
        <f>ROUND(X12*0.19,0)</f>
        <v>5756720</v>
      </c>
      <c r="Z12" s="52">
        <f>+X12+Y12</f>
        <v>36055244</v>
      </c>
      <c r="AA12" s="30">
        <f>+Z12*E12</f>
        <v>36055244</v>
      </c>
      <c r="AB12" s="33"/>
    </row>
    <row r="13" spans="2:28" ht="115.5" thickBot="1">
      <c r="B13" s="4">
        <v>2</v>
      </c>
      <c r="C13" s="8" t="s">
        <v>44</v>
      </c>
      <c r="D13" s="9" t="s">
        <v>0</v>
      </c>
      <c r="E13" s="10">
        <v>1</v>
      </c>
      <c r="F13" s="30">
        <v>17900000</v>
      </c>
      <c r="G13" s="30">
        <f t="shared" ref="G13:G41" si="1">ROUND(F13*0.19,0)</f>
        <v>3401000</v>
      </c>
      <c r="H13" s="30">
        <f t="shared" ref="H13:H41" si="2">+F13+G13</f>
        <v>21301000</v>
      </c>
      <c r="I13" s="30">
        <v>18000000</v>
      </c>
      <c r="J13" s="30">
        <f t="shared" ref="J13:J40" si="3">ROUND(I13*0.19,0)</f>
        <v>3420000</v>
      </c>
      <c r="K13" s="30">
        <f t="shared" ref="K13:K24" si="4">+I13+J13</f>
        <v>21420000</v>
      </c>
      <c r="L13" s="30">
        <v>11145750</v>
      </c>
      <c r="M13" s="30">
        <f t="shared" ref="M13:M41" si="5">ROUND(L13*0.19,0)</f>
        <v>2117693</v>
      </c>
      <c r="N13" s="30">
        <f t="shared" ref="N13:N41" si="6">+L13+M13</f>
        <v>13263443</v>
      </c>
      <c r="O13" s="30">
        <v>11205000</v>
      </c>
      <c r="P13" s="30">
        <f t="shared" ref="P13:P41" si="7">ROUND(O13*0.19,0)</f>
        <v>2128950</v>
      </c>
      <c r="Q13" s="30">
        <f t="shared" ref="Q13:Q41" si="8">+O13+P13</f>
        <v>13333950</v>
      </c>
      <c r="R13" s="30">
        <v>14145854</v>
      </c>
      <c r="S13" s="30">
        <f t="shared" ref="S13:S41" si="9">ROUND(R13*0.19,0)</f>
        <v>2687712</v>
      </c>
      <c r="T13" s="30">
        <f t="shared" ref="T13:T41" si="10">+R13+S13</f>
        <v>16833566</v>
      </c>
      <c r="U13" s="30">
        <v>12865383</v>
      </c>
      <c r="V13" s="30">
        <f t="shared" ref="V13:V41" si="11">ROUND(U13*0.19,0)</f>
        <v>2444423</v>
      </c>
      <c r="W13" s="30">
        <f t="shared" ref="W13:W41" si="12">+U13+V13</f>
        <v>15309806</v>
      </c>
      <c r="X13" s="34">
        <f t="shared" si="0"/>
        <v>14210331</v>
      </c>
      <c r="Y13" s="34">
        <f t="shared" ref="Y13:Y41" si="13">ROUND(X13*0.19,0)</f>
        <v>2699963</v>
      </c>
      <c r="Z13" s="52">
        <f t="shared" ref="Z13:Z41" si="14">+X13+Y13</f>
        <v>16910294</v>
      </c>
      <c r="AA13" s="30">
        <f t="shared" ref="AA13:AA41" si="15">+Z13*E13</f>
        <v>16910294</v>
      </c>
      <c r="AB13" s="33"/>
    </row>
    <row r="14" spans="2:28" ht="115.5" thickBot="1">
      <c r="B14" s="4">
        <v>3</v>
      </c>
      <c r="C14" s="5" t="s">
        <v>45</v>
      </c>
      <c r="D14" s="6" t="s">
        <v>0</v>
      </c>
      <c r="E14" s="7">
        <v>1</v>
      </c>
      <c r="F14" s="30">
        <v>13500000</v>
      </c>
      <c r="G14" s="30">
        <f t="shared" si="1"/>
        <v>2565000</v>
      </c>
      <c r="H14" s="30">
        <f t="shared" si="2"/>
        <v>16065000</v>
      </c>
      <c r="I14" s="30">
        <v>16000000</v>
      </c>
      <c r="J14" s="30">
        <f t="shared" si="3"/>
        <v>3040000</v>
      </c>
      <c r="K14" s="30">
        <f t="shared" si="4"/>
        <v>19040000</v>
      </c>
      <c r="L14" s="30">
        <v>9141000</v>
      </c>
      <c r="M14" s="30">
        <f t="shared" si="5"/>
        <v>1736790</v>
      </c>
      <c r="N14" s="30">
        <f t="shared" si="6"/>
        <v>10877790</v>
      </c>
      <c r="O14" s="30">
        <v>10028500</v>
      </c>
      <c r="P14" s="30">
        <f t="shared" si="7"/>
        <v>1905415</v>
      </c>
      <c r="Q14" s="30">
        <f t="shared" si="8"/>
        <v>11933915</v>
      </c>
      <c r="R14" s="30">
        <v>11017766</v>
      </c>
      <c r="S14" s="30">
        <f t="shared" si="9"/>
        <v>2093376</v>
      </c>
      <c r="T14" s="30">
        <f t="shared" si="10"/>
        <v>13111142</v>
      </c>
      <c r="U14" s="30">
        <v>10683840</v>
      </c>
      <c r="V14" s="30">
        <f t="shared" si="11"/>
        <v>2029930</v>
      </c>
      <c r="W14" s="30">
        <f t="shared" si="12"/>
        <v>12713770</v>
      </c>
      <c r="X14" s="34">
        <f t="shared" si="0"/>
        <v>11728518</v>
      </c>
      <c r="Y14" s="34">
        <f t="shared" si="13"/>
        <v>2228418</v>
      </c>
      <c r="Z14" s="52">
        <f t="shared" si="14"/>
        <v>13956936</v>
      </c>
      <c r="AA14" s="30">
        <f t="shared" si="15"/>
        <v>13956936</v>
      </c>
      <c r="AB14" s="33"/>
    </row>
    <row r="15" spans="2:28" ht="64.5" thickBot="1">
      <c r="B15" s="4">
        <v>4</v>
      </c>
      <c r="C15" s="8" t="s">
        <v>50</v>
      </c>
      <c r="D15" s="9" t="s">
        <v>0</v>
      </c>
      <c r="E15" s="10">
        <v>1</v>
      </c>
      <c r="F15" s="30">
        <v>10300000</v>
      </c>
      <c r="G15" s="30">
        <f t="shared" si="1"/>
        <v>1957000</v>
      </c>
      <c r="H15" s="30">
        <f t="shared" si="2"/>
        <v>12257000</v>
      </c>
      <c r="I15" s="30">
        <v>13620000</v>
      </c>
      <c r="J15" s="30">
        <f t="shared" si="3"/>
        <v>2587800</v>
      </c>
      <c r="K15" s="30">
        <f t="shared" si="4"/>
        <v>16207800</v>
      </c>
      <c r="L15" s="34">
        <v>4075500</v>
      </c>
      <c r="M15" s="30">
        <f t="shared" si="5"/>
        <v>774345</v>
      </c>
      <c r="N15" s="30">
        <f t="shared" si="6"/>
        <v>4849845</v>
      </c>
      <c r="O15" s="30">
        <v>7500000</v>
      </c>
      <c r="P15" s="30">
        <f t="shared" si="7"/>
        <v>1425000</v>
      </c>
      <c r="Q15" s="30">
        <f t="shared" si="8"/>
        <v>8925000</v>
      </c>
      <c r="R15" s="30">
        <v>11017766</v>
      </c>
      <c r="S15" s="30">
        <f t="shared" si="9"/>
        <v>2093376</v>
      </c>
      <c r="T15" s="30">
        <f t="shared" si="10"/>
        <v>13111142</v>
      </c>
      <c r="U15" s="30">
        <v>4865305</v>
      </c>
      <c r="V15" s="30">
        <f t="shared" si="11"/>
        <v>924408</v>
      </c>
      <c r="W15" s="30">
        <f t="shared" si="12"/>
        <v>5789713</v>
      </c>
      <c r="X15" s="34">
        <f t="shared" si="0"/>
        <v>8563095</v>
      </c>
      <c r="Y15" s="34">
        <f t="shared" si="13"/>
        <v>1626988</v>
      </c>
      <c r="Z15" s="52">
        <f t="shared" si="14"/>
        <v>10190083</v>
      </c>
      <c r="AA15" s="30">
        <f t="shared" si="15"/>
        <v>10190083</v>
      </c>
      <c r="AB15" s="33"/>
    </row>
    <row r="16" spans="2:28" ht="64.5" thickBot="1">
      <c r="B16" s="4">
        <v>5</v>
      </c>
      <c r="C16" s="5" t="s">
        <v>46</v>
      </c>
      <c r="D16" s="6" t="s">
        <v>0</v>
      </c>
      <c r="E16" s="7">
        <v>1</v>
      </c>
      <c r="F16" s="30">
        <v>5900000</v>
      </c>
      <c r="G16" s="30">
        <f t="shared" si="1"/>
        <v>1121000</v>
      </c>
      <c r="H16" s="30">
        <f t="shared" si="2"/>
        <v>7021000</v>
      </c>
      <c r="I16" s="30">
        <v>4200000</v>
      </c>
      <c r="J16" s="30">
        <f t="shared" si="3"/>
        <v>798000</v>
      </c>
      <c r="K16" s="30">
        <f t="shared" si="4"/>
        <v>4998000</v>
      </c>
      <c r="L16" s="30">
        <v>2682500</v>
      </c>
      <c r="M16" s="30">
        <f t="shared" si="5"/>
        <v>509675</v>
      </c>
      <c r="N16" s="30">
        <f t="shared" si="6"/>
        <v>3192175</v>
      </c>
      <c r="O16" s="30">
        <v>3246229</v>
      </c>
      <c r="P16" s="30">
        <f t="shared" si="7"/>
        <v>616784</v>
      </c>
      <c r="Q16" s="30">
        <f t="shared" si="8"/>
        <v>3863013</v>
      </c>
      <c r="R16" s="30">
        <v>3458620</v>
      </c>
      <c r="S16" s="30">
        <f t="shared" si="9"/>
        <v>657138</v>
      </c>
      <c r="T16" s="30">
        <f t="shared" si="10"/>
        <v>4115758</v>
      </c>
      <c r="U16" s="30">
        <v>3412057</v>
      </c>
      <c r="V16" s="30">
        <f t="shared" si="11"/>
        <v>648291</v>
      </c>
      <c r="W16" s="30">
        <f t="shared" si="12"/>
        <v>4060348</v>
      </c>
      <c r="X16" s="34">
        <f t="shared" si="0"/>
        <v>3816568</v>
      </c>
      <c r="Y16" s="34">
        <f t="shared" ref="Y16:Y21" si="16">ROUND(X16*0.19,0)</f>
        <v>725148</v>
      </c>
      <c r="Z16" s="52">
        <f t="shared" si="14"/>
        <v>4541716</v>
      </c>
      <c r="AA16" s="30">
        <f t="shared" si="15"/>
        <v>4541716</v>
      </c>
      <c r="AB16" s="33"/>
    </row>
    <row r="17" spans="2:28" ht="64.5" thickBot="1">
      <c r="B17" s="4">
        <v>6</v>
      </c>
      <c r="C17" s="8" t="s">
        <v>47</v>
      </c>
      <c r="D17" s="9" t="s">
        <v>0</v>
      </c>
      <c r="E17" s="10">
        <v>1</v>
      </c>
      <c r="F17" s="30">
        <v>4800000</v>
      </c>
      <c r="G17" s="30">
        <f t="shared" si="1"/>
        <v>912000</v>
      </c>
      <c r="H17" s="30">
        <f t="shared" si="2"/>
        <v>5712000</v>
      </c>
      <c r="I17" s="30">
        <v>4000000</v>
      </c>
      <c r="J17" s="30">
        <f t="shared" si="3"/>
        <v>760000</v>
      </c>
      <c r="K17" s="30">
        <f t="shared" si="4"/>
        <v>4760000</v>
      </c>
      <c r="L17" s="30">
        <v>2506750</v>
      </c>
      <c r="M17" s="30">
        <f t="shared" si="5"/>
        <v>476283</v>
      </c>
      <c r="N17" s="30">
        <f t="shared" si="6"/>
        <v>2983033</v>
      </c>
      <c r="O17" s="30">
        <v>2955000</v>
      </c>
      <c r="P17" s="30">
        <f t="shared" si="7"/>
        <v>561450</v>
      </c>
      <c r="Q17" s="30">
        <f t="shared" si="8"/>
        <v>3516450</v>
      </c>
      <c r="R17" s="30">
        <v>2673006</v>
      </c>
      <c r="S17" s="30">
        <f t="shared" si="9"/>
        <v>507871</v>
      </c>
      <c r="T17" s="30">
        <f t="shared" si="10"/>
        <v>3180877</v>
      </c>
      <c r="U17" s="30">
        <v>2864166</v>
      </c>
      <c r="V17" s="30">
        <f t="shared" si="11"/>
        <v>544192</v>
      </c>
      <c r="W17" s="30">
        <f t="shared" si="12"/>
        <v>3408358</v>
      </c>
      <c r="X17" s="34">
        <f t="shared" si="0"/>
        <v>3299820</v>
      </c>
      <c r="Y17" s="34">
        <f t="shared" si="16"/>
        <v>626966</v>
      </c>
      <c r="Z17" s="52">
        <f t="shared" si="14"/>
        <v>3926786</v>
      </c>
      <c r="AA17" s="30">
        <f t="shared" si="15"/>
        <v>3926786</v>
      </c>
      <c r="AB17" s="33"/>
    </row>
    <row r="18" spans="2:28" ht="64.5" thickBot="1">
      <c r="B18" s="4">
        <v>7</v>
      </c>
      <c r="C18" s="5" t="s">
        <v>48</v>
      </c>
      <c r="D18" s="6" t="s">
        <v>0</v>
      </c>
      <c r="E18" s="7">
        <v>1</v>
      </c>
      <c r="F18" s="30">
        <v>3500000</v>
      </c>
      <c r="G18" s="30">
        <f t="shared" si="1"/>
        <v>665000</v>
      </c>
      <c r="H18" s="30">
        <f t="shared" si="2"/>
        <v>4165000</v>
      </c>
      <c r="I18" s="30">
        <v>4000000</v>
      </c>
      <c r="J18" s="30">
        <f t="shared" si="3"/>
        <v>760000</v>
      </c>
      <c r="K18" s="30">
        <f t="shared" si="4"/>
        <v>4760000</v>
      </c>
      <c r="L18" s="30">
        <v>2118250</v>
      </c>
      <c r="M18" s="30">
        <f t="shared" si="5"/>
        <v>402468</v>
      </c>
      <c r="N18" s="30">
        <f t="shared" si="6"/>
        <v>2520718</v>
      </c>
      <c r="O18" s="30">
        <v>2692690</v>
      </c>
      <c r="P18" s="30">
        <f t="shared" si="7"/>
        <v>511611</v>
      </c>
      <c r="Q18" s="30">
        <f t="shared" si="8"/>
        <v>3204301</v>
      </c>
      <c r="R18" s="30">
        <v>2217924</v>
      </c>
      <c r="S18" s="30">
        <f t="shared" si="9"/>
        <v>421406</v>
      </c>
      <c r="T18" s="30">
        <f t="shared" si="10"/>
        <v>2639330</v>
      </c>
      <c r="U18" s="30">
        <v>2546790</v>
      </c>
      <c r="V18" s="30">
        <f t="shared" si="11"/>
        <v>483890</v>
      </c>
      <c r="W18" s="30">
        <f t="shared" si="12"/>
        <v>3030680</v>
      </c>
      <c r="X18" s="34">
        <f t="shared" si="0"/>
        <v>2845942</v>
      </c>
      <c r="Y18" s="34">
        <f t="shared" si="16"/>
        <v>540729</v>
      </c>
      <c r="Z18" s="52">
        <f t="shared" si="14"/>
        <v>3386671</v>
      </c>
      <c r="AA18" s="30">
        <f t="shared" si="15"/>
        <v>3386671</v>
      </c>
      <c r="AB18" s="33"/>
    </row>
    <row r="19" spans="2:28" ht="64.5" thickBot="1">
      <c r="B19" s="4">
        <v>8</v>
      </c>
      <c r="C19" s="8" t="s">
        <v>49</v>
      </c>
      <c r="D19" s="9" t="s">
        <v>0</v>
      </c>
      <c r="E19" s="10">
        <v>1</v>
      </c>
      <c r="F19" s="30">
        <v>3000000</v>
      </c>
      <c r="G19" s="30">
        <f t="shared" si="1"/>
        <v>570000</v>
      </c>
      <c r="H19" s="30">
        <f t="shared" si="2"/>
        <v>3570000</v>
      </c>
      <c r="I19" s="30">
        <v>3900000</v>
      </c>
      <c r="J19" s="30">
        <f t="shared" si="3"/>
        <v>741000</v>
      </c>
      <c r="K19" s="30">
        <f t="shared" si="4"/>
        <v>4641000</v>
      </c>
      <c r="L19" s="30">
        <v>1600250</v>
      </c>
      <c r="M19" s="30">
        <f t="shared" si="5"/>
        <v>304048</v>
      </c>
      <c r="N19" s="30">
        <f t="shared" si="6"/>
        <v>1904298</v>
      </c>
      <c r="O19" s="30">
        <v>2100000</v>
      </c>
      <c r="P19" s="30">
        <f t="shared" si="7"/>
        <v>399000</v>
      </c>
      <c r="Q19" s="30">
        <f t="shared" si="8"/>
        <v>2499000</v>
      </c>
      <c r="R19" s="30">
        <v>2098166</v>
      </c>
      <c r="S19" s="30">
        <f t="shared" si="9"/>
        <v>398652</v>
      </c>
      <c r="T19" s="30">
        <f t="shared" si="10"/>
        <v>2496818</v>
      </c>
      <c r="U19" s="30">
        <v>2463270</v>
      </c>
      <c r="V19" s="30">
        <f t="shared" si="11"/>
        <v>468021</v>
      </c>
      <c r="W19" s="30">
        <f t="shared" si="12"/>
        <v>2931291</v>
      </c>
      <c r="X19" s="34">
        <f t="shared" si="0"/>
        <v>2526948</v>
      </c>
      <c r="Y19" s="34">
        <f t="shared" si="16"/>
        <v>480120</v>
      </c>
      <c r="Z19" s="52">
        <f t="shared" si="14"/>
        <v>3007068</v>
      </c>
      <c r="AA19" s="30">
        <f t="shared" si="15"/>
        <v>3007068</v>
      </c>
      <c r="AB19" s="33"/>
    </row>
    <row r="20" spans="2:28" ht="90" thickBot="1">
      <c r="B20" s="4">
        <v>9</v>
      </c>
      <c r="C20" s="5" t="s">
        <v>18</v>
      </c>
      <c r="D20" s="6" t="s">
        <v>0</v>
      </c>
      <c r="E20" s="7">
        <v>1</v>
      </c>
      <c r="F20" s="30">
        <v>3900000</v>
      </c>
      <c r="G20" s="30">
        <f t="shared" si="1"/>
        <v>741000</v>
      </c>
      <c r="H20" s="30">
        <f t="shared" si="2"/>
        <v>4641000</v>
      </c>
      <c r="I20" s="30">
        <v>4200000</v>
      </c>
      <c r="J20" s="30">
        <f t="shared" si="3"/>
        <v>798000</v>
      </c>
      <c r="K20" s="30">
        <f t="shared" si="4"/>
        <v>4998000</v>
      </c>
      <c r="L20" s="30">
        <v>3637816</v>
      </c>
      <c r="M20" s="30">
        <f t="shared" si="5"/>
        <v>691185</v>
      </c>
      <c r="N20" s="30">
        <f t="shared" si="6"/>
        <v>4329001</v>
      </c>
      <c r="O20" s="30">
        <v>5200000</v>
      </c>
      <c r="P20" s="30">
        <f t="shared" si="7"/>
        <v>988000</v>
      </c>
      <c r="Q20" s="30">
        <f t="shared" si="8"/>
        <v>6188000</v>
      </c>
      <c r="R20" s="30">
        <v>3587959</v>
      </c>
      <c r="S20" s="30">
        <f t="shared" si="9"/>
        <v>681712</v>
      </c>
      <c r="T20" s="30">
        <f t="shared" si="10"/>
        <v>4269671</v>
      </c>
      <c r="U20" s="30">
        <v>3940000</v>
      </c>
      <c r="V20" s="30">
        <f t="shared" si="11"/>
        <v>748600</v>
      </c>
      <c r="W20" s="30">
        <f t="shared" si="12"/>
        <v>4688600</v>
      </c>
      <c r="X20" s="34">
        <f t="shared" si="0"/>
        <v>4077629</v>
      </c>
      <c r="Y20" s="34">
        <f t="shared" si="16"/>
        <v>774750</v>
      </c>
      <c r="Z20" s="52">
        <f t="shared" si="14"/>
        <v>4852379</v>
      </c>
      <c r="AA20" s="30">
        <f t="shared" si="15"/>
        <v>4852379</v>
      </c>
      <c r="AB20" s="33"/>
    </row>
    <row r="21" spans="2:28" ht="90" thickBot="1">
      <c r="B21" s="4">
        <v>10</v>
      </c>
      <c r="C21" s="8" t="s">
        <v>19</v>
      </c>
      <c r="D21" s="9" t="s">
        <v>0</v>
      </c>
      <c r="E21" s="10">
        <v>1</v>
      </c>
      <c r="F21" s="30">
        <v>4700000</v>
      </c>
      <c r="G21" s="30">
        <f t="shared" si="1"/>
        <v>893000</v>
      </c>
      <c r="H21" s="30">
        <f t="shared" si="2"/>
        <v>5593000</v>
      </c>
      <c r="I21" s="30">
        <v>4800000</v>
      </c>
      <c r="J21" s="30">
        <f t="shared" si="3"/>
        <v>912000</v>
      </c>
      <c r="K21" s="30">
        <f t="shared" si="4"/>
        <v>5712000</v>
      </c>
      <c r="L21" s="30">
        <v>4632774</v>
      </c>
      <c r="M21" s="30">
        <f t="shared" si="5"/>
        <v>880227</v>
      </c>
      <c r="N21" s="30">
        <f t="shared" si="6"/>
        <v>5513001</v>
      </c>
      <c r="O21" s="30">
        <v>4650000</v>
      </c>
      <c r="P21" s="30">
        <f t="shared" si="7"/>
        <v>883500</v>
      </c>
      <c r="Q21" s="30">
        <f t="shared" si="8"/>
        <v>5533500</v>
      </c>
      <c r="R21" s="30">
        <v>4809494</v>
      </c>
      <c r="S21" s="30">
        <f t="shared" si="9"/>
        <v>913804</v>
      </c>
      <c r="T21" s="30">
        <f t="shared" si="10"/>
        <v>5723298</v>
      </c>
      <c r="U21" s="30">
        <v>5186000</v>
      </c>
      <c r="V21" s="30">
        <f t="shared" si="11"/>
        <v>985340</v>
      </c>
      <c r="W21" s="30">
        <f t="shared" si="12"/>
        <v>6171340</v>
      </c>
      <c r="X21" s="34">
        <f t="shared" si="0"/>
        <v>4796378</v>
      </c>
      <c r="Y21" s="34">
        <f t="shared" si="16"/>
        <v>911312</v>
      </c>
      <c r="Z21" s="52">
        <f t="shared" si="14"/>
        <v>5707690</v>
      </c>
      <c r="AA21" s="30">
        <f t="shared" si="15"/>
        <v>5707690</v>
      </c>
      <c r="AB21" s="33"/>
    </row>
    <row r="22" spans="2:28" ht="90" thickBot="1">
      <c r="B22" s="4">
        <v>11</v>
      </c>
      <c r="C22" s="11" t="s">
        <v>20</v>
      </c>
      <c r="D22" s="6" t="s">
        <v>0</v>
      </c>
      <c r="E22" s="12">
        <v>1</v>
      </c>
      <c r="F22" s="30">
        <v>6250000</v>
      </c>
      <c r="G22" s="30">
        <f t="shared" si="1"/>
        <v>1187500</v>
      </c>
      <c r="H22" s="30">
        <f t="shared" si="2"/>
        <v>7437500</v>
      </c>
      <c r="I22" s="30">
        <v>5000000</v>
      </c>
      <c r="J22" s="30">
        <f t="shared" si="3"/>
        <v>950000</v>
      </c>
      <c r="K22" s="30">
        <f t="shared" si="4"/>
        <v>5950000</v>
      </c>
      <c r="L22" s="30">
        <v>5441176</v>
      </c>
      <c r="M22" s="30">
        <f t="shared" si="5"/>
        <v>1033823</v>
      </c>
      <c r="N22" s="30">
        <f t="shared" si="6"/>
        <v>6474999</v>
      </c>
      <c r="O22" s="30">
        <v>5250000</v>
      </c>
      <c r="P22" s="30">
        <f t="shared" si="7"/>
        <v>997500</v>
      </c>
      <c r="Q22" s="30">
        <f t="shared" si="8"/>
        <v>6247500</v>
      </c>
      <c r="R22" s="30">
        <v>5920852</v>
      </c>
      <c r="S22" s="30">
        <f t="shared" si="9"/>
        <v>1124962</v>
      </c>
      <c r="T22" s="30">
        <f t="shared" si="10"/>
        <v>7045814</v>
      </c>
      <c r="U22" s="30">
        <v>6257000</v>
      </c>
      <c r="V22" s="30">
        <f t="shared" si="11"/>
        <v>1188830</v>
      </c>
      <c r="W22" s="30">
        <f t="shared" si="12"/>
        <v>7445830</v>
      </c>
      <c r="X22" s="34">
        <f t="shared" si="0"/>
        <v>5686505</v>
      </c>
      <c r="Y22" s="34">
        <f t="shared" si="13"/>
        <v>1080436</v>
      </c>
      <c r="Z22" s="52">
        <f t="shared" si="14"/>
        <v>6766941</v>
      </c>
      <c r="AA22" s="30">
        <f t="shared" si="15"/>
        <v>6766941</v>
      </c>
      <c r="AB22" s="33"/>
    </row>
    <row r="23" spans="2:28" ht="90" thickBot="1">
      <c r="B23" s="4">
        <v>12</v>
      </c>
      <c r="C23" s="8" t="s">
        <v>21</v>
      </c>
      <c r="D23" s="9" t="s">
        <v>0</v>
      </c>
      <c r="E23" s="10">
        <v>1</v>
      </c>
      <c r="F23" s="30">
        <v>10900000</v>
      </c>
      <c r="G23" s="30">
        <f t="shared" si="1"/>
        <v>2071000</v>
      </c>
      <c r="H23" s="30">
        <f t="shared" si="2"/>
        <v>12971000</v>
      </c>
      <c r="I23" s="30">
        <v>11000000</v>
      </c>
      <c r="J23" s="30">
        <f t="shared" si="3"/>
        <v>2090000</v>
      </c>
      <c r="K23" s="30">
        <f t="shared" si="4"/>
        <v>13090000</v>
      </c>
      <c r="L23" s="30">
        <v>8426051</v>
      </c>
      <c r="M23" s="30">
        <f t="shared" si="5"/>
        <v>1600950</v>
      </c>
      <c r="N23" s="30">
        <f t="shared" si="6"/>
        <v>10027001</v>
      </c>
      <c r="O23" s="30">
        <v>6850000</v>
      </c>
      <c r="P23" s="30">
        <f t="shared" si="7"/>
        <v>1301500</v>
      </c>
      <c r="Q23" s="30">
        <f t="shared" si="8"/>
        <v>8151500</v>
      </c>
      <c r="R23" s="30">
        <v>9101633</v>
      </c>
      <c r="S23" s="30">
        <f t="shared" si="9"/>
        <v>1729310</v>
      </c>
      <c r="T23" s="30">
        <f t="shared" si="10"/>
        <v>10830943</v>
      </c>
      <c r="U23" s="30">
        <v>9205000</v>
      </c>
      <c r="V23" s="30">
        <f t="shared" si="11"/>
        <v>1748950</v>
      </c>
      <c r="W23" s="30">
        <f t="shared" si="12"/>
        <v>10953950</v>
      </c>
      <c r="X23" s="34">
        <f t="shared" si="0"/>
        <v>9247114</v>
      </c>
      <c r="Y23" s="34">
        <f t="shared" si="13"/>
        <v>1756952</v>
      </c>
      <c r="Z23" s="52">
        <f t="shared" si="14"/>
        <v>11004066</v>
      </c>
      <c r="AA23" s="30">
        <f t="shared" si="15"/>
        <v>11004066</v>
      </c>
      <c r="AB23" s="33"/>
    </row>
    <row r="24" spans="2:28" ht="90" thickBot="1">
      <c r="B24" s="4">
        <v>13</v>
      </c>
      <c r="C24" s="11" t="s">
        <v>22</v>
      </c>
      <c r="D24" s="6" t="s">
        <v>0</v>
      </c>
      <c r="E24" s="12">
        <v>1</v>
      </c>
      <c r="F24" s="35">
        <v>8900000</v>
      </c>
      <c r="G24" s="30">
        <f t="shared" si="1"/>
        <v>1691000</v>
      </c>
      <c r="H24" s="30">
        <f t="shared" si="2"/>
        <v>10591000</v>
      </c>
      <c r="I24" s="35">
        <v>18000000</v>
      </c>
      <c r="J24" s="30">
        <f t="shared" si="3"/>
        <v>3420000</v>
      </c>
      <c r="K24" s="30">
        <f t="shared" si="4"/>
        <v>21420000</v>
      </c>
      <c r="L24" s="35">
        <v>18069215</v>
      </c>
      <c r="M24" s="30">
        <f t="shared" si="5"/>
        <v>3433151</v>
      </c>
      <c r="N24" s="30">
        <f t="shared" si="6"/>
        <v>21502366</v>
      </c>
      <c r="O24" s="35">
        <v>12550000</v>
      </c>
      <c r="P24" s="30">
        <f t="shared" si="7"/>
        <v>2384500</v>
      </c>
      <c r="Q24" s="30">
        <f t="shared" si="8"/>
        <v>14934500</v>
      </c>
      <c r="R24" s="36">
        <v>4800000</v>
      </c>
      <c r="S24" s="36">
        <f t="shared" si="9"/>
        <v>912000</v>
      </c>
      <c r="T24" s="36">
        <f t="shared" si="10"/>
        <v>5712000</v>
      </c>
      <c r="U24" s="37">
        <v>180000000</v>
      </c>
      <c r="V24" s="37">
        <f t="shared" si="11"/>
        <v>34200000</v>
      </c>
      <c r="W24" s="37">
        <f>+U24+V24</f>
        <v>214200000</v>
      </c>
      <c r="X24" s="34">
        <f>ROUND((F24+I24+L24+O24)/4,0)</f>
        <v>14379804</v>
      </c>
      <c r="Y24" s="34">
        <f>ROUND(X24*0.19,0)</f>
        <v>2732163</v>
      </c>
      <c r="Z24" s="52">
        <f>+X24+Y24</f>
        <v>17111967</v>
      </c>
      <c r="AA24" s="30">
        <f t="shared" si="15"/>
        <v>17111967</v>
      </c>
      <c r="AB24" s="33"/>
    </row>
    <row r="25" spans="2:28" ht="15.75" customHeight="1" thickBot="1">
      <c r="B25" s="2" t="s">
        <v>23</v>
      </c>
      <c r="C25" s="195" t="s">
        <v>24</v>
      </c>
      <c r="D25" s="196"/>
      <c r="E25" s="196"/>
      <c r="F25" s="196"/>
      <c r="G25" s="196"/>
      <c r="H25" s="196"/>
      <c r="I25" s="196"/>
      <c r="J25" s="196"/>
      <c r="K25" s="196"/>
      <c r="L25" s="196"/>
      <c r="M25" s="196"/>
      <c r="N25" s="196"/>
      <c r="O25" s="196"/>
      <c r="P25" s="196"/>
      <c r="Q25" s="196"/>
      <c r="R25" s="196"/>
      <c r="S25" s="196"/>
      <c r="T25" s="196"/>
      <c r="U25" s="196"/>
      <c r="V25" s="196"/>
      <c r="W25" s="196"/>
      <c r="X25" s="196"/>
      <c r="Y25" s="196"/>
      <c r="Z25" s="196"/>
      <c r="AA25" s="197"/>
      <c r="AB25" s="33"/>
    </row>
    <row r="26" spans="2:28" ht="39" thickBot="1">
      <c r="B26" s="4">
        <v>14</v>
      </c>
      <c r="C26" s="8" t="s">
        <v>25</v>
      </c>
      <c r="D26" s="9" t="s">
        <v>0</v>
      </c>
      <c r="E26" s="10">
        <v>1</v>
      </c>
      <c r="F26" s="36">
        <v>37000</v>
      </c>
      <c r="G26" s="36">
        <f t="shared" si="1"/>
        <v>7030</v>
      </c>
      <c r="H26" s="36">
        <f t="shared" si="2"/>
        <v>44030</v>
      </c>
      <c r="I26" s="37">
        <v>1000000</v>
      </c>
      <c r="J26" s="37">
        <f t="shared" si="3"/>
        <v>190000</v>
      </c>
      <c r="K26" s="37">
        <f t="shared" ref="K26:K41" si="17">+I26+J26</f>
        <v>1190000</v>
      </c>
      <c r="L26" s="36">
        <v>85441</v>
      </c>
      <c r="M26" s="36">
        <f t="shared" si="5"/>
        <v>16234</v>
      </c>
      <c r="N26" s="36">
        <f t="shared" si="6"/>
        <v>101675</v>
      </c>
      <c r="O26" s="35">
        <v>485000</v>
      </c>
      <c r="P26" s="30">
        <f t="shared" si="7"/>
        <v>92150</v>
      </c>
      <c r="Q26" s="30">
        <f t="shared" si="8"/>
        <v>577150</v>
      </c>
      <c r="R26" s="35">
        <v>200718</v>
      </c>
      <c r="S26" s="30">
        <f t="shared" si="9"/>
        <v>38136</v>
      </c>
      <c r="T26" s="30">
        <f t="shared" si="10"/>
        <v>238854</v>
      </c>
      <c r="U26" s="35">
        <v>200000</v>
      </c>
      <c r="V26" s="30">
        <f t="shared" si="11"/>
        <v>38000</v>
      </c>
      <c r="W26" s="30">
        <f t="shared" si="12"/>
        <v>238000</v>
      </c>
      <c r="X26" s="38">
        <f>ROUND((O26+R26+U26)/3,0)</f>
        <v>295239</v>
      </c>
      <c r="Y26" s="34">
        <f t="shared" si="13"/>
        <v>56095</v>
      </c>
      <c r="Z26" s="52">
        <f t="shared" si="14"/>
        <v>351334</v>
      </c>
      <c r="AA26" s="30">
        <f t="shared" si="15"/>
        <v>351334</v>
      </c>
      <c r="AB26" s="33"/>
    </row>
    <row r="27" spans="2:28" ht="39" thickBot="1">
      <c r="B27" s="4">
        <v>15</v>
      </c>
      <c r="C27" s="11" t="s">
        <v>26</v>
      </c>
      <c r="D27" s="6" t="s">
        <v>1</v>
      </c>
      <c r="E27" s="12">
        <v>1</v>
      </c>
      <c r="F27" s="30">
        <v>23000</v>
      </c>
      <c r="G27" s="30">
        <f t="shared" si="1"/>
        <v>4370</v>
      </c>
      <c r="H27" s="30">
        <f t="shared" si="2"/>
        <v>27370</v>
      </c>
      <c r="I27" s="38">
        <v>15000</v>
      </c>
      <c r="J27" s="30">
        <f t="shared" si="3"/>
        <v>2850</v>
      </c>
      <c r="K27" s="30">
        <f t="shared" si="17"/>
        <v>17850</v>
      </c>
      <c r="L27" s="37">
        <v>143165</v>
      </c>
      <c r="M27" s="37">
        <f t="shared" si="5"/>
        <v>27201</v>
      </c>
      <c r="N27" s="37">
        <f t="shared" si="6"/>
        <v>170366</v>
      </c>
      <c r="O27" s="30">
        <v>26500</v>
      </c>
      <c r="P27" s="30">
        <f t="shared" si="7"/>
        <v>5035</v>
      </c>
      <c r="Q27" s="30">
        <f t="shared" si="8"/>
        <v>31535</v>
      </c>
      <c r="R27" s="30">
        <v>25760</v>
      </c>
      <c r="S27" s="30">
        <f t="shared" si="9"/>
        <v>4894</v>
      </c>
      <c r="T27" s="30">
        <f t="shared" si="10"/>
        <v>30654</v>
      </c>
      <c r="U27" s="35">
        <v>21700</v>
      </c>
      <c r="V27" s="30">
        <f t="shared" si="11"/>
        <v>4123</v>
      </c>
      <c r="W27" s="30">
        <f t="shared" si="12"/>
        <v>25823</v>
      </c>
      <c r="X27" s="34">
        <f t="shared" ref="X27:X32" si="18">ROUND((F27+I27+O27+R27+U27)/5,0)</f>
        <v>22392</v>
      </c>
      <c r="Y27" s="34">
        <f t="shared" si="13"/>
        <v>4254</v>
      </c>
      <c r="Z27" s="52">
        <f>+X27+Y27</f>
        <v>26646</v>
      </c>
      <c r="AA27" s="30">
        <f t="shared" si="15"/>
        <v>26646</v>
      </c>
      <c r="AB27" s="33"/>
    </row>
    <row r="28" spans="2:28" ht="39" thickBot="1">
      <c r="B28" s="4">
        <v>16</v>
      </c>
      <c r="C28" s="8" t="s">
        <v>27</v>
      </c>
      <c r="D28" s="9" t="s">
        <v>1</v>
      </c>
      <c r="E28" s="10">
        <v>1</v>
      </c>
      <c r="F28" s="35">
        <v>29000</v>
      </c>
      <c r="G28" s="30">
        <f t="shared" si="1"/>
        <v>5510</v>
      </c>
      <c r="H28" s="30">
        <f t="shared" si="2"/>
        <v>34510</v>
      </c>
      <c r="I28" s="38">
        <v>15000</v>
      </c>
      <c r="J28" s="30">
        <f t="shared" si="3"/>
        <v>2850</v>
      </c>
      <c r="K28" s="30">
        <f t="shared" si="17"/>
        <v>17850</v>
      </c>
      <c r="L28" s="37">
        <v>144097</v>
      </c>
      <c r="M28" s="37">
        <f t="shared" si="5"/>
        <v>27378</v>
      </c>
      <c r="N28" s="37">
        <f t="shared" si="6"/>
        <v>171475</v>
      </c>
      <c r="O28" s="35">
        <v>38500</v>
      </c>
      <c r="P28" s="30">
        <f t="shared" si="7"/>
        <v>7315</v>
      </c>
      <c r="Q28" s="30">
        <f t="shared" si="8"/>
        <v>45815</v>
      </c>
      <c r="R28" s="35">
        <v>59885</v>
      </c>
      <c r="S28" s="30">
        <f t="shared" si="9"/>
        <v>11378</v>
      </c>
      <c r="T28" s="30">
        <f t="shared" si="10"/>
        <v>71263</v>
      </c>
      <c r="U28" s="35">
        <v>29900</v>
      </c>
      <c r="V28" s="30">
        <f t="shared" si="11"/>
        <v>5681</v>
      </c>
      <c r="W28" s="30">
        <f t="shared" si="12"/>
        <v>35581</v>
      </c>
      <c r="X28" s="34">
        <f t="shared" si="18"/>
        <v>34457</v>
      </c>
      <c r="Y28" s="34">
        <f t="shared" si="13"/>
        <v>6547</v>
      </c>
      <c r="Z28" s="52">
        <f t="shared" si="14"/>
        <v>41004</v>
      </c>
      <c r="AA28" s="30">
        <f t="shared" si="15"/>
        <v>41004</v>
      </c>
      <c r="AB28" s="33"/>
    </row>
    <row r="29" spans="2:28" ht="39" thickBot="1">
      <c r="B29" s="4">
        <v>17</v>
      </c>
      <c r="C29" s="11" t="s">
        <v>8</v>
      </c>
      <c r="D29" s="6" t="s">
        <v>1</v>
      </c>
      <c r="E29" s="12">
        <v>1</v>
      </c>
      <c r="F29" s="35">
        <v>36000</v>
      </c>
      <c r="G29" s="30">
        <f t="shared" si="1"/>
        <v>6840</v>
      </c>
      <c r="H29" s="30">
        <f t="shared" si="2"/>
        <v>42840</v>
      </c>
      <c r="I29" s="38">
        <v>23000</v>
      </c>
      <c r="J29" s="30">
        <f t="shared" si="3"/>
        <v>4370</v>
      </c>
      <c r="K29" s="30">
        <f t="shared" si="17"/>
        <v>27370</v>
      </c>
      <c r="L29" s="37">
        <v>211954</v>
      </c>
      <c r="M29" s="37">
        <f t="shared" si="5"/>
        <v>40271</v>
      </c>
      <c r="N29" s="37">
        <f t="shared" si="6"/>
        <v>252225</v>
      </c>
      <c r="O29" s="35">
        <v>45500</v>
      </c>
      <c r="P29" s="30">
        <f t="shared" si="7"/>
        <v>8645</v>
      </c>
      <c r="Q29" s="30">
        <f t="shared" si="8"/>
        <v>54145</v>
      </c>
      <c r="R29" s="35">
        <v>80979</v>
      </c>
      <c r="S29" s="30">
        <f t="shared" si="9"/>
        <v>15386</v>
      </c>
      <c r="T29" s="30">
        <f t="shared" si="10"/>
        <v>96365</v>
      </c>
      <c r="U29" s="35">
        <v>39000</v>
      </c>
      <c r="V29" s="30">
        <f t="shared" si="11"/>
        <v>7410</v>
      </c>
      <c r="W29" s="30">
        <f t="shared" si="12"/>
        <v>46410</v>
      </c>
      <c r="X29" s="34">
        <f t="shared" si="18"/>
        <v>44896</v>
      </c>
      <c r="Y29" s="34">
        <f t="shared" si="13"/>
        <v>8530</v>
      </c>
      <c r="Z29" s="52">
        <f t="shared" si="14"/>
        <v>53426</v>
      </c>
      <c r="AA29" s="30">
        <f t="shared" si="15"/>
        <v>53426</v>
      </c>
      <c r="AB29" s="33"/>
    </row>
    <row r="30" spans="2:28" ht="39" thickBot="1">
      <c r="B30" s="4">
        <v>18</v>
      </c>
      <c r="C30" s="8" t="s">
        <v>28</v>
      </c>
      <c r="D30" s="9" t="s">
        <v>1</v>
      </c>
      <c r="E30" s="10">
        <v>1</v>
      </c>
      <c r="F30" s="35">
        <v>41000</v>
      </c>
      <c r="G30" s="30">
        <f t="shared" si="1"/>
        <v>7790</v>
      </c>
      <c r="H30" s="30">
        <f t="shared" si="2"/>
        <v>48790</v>
      </c>
      <c r="I30" s="38">
        <v>33000</v>
      </c>
      <c r="J30" s="30">
        <f t="shared" si="3"/>
        <v>6270</v>
      </c>
      <c r="K30" s="30">
        <f t="shared" si="17"/>
        <v>39270</v>
      </c>
      <c r="L30" s="37">
        <v>246681</v>
      </c>
      <c r="M30" s="37">
        <f t="shared" si="5"/>
        <v>46869</v>
      </c>
      <c r="N30" s="37">
        <f t="shared" si="6"/>
        <v>293550</v>
      </c>
      <c r="O30" s="35">
        <v>52100</v>
      </c>
      <c r="P30" s="30">
        <f t="shared" si="7"/>
        <v>9899</v>
      </c>
      <c r="Q30" s="30">
        <f t="shared" si="8"/>
        <v>61999</v>
      </c>
      <c r="R30" s="35">
        <v>93888</v>
      </c>
      <c r="S30" s="30">
        <f t="shared" si="9"/>
        <v>17839</v>
      </c>
      <c r="T30" s="30">
        <f t="shared" si="10"/>
        <v>111727</v>
      </c>
      <c r="U30" s="35">
        <v>54700</v>
      </c>
      <c r="V30" s="30">
        <f t="shared" si="11"/>
        <v>10393</v>
      </c>
      <c r="W30" s="30">
        <f t="shared" si="12"/>
        <v>65093</v>
      </c>
      <c r="X30" s="34">
        <f t="shared" si="18"/>
        <v>54938</v>
      </c>
      <c r="Y30" s="34">
        <f t="shared" si="13"/>
        <v>10438</v>
      </c>
      <c r="Z30" s="52">
        <f t="shared" si="14"/>
        <v>65376</v>
      </c>
      <c r="AA30" s="30">
        <f t="shared" si="15"/>
        <v>65376</v>
      </c>
      <c r="AB30" s="33"/>
    </row>
    <row r="31" spans="2:28" ht="39" thickBot="1">
      <c r="B31" s="4">
        <v>19</v>
      </c>
      <c r="C31" s="11" t="s">
        <v>29</v>
      </c>
      <c r="D31" s="6" t="s">
        <v>1</v>
      </c>
      <c r="E31" s="12">
        <v>1</v>
      </c>
      <c r="F31" s="35">
        <v>49000</v>
      </c>
      <c r="G31" s="30">
        <f t="shared" si="1"/>
        <v>9310</v>
      </c>
      <c r="H31" s="30">
        <f t="shared" si="2"/>
        <v>58310</v>
      </c>
      <c r="I31" s="35">
        <v>53000</v>
      </c>
      <c r="J31" s="30">
        <f t="shared" si="3"/>
        <v>10070</v>
      </c>
      <c r="K31" s="30">
        <f t="shared" si="17"/>
        <v>63070</v>
      </c>
      <c r="L31" s="37">
        <v>271454</v>
      </c>
      <c r="M31" s="37">
        <f t="shared" si="5"/>
        <v>51576</v>
      </c>
      <c r="N31" s="37">
        <f t="shared" si="6"/>
        <v>323030</v>
      </c>
      <c r="O31" s="35">
        <v>58500</v>
      </c>
      <c r="P31" s="30">
        <f t="shared" si="7"/>
        <v>11115</v>
      </c>
      <c r="Q31" s="30">
        <f t="shared" si="8"/>
        <v>69615</v>
      </c>
      <c r="R31" s="35">
        <v>121257</v>
      </c>
      <c r="S31" s="30">
        <f t="shared" si="9"/>
        <v>23039</v>
      </c>
      <c r="T31" s="30">
        <f t="shared" si="10"/>
        <v>144296</v>
      </c>
      <c r="U31" s="35">
        <v>67000</v>
      </c>
      <c r="V31" s="30">
        <f t="shared" si="11"/>
        <v>12730</v>
      </c>
      <c r="W31" s="30">
        <f t="shared" si="12"/>
        <v>79730</v>
      </c>
      <c r="X31" s="34">
        <f t="shared" si="18"/>
        <v>69751</v>
      </c>
      <c r="Y31" s="34">
        <f t="shared" si="13"/>
        <v>13253</v>
      </c>
      <c r="Z31" s="52">
        <f t="shared" si="14"/>
        <v>83004</v>
      </c>
      <c r="AA31" s="30">
        <f t="shared" si="15"/>
        <v>83004</v>
      </c>
      <c r="AB31" s="33"/>
    </row>
    <row r="32" spans="2:28" ht="39" thickBot="1">
      <c r="B32" s="4">
        <v>20</v>
      </c>
      <c r="C32" s="8" t="s">
        <v>30</v>
      </c>
      <c r="D32" s="9" t="s">
        <v>1</v>
      </c>
      <c r="E32" s="10">
        <v>1</v>
      </c>
      <c r="F32" s="30">
        <v>61000</v>
      </c>
      <c r="G32" s="30">
        <f t="shared" si="1"/>
        <v>11590</v>
      </c>
      <c r="H32" s="30">
        <f t="shared" si="2"/>
        <v>72590</v>
      </c>
      <c r="I32" s="38">
        <v>55000</v>
      </c>
      <c r="J32" s="30">
        <f t="shared" si="3"/>
        <v>10450</v>
      </c>
      <c r="K32" s="30">
        <f t="shared" si="17"/>
        <v>65450</v>
      </c>
      <c r="L32" s="37">
        <v>404748</v>
      </c>
      <c r="M32" s="37">
        <f t="shared" si="5"/>
        <v>76902</v>
      </c>
      <c r="N32" s="37">
        <f t="shared" si="6"/>
        <v>481650</v>
      </c>
      <c r="O32" s="30">
        <v>67500</v>
      </c>
      <c r="P32" s="30">
        <f t="shared" si="7"/>
        <v>12825</v>
      </c>
      <c r="Q32" s="30">
        <f t="shared" si="8"/>
        <v>80325</v>
      </c>
      <c r="R32" s="30">
        <v>87517</v>
      </c>
      <c r="S32" s="30">
        <f t="shared" si="9"/>
        <v>16628</v>
      </c>
      <c r="T32" s="30">
        <f t="shared" si="10"/>
        <v>104145</v>
      </c>
      <c r="U32" s="35">
        <v>71500</v>
      </c>
      <c r="V32" s="30">
        <f t="shared" si="11"/>
        <v>13585</v>
      </c>
      <c r="W32" s="30">
        <f t="shared" si="12"/>
        <v>85085</v>
      </c>
      <c r="X32" s="34">
        <f t="shared" si="18"/>
        <v>68503</v>
      </c>
      <c r="Y32" s="34">
        <f>ROUND(X32*0.19,0)</f>
        <v>13016</v>
      </c>
      <c r="Z32" s="52">
        <f t="shared" si="14"/>
        <v>81519</v>
      </c>
      <c r="AA32" s="30">
        <f t="shared" si="15"/>
        <v>81519</v>
      </c>
      <c r="AB32" s="33"/>
    </row>
    <row r="33" spans="2:28" ht="16.5" thickBot="1">
      <c r="B33" s="4">
        <v>21</v>
      </c>
      <c r="C33" s="11" t="s">
        <v>9</v>
      </c>
      <c r="D33" s="6" t="s">
        <v>0</v>
      </c>
      <c r="E33" s="6">
        <v>1</v>
      </c>
      <c r="F33" s="35">
        <v>17000</v>
      </c>
      <c r="G33" s="30">
        <f t="shared" si="1"/>
        <v>3230</v>
      </c>
      <c r="H33" s="30">
        <f t="shared" si="2"/>
        <v>20230</v>
      </c>
      <c r="I33" s="35">
        <v>5000</v>
      </c>
      <c r="J33" s="30">
        <f t="shared" si="3"/>
        <v>950</v>
      </c>
      <c r="K33" s="30">
        <f t="shared" si="17"/>
        <v>5950</v>
      </c>
      <c r="L33" s="35">
        <v>7144</v>
      </c>
      <c r="M33" s="30">
        <f t="shared" si="5"/>
        <v>1357</v>
      </c>
      <c r="N33" s="30">
        <f t="shared" si="6"/>
        <v>8501</v>
      </c>
      <c r="O33" s="35">
        <v>9500</v>
      </c>
      <c r="P33" s="30">
        <f t="shared" si="7"/>
        <v>1805</v>
      </c>
      <c r="Q33" s="30">
        <f t="shared" si="8"/>
        <v>11305</v>
      </c>
      <c r="R33" s="38">
        <v>23337</v>
      </c>
      <c r="S33" s="30">
        <f t="shared" si="9"/>
        <v>4434</v>
      </c>
      <c r="T33" s="30">
        <f t="shared" si="10"/>
        <v>27771</v>
      </c>
      <c r="U33" s="38">
        <v>11500</v>
      </c>
      <c r="V33" s="30">
        <f t="shared" si="11"/>
        <v>2185</v>
      </c>
      <c r="W33" s="30">
        <f t="shared" si="12"/>
        <v>13685</v>
      </c>
      <c r="X33" s="34">
        <f t="shared" ref="X33:X38" si="19">ROUND((F33+I33+L33+O33+R33+U33)/6,0)</f>
        <v>12247</v>
      </c>
      <c r="Y33" s="34">
        <f>ROUND(X33*0.19,0)</f>
        <v>2327</v>
      </c>
      <c r="Z33" s="52">
        <f t="shared" si="14"/>
        <v>14574</v>
      </c>
      <c r="AA33" s="30">
        <f t="shared" si="15"/>
        <v>14574</v>
      </c>
      <c r="AB33" s="33"/>
    </row>
    <row r="34" spans="2:28" ht="15.75" customHeight="1" thickBot="1">
      <c r="B34" s="4">
        <v>22</v>
      </c>
      <c r="C34" s="8" t="s">
        <v>10</v>
      </c>
      <c r="D34" s="9" t="s">
        <v>0</v>
      </c>
      <c r="E34" s="9">
        <v>1</v>
      </c>
      <c r="F34" s="35">
        <v>20000</v>
      </c>
      <c r="G34" s="30">
        <f t="shared" si="1"/>
        <v>3800</v>
      </c>
      <c r="H34" s="30">
        <f t="shared" si="2"/>
        <v>23800</v>
      </c>
      <c r="I34" s="35">
        <v>6000</v>
      </c>
      <c r="J34" s="30">
        <f t="shared" si="3"/>
        <v>1140</v>
      </c>
      <c r="K34" s="30">
        <f t="shared" si="17"/>
        <v>7140</v>
      </c>
      <c r="L34" s="35">
        <v>8303</v>
      </c>
      <c r="M34" s="30">
        <f t="shared" si="5"/>
        <v>1578</v>
      </c>
      <c r="N34" s="30">
        <f t="shared" si="6"/>
        <v>9881</v>
      </c>
      <c r="O34" s="35">
        <v>11500</v>
      </c>
      <c r="P34" s="30">
        <f t="shared" si="7"/>
        <v>2185</v>
      </c>
      <c r="Q34" s="30">
        <f t="shared" si="8"/>
        <v>13685</v>
      </c>
      <c r="R34" s="35">
        <v>32754</v>
      </c>
      <c r="S34" s="30">
        <f t="shared" si="9"/>
        <v>6223</v>
      </c>
      <c r="T34" s="30">
        <f t="shared" si="10"/>
        <v>38977</v>
      </c>
      <c r="U34" s="35">
        <v>10600</v>
      </c>
      <c r="V34" s="30">
        <f t="shared" si="11"/>
        <v>2014</v>
      </c>
      <c r="W34" s="30">
        <f t="shared" si="12"/>
        <v>12614</v>
      </c>
      <c r="X34" s="34">
        <f t="shared" si="19"/>
        <v>14860</v>
      </c>
      <c r="Y34" s="34">
        <f t="shared" si="13"/>
        <v>2823</v>
      </c>
      <c r="Z34" s="52">
        <f t="shared" si="14"/>
        <v>17683</v>
      </c>
      <c r="AA34" s="30">
        <f t="shared" si="15"/>
        <v>17683</v>
      </c>
      <c r="AB34" s="33"/>
    </row>
    <row r="35" spans="2:28" ht="16.5" thickBot="1">
      <c r="B35" s="4">
        <v>23</v>
      </c>
      <c r="C35" s="11" t="s">
        <v>11</v>
      </c>
      <c r="D35" s="6" t="s">
        <v>0</v>
      </c>
      <c r="E35" s="6">
        <v>1</v>
      </c>
      <c r="F35" s="35">
        <v>23000</v>
      </c>
      <c r="G35" s="30">
        <f t="shared" si="1"/>
        <v>4370</v>
      </c>
      <c r="H35" s="30">
        <f t="shared" si="2"/>
        <v>27370</v>
      </c>
      <c r="I35" s="35">
        <v>6300</v>
      </c>
      <c r="J35" s="30">
        <f t="shared" si="3"/>
        <v>1197</v>
      </c>
      <c r="K35" s="30">
        <f t="shared" si="17"/>
        <v>7497</v>
      </c>
      <c r="L35" s="35">
        <v>8702</v>
      </c>
      <c r="M35" s="30">
        <f t="shared" si="5"/>
        <v>1653</v>
      </c>
      <c r="N35" s="30">
        <f t="shared" si="6"/>
        <v>10355</v>
      </c>
      <c r="O35" s="35">
        <v>13500</v>
      </c>
      <c r="P35" s="30">
        <f t="shared" si="7"/>
        <v>2565</v>
      </c>
      <c r="Q35" s="30">
        <f t="shared" si="8"/>
        <v>16065</v>
      </c>
      <c r="R35" s="35">
        <v>31786</v>
      </c>
      <c r="S35" s="30">
        <f t="shared" si="9"/>
        <v>6039</v>
      </c>
      <c r="T35" s="30">
        <f t="shared" si="10"/>
        <v>37825</v>
      </c>
      <c r="U35" s="35">
        <v>12100</v>
      </c>
      <c r="V35" s="30">
        <f t="shared" si="11"/>
        <v>2299</v>
      </c>
      <c r="W35" s="30">
        <f t="shared" si="12"/>
        <v>14399</v>
      </c>
      <c r="X35" s="34">
        <f t="shared" si="19"/>
        <v>15898</v>
      </c>
      <c r="Y35" s="34">
        <f t="shared" si="13"/>
        <v>3021</v>
      </c>
      <c r="Z35" s="52">
        <f t="shared" si="14"/>
        <v>18919</v>
      </c>
      <c r="AA35" s="30">
        <f t="shared" si="15"/>
        <v>18919</v>
      </c>
      <c r="AB35" s="33"/>
    </row>
    <row r="36" spans="2:28" ht="16.5" thickBot="1">
      <c r="B36" s="4">
        <v>24</v>
      </c>
      <c r="C36" s="8" t="s">
        <v>12</v>
      </c>
      <c r="D36" s="9" t="s">
        <v>0</v>
      </c>
      <c r="E36" s="9">
        <v>1</v>
      </c>
      <c r="F36" s="35">
        <v>27000</v>
      </c>
      <c r="G36" s="30">
        <f t="shared" si="1"/>
        <v>5130</v>
      </c>
      <c r="H36" s="30">
        <f t="shared" si="2"/>
        <v>32130</v>
      </c>
      <c r="I36" s="35">
        <v>7300</v>
      </c>
      <c r="J36" s="30">
        <f t="shared" si="3"/>
        <v>1387</v>
      </c>
      <c r="K36" s="30">
        <f t="shared" si="17"/>
        <v>8687</v>
      </c>
      <c r="L36" s="35">
        <v>10059</v>
      </c>
      <c r="M36" s="30">
        <f t="shared" si="5"/>
        <v>1911</v>
      </c>
      <c r="N36" s="30">
        <f t="shared" si="6"/>
        <v>11970</v>
      </c>
      <c r="O36" s="35">
        <v>15100</v>
      </c>
      <c r="P36" s="30">
        <f t="shared" si="7"/>
        <v>2869</v>
      </c>
      <c r="Q36" s="30">
        <f t="shared" si="8"/>
        <v>17969</v>
      </c>
      <c r="R36" s="35">
        <v>31017</v>
      </c>
      <c r="S36" s="30">
        <f t="shared" si="9"/>
        <v>5893</v>
      </c>
      <c r="T36" s="30">
        <f t="shared" si="10"/>
        <v>36910</v>
      </c>
      <c r="U36" s="35">
        <v>13500</v>
      </c>
      <c r="V36" s="30">
        <f t="shared" si="11"/>
        <v>2565</v>
      </c>
      <c r="W36" s="30">
        <f t="shared" si="12"/>
        <v>16065</v>
      </c>
      <c r="X36" s="34">
        <f t="shared" si="19"/>
        <v>17329</v>
      </c>
      <c r="Y36" s="34">
        <f t="shared" si="13"/>
        <v>3293</v>
      </c>
      <c r="Z36" s="52">
        <f t="shared" si="14"/>
        <v>20622</v>
      </c>
      <c r="AA36" s="30">
        <f t="shared" si="15"/>
        <v>20622</v>
      </c>
      <c r="AB36" s="33"/>
    </row>
    <row r="37" spans="2:28" ht="16.5" thickBot="1">
      <c r="B37" s="4">
        <v>25</v>
      </c>
      <c r="C37" s="11" t="s">
        <v>13</v>
      </c>
      <c r="D37" s="6" t="s">
        <v>0</v>
      </c>
      <c r="E37" s="6">
        <v>1</v>
      </c>
      <c r="F37" s="35">
        <v>29000</v>
      </c>
      <c r="G37" s="30">
        <f t="shared" si="1"/>
        <v>5510</v>
      </c>
      <c r="H37" s="30">
        <f t="shared" si="2"/>
        <v>34510</v>
      </c>
      <c r="I37" s="35">
        <v>8200</v>
      </c>
      <c r="J37" s="30">
        <f t="shared" si="3"/>
        <v>1558</v>
      </c>
      <c r="K37" s="30">
        <f t="shared" si="17"/>
        <v>9758</v>
      </c>
      <c r="L37" s="35">
        <v>10093</v>
      </c>
      <c r="M37" s="30">
        <f t="shared" si="5"/>
        <v>1918</v>
      </c>
      <c r="N37" s="30">
        <f t="shared" si="6"/>
        <v>12011</v>
      </c>
      <c r="O37" s="35">
        <v>17500</v>
      </c>
      <c r="P37" s="30">
        <f t="shared" si="7"/>
        <v>3325</v>
      </c>
      <c r="Q37" s="30">
        <f t="shared" si="8"/>
        <v>20825</v>
      </c>
      <c r="R37" s="35">
        <v>43585</v>
      </c>
      <c r="S37" s="30">
        <f t="shared" si="9"/>
        <v>8281</v>
      </c>
      <c r="T37" s="30">
        <f t="shared" si="10"/>
        <v>51866</v>
      </c>
      <c r="U37" s="35">
        <v>13800</v>
      </c>
      <c r="V37" s="30">
        <f t="shared" si="11"/>
        <v>2622</v>
      </c>
      <c r="W37" s="30">
        <f t="shared" si="12"/>
        <v>16422</v>
      </c>
      <c r="X37" s="34">
        <f t="shared" si="19"/>
        <v>20363</v>
      </c>
      <c r="Y37" s="34">
        <f t="shared" si="13"/>
        <v>3869</v>
      </c>
      <c r="Z37" s="52">
        <f t="shared" si="14"/>
        <v>24232</v>
      </c>
      <c r="AA37" s="30">
        <f t="shared" si="15"/>
        <v>24232</v>
      </c>
      <c r="AB37" s="33"/>
    </row>
    <row r="38" spans="2:28" ht="16.5" thickBot="1">
      <c r="B38" s="4">
        <v>26</v>
      </c>
      <c r="C38" s="8" t="s">
        <v>14</v>
      </c>
      <c r="D38" s="9" t="s">
        <v>0</v>
      </c>
      <c r="E38" s="9">
        <v>1</v>
      </c>
      <c r="F38" s="35">
        <v>33000</v>
      </c>
      <c r="G38" s="30">
        <f t="shared" si="1"/>
        <v>6270</v>
      </c>
      <c r="H38" s="30">
        <f t="shared" si="2"/>
        <v>39270</v>
      </c>
      <c r="I38" s="35">
        <v>8500</v>
      </c>
      <c r="J38" s="30">
        <f t="shared" si="3"/>
        <v>1615</v>
      </c>
      <c r="K38" s="30">
        <f t="shared" si="17"/>
        <v>10115</v>
      </c>
      <c r="L38" s="35">
        <v>10378</v>
      </c>
      <c r="M38" s="30">
        <f t="shared" si="5"/>
        <v>1972</v>
      </c>
      <c r="N38" s="30">
        <f t="shared" si="6"/>
        <v>12350</v>
      </c>
      <c r="O38" s="35">
        <v>18500</v>
      </c>
      <c r="P38" s="30">
        <f t="shared" si="7"/>
        <v>3515</v>
      </c>
      <c r="Q38" s="30">
        <f t="shared" si="8"/>
        <v>22015</v>
      </c>
      <c r="R38" s="35">
        <v>54600</v>
      </c>
      <c r="S38" s="30">
        <f t="shared" si="9"/>
        <v>10374</v>
      </c>
      <c r="T38" s="30">
        <f t="shared" si="10"/>
        <v>64974</v>
      </c>
      <c r="U38" s="35">
        <v>16000</v>
      </c>
      <c r="V38" s="30">
        <f t="shared" si="11"/>
        <v>3040</v>
      </c>
      <c r="W38" s="30">
        <f t="shared" si="12"/>
        <v>19040</v>
      </c>
      <c r="X38" s="34">
        <f t="shared" si="19"/>
        <v>23496</v>
      </c>
      <c r="Y38" s="34">
        <f t="shared" si="13"/>
        <v>4464</v>
      </c>
      <c r="Z38" s="52">
        <f t="shared" si="14"/>
        <v>27960</v>
      </c>
      <c r="AA38" s="30">
        <f t="shared" si="15"/>
        <v>27960</v>
      </c>
      <c r="AB38" s="33"/>
    </row>
    <row r="39" spans="2:28" ht="15.75" customHeight="1" thickBot="1">
      <c r="B39" s="4">
        <v>27</v>
      </c>
      <c r="C39" s="13" t="s">
        <v>2</v>
      </c>
      <c r="D39" s="6" t="s">
        <v>1</v>
      </c>
      <c r="E39" s="6">
        <v>1</v>
      </c>
      <c r="F39" s="35">
        <v>17000</v>
      </c>
      <c r="G39" s="30">
        <f t="shared" si="1"/>
        <v>3230</v>
      </c>
      <c r="H39" s="30">
        <f t="shared" si="2"/>
        <v>20230</v>
      </c>
      <c r="I39" s="39">
        <v>200000</v>
      </c>
      <c r="J39" s="39">
        <f t="shared" si="3"/>
        <v>38000</v>
      </c>
      <c r="K39" s="39">
        <f t="shared" si="17"/>
        <v>238000</v>
      </c>
      <c r="L39" s="38">
        <v>3705</v>
      </c>
      <c r="M39" s="30">
        <f t="shared" si="5"/>
        <v>704</v>
      </c>
      <c r="N39" s="30">
        <f t="shared" si="6"/>
        <v>4409</v>
      </c>
      <c r="O39" s="38">
        <v>12500</v>
      </c>
      <c r="P39" s="30">
        <f t="shared" si="7"/>
        <v>2375</v>
      </c>
      <c r="Q39" s="30">
        <f t="shared" si="8"/>
        <v>14875</v>
      </c>
      <c r="R39" s="38">
        <v>36000</v>
      </c>
      <c r="S39" s="30">
        <f t="shared" si="9"/>
        <v>6840</v>
      </c>
      <c r="T39" s="30">
        <f t="shared" si="10"/>
        <v>42840</v>
      </c>
      <c r="U39" s="35">
        <v>0</v>
      </c>
      <c r="V39" s="30">
        <f t="shared" si="11"/>
        <v>0</v>
      </c>
      <c r="W39" s="30">
        <f t="shared" si="12"/>
        <v>0</v>
      </c>
      <c r="X39" s="38">
        <f>ROUND((F39+L39+O39+R39)/4,0)</f>
        <v>17301</v>
      </c>
      <c r="Y39" s="34">
        <f t="shared" si="13"/>
        <v>3287</v>
      </c>
      <c r="Z39" s="52">
        <f t="shared" si="14"/>
        <v>20588</v>
      </c>
      <c r="AA39" s="30">
        <f t="shared" si="15"/>
        <v>20588</v>
      </c>
      <c r="AB39" s="33"/>
    </row>
    <row r="40" spans="2:28" ht="39" thickBot="1">
      <c r="B40" s="4">
        <v>28</v>
      </c>
      <c r="C40" s="8" t="s">
        <v>15</v>
      </c>
      <c r="D40" s="9" t="s">
        <v>1</v>
      </c>
      <c r="E40" s="9">
        <v>1</v>
      </c>
      <c r="F40" s="35">
        <v>15000</v>
      </c>
      <c r="G40" s="30">
        <f t="shared" si="1"/>
        <v>2850</v>
      </c>
      <c r="H40" s="30">
        <f t="shared" si="2"/>
        <v>17850</v>
      </c>
      <c r="I40" s="39">
        <v>100000</v>
      </c>
      <c r="J40" s="39">
        <f t="shared" si="3"/>
        <v>19000</v>
      </c>
      <c r="K40" s="39">
        <f t="shared" si="17"/>
        <v>119000</v>
      </c>
      <c r="L40" s="35">
        <v>6080</v>
      </c>
      <c r="M40" s="30">
        <f t="shared" si="5"/>
        <v>1155</v>
      </c>
      <c r="N40" s="30">
        <f t="shared" si="6"/>
        <v>7235</v>
      </c>
      <c r="O40" s="35">
        <v>24500</v>
      </c>
      <c r="P40" s="30">
        <f t="shared" si="7"/>
        <v>4655</v>
      </c>
      <c r="Q40" s="30">
        <f t="shared" si="8"/>
        <v>29155</v>
      </c>
      <c r="R40" s="39">
        <v>92400</v>
      </c>
      <c r="S40" s="39">
        <f t="shared" si="9"/>
        <v>17556</v>
      </c>
      <c r="T40" s="39">
        <f t="shared" si="10"/>
        <v>109956</v>
      </c>
      <c r="U40" s="35">
        <v>0</v>
      </c>
      <c r="V40" s="30">
        <f t="shared" si="11"/>
        <v>0</v>
      </c>
      <c r="W40" s="30">
        <f t="shared" si="12"/>
        <v>0</v>
      </c>
      <c r="X40" s="38">
        <f>ROUND((F40+L40+O40)/3,0)</f>
        <v>15193</v>
      </c>
      <c r="Y40" s="34">
        <f>ROUND(X40*0.19,0)</f>
        <v>2887</v>
      </c>
      <c r="Z40" s="52">
        <f t="shared" si="14"/>
        <v>18080</v>
      </c>
      <c r="AA40" s="30">
        <f t="shared" si="15"/>
        <v>18080</v>
      </c>
      <c r="AB40" s="33"/>
    </row>
    <row r="41" spans="2:28" ht="16.5" thickBot="1">
      <c r="B41" s="4">
        <v>29</v>
      </c>
      <c r="C41" s="8" t="s">
        <v>7</v>
      </c>
      <c r="D41" s="21" t="s">
        <v>0</v>
      </c>
      <c r="E41" s="27">
        <v>1</v>
      </c>
      <c r="F41" s="30">
        <v>150000</v>
      </c>
      <c r="G41" s="30">
        <f t="shared" si="1"/>
        <v>28500</v>
      </c>
      <c r="H41" s="30">
        <f t="shared" si="2"/>
        <v>178500</v>
      </c>
      <c r="I41" s="30">
        <v>120000</v>
      </c>
      <c r="J41" s="30">
        <f>ROUND(I41*0.19,0)</f>
        <v>22800</v>
      </c>
      <c r="K41" s="30">
        <f t="shared" si="17"/>
        <v>142800</v>
      </c>
      <c r="L41" s="30">
        <v>112354</v>
      </c>
      <c r="M41" s="30">
        <f t="shared" si="5"/>
        <v>21347</v>
      </c>
      <c r="N41" s="30">
        <f t="shared" si="6"/>
        <v>133701</v>
      </c>
      <c r="O41" s="35">
        <v>45000</v>
      </c>
      <c r="P41" s="30">
        <f t="shared" si="7"/>
        <v>8550</v>
      </c>
      <c r="Q41" s="42">
        <f t="shared" si="8"/>
        <v>53550</v>
      </c>
      <c r="R41" s="41">
        <v>250000</v>
      </c>
      <c r="S41" s="41">
        <f t="shared" si="9"/>
        <v>47500</v>
      </c>
      <c r="T41" s="41">
        <f t="shared" si="10"/>
        <v>297500</v>
      </c>
      <c r="U41" s="35">
        <v>0</v>
      </c>
      <c r="V41" s="41">
        <f t="shared" si="11"/>
        <v>0</v>
      </c>
      <c r="W41" s="41">
        <f t="shared" si="12"/>
        <v>0</v>
      </c>
      <c r="X41" s="49">
        <f>ROUND((F41+I41+L41+O41+R41)/5,0)</f>
        <v>135471</v>
      </c>
      <c r="Y41" s="34">
        <f t="shared" si="13"/>
        <v>25739</v>
      </c>
      <c r="Z41" s="52">
        <f t="shared" si="14"/>
        <v>161210</v>
      </c>
      <c r="AA41" s="30">
        <f t="shared" si="15"/>
        <v>161210</v>
      </c>
      <c r="AB41" s="33"/>
    </row>
    <row r="42" spans="2:28" ht="20.25" hidden="1" customHeight="1">
      <c r="B42" s="14"/>
      <c r="C42" s="15"/>
      <c r="D42" s="17"/>
      <c r="E42" s="26"/>
      <c r="G42" s="33"/>
      <c r="J42" s="33"/>
      <c r="M42" s="33"/>
      <c r="P42" s="33"/>
      <c r="Q42" s="40"/>
      <c r="R42" s="26"/>
      <c r="S42" s="33"/>
      <c r="T42" s="40"/>
      <c r="U42" s="26"/>
      <c r="V42" s="33"/>
      <c r="W42" s="40"/>
      <c r="X42" s="43"/>
      <c r="Y42" s="50"/>
      <c r="Z42" s="53"/>
      <c r="AA42" s="53">
        <f>SUM(AA26:AA41,AA12:AA24)</f>
        <v>138444018</v>
      </c>
      <c r="AB42" s="33"/>
    </row>
    <row r="43" spans="2:28" ht="20.25" customHeight="1">
      <c r="B43" s="229"/>
      <c r="C43" s="230"/>
      <c r="D43" s="231"/>
      <c r="E43" s="26"/>
      <c r="I43" s="31"/>
      <c r="J43" s="31"/>
      <c r="K43" s="31"/>
      <c r="Q43" s="40"/>
      <c r="R43" s="26"/>
      <c r="S43" s="26"/>
      <c r="T43" s="40"/>
      <c r="U43" s="26"/>
      <c r="V43" s="40"/>
      <c r="W43" s="40"/>
      <c r="X43" s="43"/>
      <c r="Y43" s="44"/>
      <c r="Z43" s="54"/>
    </row>
    <row r="44" spans="2:28" ht="20.25" customHeight="1">
      <c r="B44" s="229"/>
      <c r="C44" s="230"/>
      <c r="D44" s="231"/>
      <c r="E44" s="26"/>
      <c r="G44" s="43"/>
      <c r="Q44" s="40"/>
      <c r="R44" s="26"/>
      <c r="S44" s="26"/>
      <c r="T44" s="40"/>
      <c r="U44" s="26"/>
      <c r="V44" s="40"/>
      <c r="W44" s="40"/>
      <c r="X44" s="43"/>
      <c r="Y44" s="44"/>
      <c r="Z44" s="54"/>
    </row>
    <row r="45" spans="2:28" ht="189.75" customHeight="1">
      <c r="B45" s="225" t="s">
        <v>59</v>
      </c>
      <c r="C45" s="226"/>
      <c r="D45" s="226"/>
      <c r="E45" s="226"/>
      <c r="F45" s="226"/>
      <c r="G45" s="226"/>
      <c r="H45" s="226"/>
      <c r="I45" s="226"/>
      <c r="J45" s="226"/>
      <c r="K45" s="226"/>
      <c r="L45" s="226"/>
      <c r="M45" s="226"/>
      <c r="N45" s="226"/>
      <c r="O45" s="226"/>
      <c r="P45" s="32"/>
      <c r="Q45" s="40"/>
      <c r="R45" s="26"/>
      <c r="S45" s="26"/>
      <c r="T45" s="40"/>
      <c r="U45" s="26"/>
      <c r="V45" s="40"/>
      <c r="W45" s="40"/>
      <c r="Y45" s="44"/>
    </row>
    <row r="47" spans="2:28">
      <c r="B47" s="227"/>
      <c r="C47" s="228" t="s">
        <v>41</v>
      </c>
    </row>
    <row r="48" spans="2:28">
      <c r="B48" s="227"/>
      <c r="C48" s="228"/>
    </row>
    <row r="49" spans="2:3">
      <c r="B49" s="223"/>
      <c r="C49" s="224" t="s">
        <v>42</v>
      </c>
    </row>
    <row r="50" spans="2:3">
      <c r="B50" s="223"/>
      <c r="C50" s="224"/>
    </row>
    <row r="53" spans="2:3">
      <c r="C53" s="1" t="s">
        <v>51</v>
      </c>
    </row>
    <row r="54" spans="2:3">
      <c r="C54" s="82" t="s">
        <v>52</v>
      </c>
    </row>
    <row r="56" spans="2:3">
      <c r="C56" s="82" t="s">
        <v>91</v>
      </c>
    </row>
  </sheetData>
  <mergeCells count="26">
    <mergeCell ref="B49:B50"/>
    <mergeCell ref="C49:C50"/>
    <mergeCell ref="B45:O45"/>
    <mergeCell ref="X10:X11"/>
    <mergeCell ref="B47:B48"/>
    <mergeCell ref="C47:C48"/>
    <mergeCell ref="B43:B44"/>
    <mergeCell ref="C43:C44"/>
    <mergeCell ref="D43:D44"/>
    <mergeCell ref="Z9:Z11"/>
    <mergeCell ref="AA9:AA11"/>
    <mergeCell ref="C25:AA25"/>
    <mergeCell ref="C11:W11"/>
    <mergeCell ref="U9:W9"/>
    <mergeCell ref="R9:T9"/>
    <mergeCell ref="O9:Q9"/>
    <mergeCell ref="Y10:Y11"/>
    <mergeCell ref="X9:Y9"/>
    <mergeCell ref="F9:H9"/>
    <mergeCell ref="I9:K9"/>
    <mergeCell ref="L9:N9"/>
    <mergeCell ref="F2:W2"/>
    <mergeCell ref="F3:W3"/>
    <mergeCell ref="F4:W4"/>
    <mergeCell ref="F6:W6"/>
    <mergeCell ref="F8:W8"/>
  </mergeCells>
  <pageMargins left="0.7" right="0.7" top="0.75" bottom="0.75" header="0.3" footer="0.3"/>
  <pageSetup paperSize="4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C3504-253F-4572-B37E-D00826E15892}">
  <dimension ref="B2:AP41"/>
  <sheetViews>
    <sheetView topLeftCell="B1" zoomScale="110" zoomScaleNormal="110" workbookViewId="0">
      <selection activeCell="AK25" sqref="AK25"/>
    </sheetView>
  </sheetViews>
  <sheetFormatPr baseColWidth="10" defaultRowHeight="15.75"/>
  <cols>
    <col min="1" max="1" width="11.42578125" style="1"/>
    <col min="2" max="2" width="6" style="1" bestFit="1" customWidth="1"/>
    <col min="3" max="3" width="60" style="93" customWidth="1"/>
    <col min="4" max="4" width="8" style="1" bestFit="1" customWidth="1"/>
    <col min="5" max="5" width="10.85546875" style="1" bestFit="1" customWidth="1"/>
    <col min="6" max="20" width="15.28515625" style="1" hidden="1" customWidth="1"/>
    <col min="21" max="23" width="16.28515625" style="1" hidden="1" customWidth="1"/>
    <col min="24" max="25" width="15" style="1" hidden="1" customWidth="1"/>
    <col min="26" max="26" width="18.85546875" style="51" customWidth="1"/>
    <col min="27" max="27" width="16.42578125" style="1" hidden="1" customWidth="1"/>
    <col min="28" max="28" width="5.42578125" style="73" customWidth="1"/>
    <col min="29" max="29" width="16.28515625" style="73" customWidth="1"/>
    <col min="30" max="30" width="5.42578125" style="1" customWidth="1"/>
    <col min="31" max="31" width="14.42578125" style="1" bestFit="1" customWidth="1"/>
    <col min="32" max="32" width="5.42578125" style="1" customWidth="1"/>
    <col min="33" max="33" width="14.42578125" style="1" bestFit="1" customWidth="1"/>
    <col min="34" max="34" width="5.42578125" style="1" customWidth="1"/>
    <col min="35" max="35" width="14.42578125" style="1" bestFit="1" customWidth="1"/>
    <col min="36" max="36" width="5.42578125" style="1" customWidth="1"/>
    <col min="37" max="37" width="14.7109375" style="1" customWidth="1"/>
    <col min="38" max="38" width="5.42578125" style="1" customWidth="1"/>
    <col min="39" max="39" width="15.42578125" style="1" customWidth="1"/>
    <col min="40" max="40" width="5.42578125" style="1" customWidth="1"/>
    <col min="41" max="41" width="14.42578125" style="1" bestFit="1" customWidth="1"/>
    <col min="42" max="42" width="0" style="1" hidden="1" customWidth="1"/>
    <col min="43" max="16384" width="11.42578125" style="1"/>
  </cols>
  <sheetData>
    <row r="2" spans="2:42" ht="14.25" customHeight="1">
      <c r="F2" s="185" t="s">
        <v>61</v>
      </c>
      <c r="G2" s="185"/>
      <c r="H2" s="185"/>
      <c r="I2" s="185"/>
      <c r="J2" s="185"/>
      <c r="K2" s="185"/>
      <c r="L2" s="185"/>
      <c r="M2" s="185"/>
      <c r="N2" s="185"/>
      <c r="O2" s="185"/>
      <c r="P2" s="185"/>
      <c r="Q2" s="185"/>
      <c r="R2" s="185"/>
      <c r="S2" s="185"/>
      <c r="T2" s="185"/>
      <c r="U2" s="185"/>
      <c r="V2" s="185"/>
      <c r="W2" s="185"/>
      <c r="X2" s="67"/>
      <c r="Y2" s="67"/>
      <c r="Z2" s="67"/>
    </row>
    <row r="3" spans="2:42" ht="14.25" customHeight="1">
      <c r="F3" s="185" t="s">
        <v>62</v>
      </c>
      <c r="G3" s="185"/>
      <c r="H3" s="185"/>
      <c r="I3" s="185"/>
      <c r="J3" s="185"/>
      <c r="K3" s="185"/>
      <c r="L3" s="185"/>
      <c r="M3" s="185"/>
      <c r="N3" s="185"/>
      <c r="O3" s="185"/>
      <c r="P3" s="185"/>
      <c r="Q3" s="185"/>
      <c r="R3" s="185"/>
      <c r="S3" s="185"/>
      <c r="T3" s="185"/>
      <c r="U3" s="185"/>
      <c r="V3" s="185"/>
      <c r="W3" s="185"/>
      <c r="X3" s="67"/>
      <c r="Y3" s="67"/>
      <c r="Z3" s="67"/>
    </row>
    <row r="4" spans="2:42" ht="14.25" customHeight="1">
      <c r="F4" s="185" t="s">
        <v>63</v>
      </c>
      <c r="G4" s="185"/>
      <c r="H4" s="185"/>
      <c r="I4" s="185"/>
      <c r="J4" s="185"/>
      <c r="K4" s="185"/>
      <c r="L4" s="185"/>
      <c r="M4" s="185"/>
      <c r="N4" s="185"/>
      <c r="O4" s="185"/>
      <c r="P4" s="185"/>
      <c r="Q4" s="185"/>
      <c r="R4" s="185"/>
      <c r="S4" s="185"/>
      <c r="T4" s="185"/>
      <c r="U4" s="185"/>
      <c r="V4" s="185"/>
      <c r="W4" s="185"/>
      <c r="X4" s="67"/>
      <c r="Y4" s="67"/>
      <c r="Z4" s="67"/>
    </row>
    <row r="5" spans="2:42" ht="14.25">
      <c r="M5" s="71"/>
      <c r="N5" s="71"/>
      <c r="O5" s="71"/>
      <c r="P5" s="71"/>
      <c r="Q5" s="71"/>
      <c r="R5" s="71"/>
      <c r="S5" s="71"/>
      <c r="T5" s="71"/>
      <c r="U5" s="71"/>
      <c r="V5" s="71"/>
      <c r="W5" s="71"/>
      <c r="X5" s="71"/>
      <c r="Y5" s="71"/>
      <c r="Z5" s="71"/>
    </row>
    <row r="6" spans="2:42">
      <c r="F6" s="186" t="s">
        <v>64</v>
      </c>
      <c r="G6" s="187"/>
      <c r="H6" s="187"/>
      <c r="I6" s="187"/>
      <c r="J6" s="187"/>
      <c r="K6" s="187"/>
      <c r="L6" s="187"/>
      <c r="M6" s="187"/>
      <c r="N6" s="187"/>
      <c r="O6" s="187"/>
      <c r="P6" s="187"/>
      <c r="Q6" s="187"/>
      <c r="R6" s="187"/>
      <c r="S6" s="187"/>
      <c r="T6" s="187"/>
      <c r="U6" s="187"/>
      <c r="V6" s="187"/>
      <c r="W6" s="187"/>
      <c r="X6" s="66"/>
      <c r="Y6" s="66"/>
    </row>
    <row r="8" spans="2:42" ht="34.5" customHeight="1">
      <c r="F8" s="246" t="s">
        <v>65</v>
      </c>
      <c r="G8" s="246"/>
      <c r="H8" s="246"/>
      <c r="I8" s="246"/>
      <c r="J8" s="246"/>
      <c r="K8" s="246"/>
      <c r="L8" s="246"/>
      <c r="M8" s="246"/>
      <c r="N8" s="246"/>
      <c r="O8" s="246"/>
      <c r="P8" s="246"/>
      <c r="Q8" s="246"/>
      <c r="R8" s="246"/>
      <c r="S8" s="246"/>
      <c r="T8" s="246"/>
      <c r="U8" s="246"/>
      <c r="V8" s="246"/>
      <c r="W8" s="246"/>
      <c r="X8" s="74"/>
      <c r="Y8" s="74"/>
    </row>
    <row r="9" spans="2:42" ht="15.75" customHeight="1" thickBot="1">
      <c r="B9" s="82"/>
      <c r="C9" s="94"/>
      <c r="D9" s="83"/>
      <c r="E9" s="83"/>
      <c r="F9" s="241" t="s">
        <v>31</v>
      </c>
      <c r="G9" s="241"/>
      <c r="H9" s="241"/>
      <c r="I9" s="242" t="s">
        <v>32</v>
      </c>
      <c r="J9" s="242"/>
      <c r="K9" s="242"/>
      <c r="L9" s="243" t="s">
        <v>33</v>
      </c>
      <c r="M9" s="243"/>
      <c r="N9" s="243"/>
      <c r="O9" s="244" t="s">
        <v>34</v>
      </c>
      <c r="P9" s="244"/>
      <c r="Q9" s="244"/>
      <c r="R9" s="245" t="s">
        <v>36</v>
      </c>
      <c r="S9" s="245"/>
      <c r="T9" s="245"/>
      <c r="U9" s="235" t="s">
        <v>40</v>
      </c>
      <c r="V9" s="235"/>
      <c r="W9" s="235"/>
      <c r="X9" s="236" t="s">
        <v>35</v>
      </c>
      <c r="Y9" s="236"/>
      <c r="Z9" s="237" t="s">
        <v>56</v>
      </c>
      <c r="AA9" s="238" t="s">
        <v>53</v>
      </c>
      <c r="AB9" s="247" t="s">
        <v>84</v>
      </c>
      <c r="AC9" s="249"/>
      <c r="AD9" s="249"/>
      <c r="AE9" s="249"/>
      <c r="AF9" s="249"/>
      <c r="AG9" s="249"/>
      <c r="AH9" s="249"/>
      <c r="AI9" s="249"/>
      <c r="AJ9" s="249"/>
      <c r="AK9" s="249"/>
      <c r="AL9" s="249"/>
      <c r="AM9" s="249"/>
      <c r="AN9" s="249"/>
      <c r="AO9" s="248"/>
    </row>
    <row r="10" spans="2:42" ht="30" customHeight="1" thickBot="1">
      <c r="B10" s="69" t="s">
        <v>3</v>
      </c>
      <c r="C10" s="84" t="s">
        <v>4</v>
      </c>
      <c r="D10" s="75" t="s">
        <v>5</v>
      </c>
      <c r="E10" s="75" t="s">
        <v>6</v>
      </c>
      <c r="F10" s="76" t="s">
        <v>37</v>
      </c>
      <c r="G10" s="76" t="s">
        <v>54</v>
      </c>
      <c r="H10" s="76" t="s">
        <v>58</v>
      </c>
      <c r="I10" s="77" t="s">
        <v>37</v>
      </c>
      <c r="J10" s="77" t="s">
        <v>54</v>
      </c>
      <c r="K10" s="77" t="s">
        <v>58</v>
      </c>
      <c r="L10" s="78" t="s">
        <v>38</v>
      </c>
      <c r="M10" s="78" t="s">
        <v>54</v>
      </c>
      <c r="N10" s="78" t="s">
        <v>58</v>
      </c>
      <c r="O10" s="79" t="s">
        <v>37</v>
      </c>
      <c r="P10" s="79" t="s">
        <v>54</v>
      </c>
      <c r="Q10" s="79" t="s">
        <v>58</v>
      </c>
      <c r="R10" s="80" t="s">
        <v>37</v>
      </c>
      <c r="S10" s="80" t="s">
        <v>54</v>
      </c>
      <c r="T10" s="80" t="s">
        <v>58</v>
      </c>
      <c r="U10" s="81" t="s">
        <v>37</v>
      </c>
      <c r="V10" s="81" t="s">
        <v>54</v>
      </c>
      <c r="W10" s="81" t="s">
        <v>55</v>
      </c>
      <c r="X10" s="232" t="s">
        <v>39</v>
      </c>
      <c r="Y10" s="232" t="s">
        <v>57</v>
      </c>
      <c r="Z10" s="237"/>
      <c r="AA10" s="238"/>
      <c r="AB10" s="247" t="s">
        <v>68</v>
      </c>
      <c r="AC10" s="248"/>
      <c r="AD10" s="247" t="s">
        <v>69</v>
      </c>
      <c r="AE10" s="248"/>
      <c r="AF10" s="247" t="s">
        <v>70</v>
      </c>
      <c r="AG10" s="248"/>
      <c r="AH10" s="247" t="s">
        <v>71</v>
      </c>
      <c r="AI10" s="248"/>
      <c r="AJ10" s="247" t="s">
        <v>72</v>
      </c>
      <c r="AK10" s="248"/>
      <c r="AL10" s="247" t="s">
        <v>73</v>
      </c>
      <c r="AM10" s="248"/>
      <c r="AN10" s="247" t="s">
        <v>74</v>
      </c>
      <c r="AO10" s="248"/>
    </row>
    <row r="11" spans="2:42" ht="21.75" customHeight="1" thickBot="1">
      <c r="B11" s="72" t="s">
        <v>16</v>
      </c>
      <c r="C11" s="240" t="s">
        <v>17</v>
      </c>
      <c r="D11" s="240"/>
      <c r="E11" s="240"/>
      <c r="F11" s="240"/>
      <c r="G11" s="240"/>
      <c r="H11" s="240"/>
      <c r="I11" s="240"/>
      <c r="J11" s="240"/>
      <c r="K11" s="240"/>
      <c r="L11" s="240"/>
      <c r="M11" s="240"/>
      <c r="N11" s="240"/>
      <c r="O11" s="240"/>
      <c r="P11" s="240"/>
      <c r="Q11" s="240"/>
      <c r="R11" s="240"/>
      <c r="S11" s="240"/>
      <c r="T11" s="240"/>
      <c r="U11" s="240"/>
      <c r="V11" s="240"/>
      <c r="W11" s="240"/>
      <c r="X11" s="239"/>
      <c r="Y11" s="239"/>
      <c r="Z11" s="237"/>
      <c r="AA11" s="238"/>
      <c r="AB11" s="92" t="s">
        <v>75</v>
      </c>
      <c r="AC11" s="92" t="s">
        <v>60</v>
      </c>
      <c r="AD11" s="92" t="s">
        <v>75</v>
      </c>
      <c r="AE11" s="92" t="s">
        <v>60</v>
      </c>
      <c r="AF11" s="92" t="s">
        <v>75</v>
      </c>
      <c r="AG11" s="92" t="s">
        <v>60</v>
      </c>
      <c r="AH11" s="92" t="s">
        <v>75</v>
      </c>
      <c r="AI11" s="92" t="s">
        <v>60</v>
      </c>
      <c r="AJ11" s="92" t="s">
        <v>75</v>
      </c>
      <c r="AK11" s="92" t="s">
        <v>60</v>
      </c>
      <c r="AL11" s="92" t="s">
        <v>75</v>
      </c>
      <c r="AM11" s="92" t="s">
        <v>60</v>
      </c>
      <c r="AN11" s="92" t="s">
        <v>75</v>
      </c>
      <c r="AO11" s="92" t="s">
        <v>60</v>
      </c>
    </row>
    <row r="12" spans="2:42" ht="77.25" thickBot="1">
      <c r="B12" s="72">
        <v>1</v>
      </c>
      <c r="C12" s="111" t="s">
        <v>43</v>
      </c>
      <c r="D12" s="84" t="s">
        <v>0</v>
      </c>
      <c r="E12" s="85">
        <v>5</v>
      </c>
      <c r="F12" s="95">
        <v>28700000</v>
      </c>
      <c r="G12" s="95">
        <f>ROUND(F12*0.19,0)</f>
        <v>5453000</v>
      </c>
      <c r="H12" s="95">
        <f>+F12+G12</f>
        <v>34153000</v>
      </c>
      <c r="I12" s="95">
        <v>49000000</v>
      </c>
      <c r="J12" s="95">
        <f>ROUND(I12*0.19,0)</f>
        <v>9310000</v>
      </c>
      <c r="K12" s="95">
        <f>+I12+J12</f>
        <v>58310000</v>
      </c>
      <c r="L12" s="95">
        <v>21920250</v>
      </c>
      <c r="M12" s="95">
        <f>ROUND(L12*0.19,0)</f>
        <v>4164848</v>
      </c>
      <c r="N12" s="95">
        <f>+L12+M12</f>
        <v>26085098</v>
      </c>
      <c r="O12" s="95">
        <v>18099501</v>
      </c>
      <c r="P12" s="95">
        <f>ROUND(O12*0.19,0)</f>
        <v>3438905</v>
      </c>
      <c r="Q12" s="95">
        <f>+O12+P12</f>
        <v>21538406</v>
      </c>
      <c r="R12" s="95">
        <v>36037676</v>
      </c>
      <c r="S12" s="95">
        <f>ROUND(R12*0.19,0)</f>
        <v>6847158</v>
      </c>
      <c r="T12" s="95">
        <f>+R12+S12</f>
        <v>42884834</v>
      </c>
      <c r="U12" s="95">
        <v>28033715</v>
      </c>
      <c r="V12" s="95">
        <f>ROUND(U12*0.19,0)</f>
        <v>5326406</v>
      </c>
      <c r="W12" s="95">
        <f>+U12+V12</f>
        <v>33360121</v>
      </c>
      <c r="X12" s="96">
        <f t="shared" ref="X12:X19" si="0">ROUND((F12+I12+L12+O12+R12+U12)/6,0)</f>
        <v>30298524</v>
      </c>
      <c r="Y12" s="96">
        <f>ROUND(X12*0.19,0)</f>
        <v>5756720</v>
      </c>
      <c r="Z12" s="97">
        <f>+X12+Y12</f>
        <v>36055244</v>
      </c>
      <c r="AA12" s="95">
        <f>+Z12*E12</f>
        <v>180276220</v>
      </c>
      <c r="AB12" s="98">
        <v>1</v>
      </c>
      <c r="AC12" s="99">
        <f>Z12*AB12</f>
        <v>36055244</v>
      </c>
      <c r="AD12" s="100">
        <v>1</v>
      </c>
      <c r="AE12" s="99">
        <f>Z12*AD12</f>
        <v>36055244</v>
      </c>
      <c r="AF12" s="100">
        <v>1</v>
      </c>
      <c r="AG12" s="99">
        <f>AF12*Z12</f>
        <v>36055244</v>
      </c>
      <c r="AH12" s="100">
        <v>1</v>
      </c>
      <c r="AI12" s="99">
        <f>AH12*Z12</f>
        <v>36055244</v>
      </c>
      <c r="AJ12" s="100"/>
      <c r="AK12" s="99">
        <f>AJ12*Z12</f>
        <v>0</v>
      </c>
      <c r="AL12" s="100"/>
      <c r="AM12" s="99">
        <f>AL12*Z12</f>
        <v>0</v>
      </c>
      <c r="AN12" s="100">
        <v>1</v>
      </c>
      <c r="AO12" s="99">
        <f>AN12*Z12</f>
        <v>36055244</v>
      </c>
      <c r="AP12" s="1">
        <f>+AB12+AD12+AF12+AH12+AJ12+AL12+AN12</f>
        <v>5</v>
      </c>
    </row>
    <row r="13" spans="2:42" ht="77.25" thickBot="1">
      <c r="B13" s="72">
        <v>2</v>
      </c>
      <c r="C13" s="112" t="s">
        <v>44</v>
      </c>
      <c r="D13" s="86" t="s">
        <v>0</v>
      </c>
      <c r="E13" s="87">
        <v>1</v>
      </c>
      <c r="F13" s="95">
        <v>17900000</v>
      </c>
      <c r="G13" s="95">
        <f t="shared" ref="G13:G36" si="1">ROUND(F13*0.19,0)</f>
        <v>3401000</v>
      </c>
      <c r="H13" s="95">
        <f t="shared" ref="H13:H36" si="2">+F13+G13</f>
        <v>21301000</v>
      </c>
      <c r="I13" s="95">
        <v>18000000</v>
      </c>
      <c r="J13" s="95">
        <f t="shared" ref="J13:J35" si="3">ROUND(I13*0.19,0)</f>
        <v>3420000</v>
      </c>
      <c r="K13" s="95">
        <f t="shared" ref="K13:K19" si="4">+I13+J13</f>
        <v>21420000</v>
      </c>
      <c r="L13" s="95">
        <v>11145750</v>
      </c>
      <c r="M13" s="95">
        <f t="shared" ref="M13:M36" si="5">ROUND(L13*0.19,0)</f>
        <v>2117693</v>
      </c>
      <c r="N13" s="95">
        <f t="shared" ref="N13:N36" si="6">+L13+M13</f>
        <v>13263443</v>
      </c>
      <c r="O13" s="95">
        <v>11205000</v>
      </c>
      <c r="P13" s="95">
        <f t="shared" ref="P13:P36" si="7">ROUND(O13*0.19,0)</f>
        <v>2128950</v>
      </c>
      <c r="Q13" s="95">
        <f t="shared" ref="Q13:Q36" si="8">+O13+P13</f>
        <v>13333950</v>
      </c>
      <c r="R13" s="95">
        <v>14145854</v>
      </c>
      <c r="S13" s="95">
        <f t="shared" ref="S13:S36" si="9">ROUND(R13*0.19,0)</f>
        <v>2687712</v>
      </c>
      <c r="T13" s="95">
        <f t="shared" ref="T13:T36" si="10">+R13+S13</f>
        <v>16833566</v>
      </c>
      <c r="U13" s="95">
        <v>12865383</v>
      </c>
      <c r="V13" s="95">
        <f t="shared" ref="V13:V36" si="11">ROUND(U13*0.19,0)</f>
        <v>2444423</v>
      </c>
      <c r="W13" s="95">
        <f t="shared" ref="W13:W36" si="12">+U13+V13</f>
        <v>15309806</v>
      </c>
      <c r="X13" s="96">
        <f t="shared" si="0"/>
        <v>14210331</v>
      </c>
      <c r="Y13" s="96">
        <f t="shared" ref="Y13:Y36" si="13">ROUND(X13*0.19,0)</f>
        <v>2699963</v>
      </c>
      <c r="Z13" s="97">
        <f t="shared" ref="Z13:Z36" si="14">+X13+Y13</f>
        <v>16910294</v>
      </c>
      <c r="AA13" s="95">
        <f t="shared" ref="AA13:AA36" si="15">+Z13*E13</f>
        <v>16910294</v>
      </c>
      <c r="AB13" s="98"/>
      <c r="AC13" s="99">
        <f t="shared" ref="AC13:AC36" si="16">Z13*AB13</f>
        <v>0</v>
      </c>
      <c r="AD13" s="100"/>
      <c r="AE13" s="99">
        <f t="shared" ref="AE13:AE36" si="17">Z13*AD13</f>
        <v>0</v>
      </c>
      <c r="AF13" s="100"/>
      <c r="AG13" s="99">
        <f t="shared" ref="AG13:AG36" si="18">AF13*Z13</f>
        <v>0</v>
      </c>
      <c r="AH13" s="100"/>
      <c r="AI13" s="99">
        <f t="shared" ref="AI13:AI36" si="19">AH13*Z13</f>
        <v>0</v>
      </c>
      <c r="AJ13" s="100">
        <v>1</v>
      </c>
      <c r="AK13" s="99">
        <f t="shared" ref="AK13:AK36" si="20">AJ13*Z13</f>
        <v>16910294</v>
      </c>
      <c r="AL13" s="100"/>
      <c r="AM13" s="99">
        <f t="shared" ref="AM13:AM36" si="21">AL13*Z13</f>
        <v>0</v>
      </c>
      <c r="AN13" s="100"/>
      <c r="AO13" s="99">
        <f t="shared" ref="AO13:AO36" si="22">AN13*Z13</f>
        <v>0</v>
      </c>
      <c r="AP13" s="1">
        <f t="shared" ref="AP13:AP36" si="23">+AB13+AD13+AF13+AH13+AJ13+AL13+AN13</f>
        <v>1</v>
      </c>
    </row>
    <row r="14" spans="2:42" ht="77.25" thickBot="1">
      <c r="B14" s="72">
        <v>3</v>
      </c>
      <c r="C14" s="111" t="s">
        <v>45</v>
      </c>
      <c r="D14" s="84" t="s">
        <v>0</v>
      </c>
      <c r="E14" s="85">
        <v>1</v>
      </c>
      <c r="F14" s="95">
        <v>13500000</v>
      </c>
      <c r="G14" s="95">
        <f t="shared" si="1"/>
        <v>2565000</v>
      </c>
      <c r="H14" s="95">
        <f t="shared" si="2"/>
        <v>16065000</v>
      </c>
      <c r="I14" s="95">
        <v>16000000</v>
      </c>
      <c r="J14" s="95">
        <f t="shared" si="3"/>
        <v>3040000</v>
      </c>
      <c r="K14" s="95">
        <f t="shared" si="4"/>
        <v>19040000</v>
      </c>
      <c r="L14" s="95">
        <v>9141000</v>
      </c>
      <c r="M14" s="95">
        <f t="shared" si="5"/>
        <v>1736790</v>
      </c>
      <c r="N14" s="95">
        <f t="shared" si="6"/>
        <v>10877790</v>
      </c>
      <c r="O14" s="95">
        <v>10028500</v>
      </c>
      <c r="P14" s="95">
        <f t="shared" si="7"/>
        <v>1905415</v>
      </c>
      <c r="Q14" s="95">
        <f t="shared" si="8"/>
        <v>11933915</v>
      </c>
      <c r="R14" s="95">
        <v>11017766</v>
      </c>
      <c r="S14" s="95">
        <f t="shared" si="9"/>
        <v>2093376</v>
      </c>
      <c r="T14" s="95">
        <f t="shared" si="10"/>
        <v>13111142</v>
      </c>
      <c r="U14" s="95">
        <v>10683840</v>
      </c>
      <c r="V14" s="95">
        <f t="shared" si="11"/>
        <v>2029930</v>
      </c>
      <c r="W14" s="95">
        <f t="shared" si="12"/>
        <v>12713770</v>
      </c>
      <c r="X14" s="96">
        <f t="shared" si="0"/>
        <v>11728518</v>
      </c>
      <c r="Y14" s="96">
        <f t="shared" si="13"/>
        <v>2228418</v>
      </c>
      <c r="Z14" s="97">
        <f t="shared" si="14"/>
        <v>13956936</v>
      </c>
      <c r="AA14" s="95">
        <f t="shared" si="15"/>
        <v>13956936</v>
      </c>
      <c r="AB14" s="98"/>
      <c r="AC14" s="99">
        <f t="shared" si="16"/>
        <v>0</v>
      </c>
      <c r="AD14" s="100"/>
      <c r="AE14" s="99">
        <f t="shared" si="17"/>
        <v>0</v>
      </c>
      <c r="AF14" s="100"/>
      <c r="AG14" s="99">
        <f t="shared" si="18"/>
        <v>0</v>
      </c>
      <c r="AH14" s="100"/>
      <c r="AI14" s="99">
        <f t="shared" si="19"/>
        <v>0</v>
      </c>
      <c r="AJ14" s="100"/>
      <c r="AK14" s="99">
        <f t="shared" si="20"/>
        <v>0</v>
      </c>
      <c r="AL14" s="100">
        <v>1</v>
      </c>
      <c r="AM14" s="99">
        <f t="shared" si="21"/>
        <v>13956936</v>
      </c>
      <c r="AN14" s="100"/>
      <c r="AO14" s="99">
        <f t="shared" si="22"/>
        <v>0</v>
      </c>
      <c r="AP14" s="1">
        <f t="shared" si="23"/>
        <v>1</v>
      </c>
    </row>
    <row r="15" spans="2:42" ht="51.75" thickBot="1">
      <c r="B15" s="72">
        <v>4</v>
      </c>
      <c r="C15" s="112" t="s">
        <v>50</v>
      </c>
      <c r="D15" s="86" t="s">
        <v>0</v>
      </c>
      <c r="E15" s="87">
        <v>2</v>
      </c>
      <c r="F15" s="95">
        <v>10300000</v>
      </c>
      <c r="G15" s="95">
        <f t="shared" si="1"/>
        <v>1957000</v>
      </c>
      <c r="H15" s="95">
        <f t="shared" si="2"/>
        <v>12257000</v>
      </c>
      <c r="I15" s="95">
        <v>13620000</v>
      </c>
      <c r="J15" s="95">
        <f t="shared" si="3"/>
        <v>2587800</v>
      </c>
      <c r="K15" s="95">
        <f t="shared" si="4"/>
        <v>16207800</v>
      </c>
      <c r="L15" s="96">
        <v>4075500</v>
      </c>
      <c r="M15" s="95">
        <f t="shared" si="5"/>
        <v>774345</v>
      </c>
      <c r="N15" s="95">
        <f t="shared" si="6"/>
        <v>4849845</v>
      </c>
      <c r="O15" s="95">
        <v>7500000</v>
      </c>
      <c r="P15" s="95">
        <f t="shared" si="7"/>
        <v>1425000</v>
      </c>
      <c r="Q15" s="95">
        <f t="shared" si="8"/>
        <v>8925000</v>
      </c>
      <c r="R15" s="95">
        <v>11017766</v>
      </c>
      <c r="S15" s="95">
        <f t="shared" si="9"/>
        <v>2093376</v>
      </c>
      <c r="T15" s="95">
        <f t="shared" si="10"/>
        <v>13111142</v>
      </c>
      <c r="U15" s="95">
        <v>4865305</v>
      </c>
      <c r="V15" s="95">
        <f t="shared" si="11"/>
        <v>924408</v>
      </c>
      <c r="W15" s="95">
        <f t="shared" si="12"/>
        <v>5789713</v>
      </c>
      <c r="X15" s="96">
        <f t="shared" si="0"/>
        <v>8563095</v>
      </c>
      <c r="Y15" s="96">
        <f t="shared" si="13"/>
        <v>1626988</v>
      </c>
      <c r="Z15" s="97">
        <f t="shared" si="14"/>
        <v>10190083</v>
      </c>
      <c r="AA15" s="95">
        <f t="shared" si="15"/>
        <v>20380166</v>
      </c>
      <c r="AB15" s="98"/>
      <c r="AC15" s="99">
        <f t="shared" si="16"/>
        <v>0</v>
      </c>
      <c r="AD15" s="100">
        <v>1</v>
      </c>
      <c r="AE15" s="99">
        <f t="shared" si="17"/>
        <v>10190083</v>
      </c>
      <c r="AF15" s="100"/>
      <c r="AG15" s="99">
        <f t="shared" si="18"/>
        <v>0</v>
      </c>
      <c r="AH15" s="100">
        <v>1</v>
      </c>
      <c r="AI15" s="99">
        <f t="shared" si="19"/>
        <v>10190083</v>
      </c>
      <c r="AJ15" s="100"/>
      <c r="AK15" s="99">
        <f t="shared" si="20"/>
        <v>0</v>
      </c>
      <c r="AL15" s="100"/>
      <c r="AM15" s="99">
        <f t="shared" si="21"/>
        <v>0</v>
      </c>
      <c r="AN15" s="100"/>
      <c r="AO15" s="99">
        <f t="shared" si="22"/>
        <v>0</v>
      </c>
      <c r="AP15" s="1">
        <f t="shared" si="23"/>
        <v>2</v>
      </c>
    </row>
    <row r="16" spans="2:42" ht="51.75" thickBot="1">
      <c r="B16" s="72">
        <v>5</v>
      </c>
      <c r="C16" s="111" t="s">
        <v>46</v>
      </c>
      <c r="D16" s="84" t="s">
        <v>0</v>
      </c>
      <c r="E16" s="85">
        <v>2</v>
      </c>
      <c r="F16" s="95">
        <v>5900000</v>
      </c>
      <c r="G16" s="95">
        <f t="shared" si="1"/>
        <v>1121000</v>
      </c>
      <c r="H16" s="95">
        <f t="shared" si="2"/>
        <v>7021000</v>
      </c>
      <c r="I16" s="95">
        <v>4200000</v>
      </c>
      <c r="J16" s="95">
        <f t="shared" si="3"/>
        <v>798000</v>
      </c>
      <c r="K16" s="95">
        <f t="shared" si="4"/>
        <v>4998000</v>
      </c>
      <c r="L16" s="95">
        <v>2682500</v>
      </c>
      <c r="M16" s="95">
        <f t="shared" si="5"/>
        <v>509675</v>
      </c>
      <c r="N16" s="95">
        <f t="shared" si="6"/>
        <v>3192175</v>
      </c>
      <c r="O16" s="95">
        <v>3246229</v>
      </c>
      <c r="P16" s="95">
        <f t="shared" si="7"/>
        <v>616784</v>
      </c>
      <c r="Q16" s="95">
        <f t="shared" si="8"/>
        <v>3863013</v>
      </c>
      <c r="R16" s="95">
        <v>3458620</v>
      </c>
      <c r="S16" s="95">
        <f t="shared" si="9"/>
        <v>657138</v>
      </c>
      <c r="T16" s="95">
        <f t="shared" si="10"/>
        <v>4115758</v>
      </c>
      <c r="U16" s="95">
        <v>3412057</v>
      </c>
      <c r="V16" s="95">
        <f t="shared" si="11"/>
        <v>648291</v>
      </c>
      <c r="W16" s="95">
        <f t="shared" si="12"/>
        <v>4060348</v>
      </c>
      <c r="X16" s="96">
        <f t="shared" si="0"/>
        <v>3816568</v>
      </c>
      <c r="Y16" s="96">
        <f t="shared" si="13"/>
        <v>725148</v>
      </c>
      <c r="Z16" s="97">
        <f t="shared" si="14"/>
        <v>4541716</v>
      </c>
      <c r="AA16" s="95">
        <f t="shared" si="15"/>
        <v>9083432</v>
      </c>
      <c r="AB16" s="98">
        <v>2</v>
      </c>
      <c r="AC16" s="99">
        <f t="shared" si="16"/>
        <v>9083432</v>
      </c>
      <c r="AD16" s="100"/>
      <c r="AE16" s="99">
        <f t="shared" si="17"/>
        <v>0</v>
      </c>
      <c r="AF16" s="100"/>
      <c r="AG16" s="99">
        <f t="shared" si="18"/>
        <v>0</v>
      </c>
      <c r="AH16" s="100"/>
      <c r="AI16" s="99">
        <f t="shared" si="19"/>
        <v>0</v>
      </c>
      <c r="AJ16" s="100"/>
      <c r="AK16" s="99">
        <f t="shared" si="20"/>
        <v>0</v>
      </c>
      <c r="AL16" s="100"/>
      <c r="AM16" s="99">
        <f t="shared" si="21"/>
        <v>0</v>
      </c>
      <c r="AN16" s="100"/>
      <c r="AO16" s="99">
        <f t="shared" si="22"/>
        <v>0</v>
      </c>
      <c r="AP16" s="1">
        <f t="shared" si="23"/>
        <v>2</v>
      </c>
    </row>
    <row r="17" spans="2:42" ht="51.75" thickBot="1">
      <c r="B17" s="72">
        <v>6</v>
      </c>
      <c r="C17" s="112" t="s">
        <v>47</v>
      </c>
      <c r="D17" s="86" t="s">
        <v>0</v>
      </c>
      <c r="E17" s="87">
        <v>8</v>
      </c>
      <c r="F17" s="95">
        <v>4800000</v>
      </c>
      <c r="G17" s="95">
        <f t="shared" si="1"/>
        <v>912000</v>
      </c>
      <c r="H17" s="95">
        <f t="shared" si="2"/>
        <v>5712000</v>
      </c>
      <c r="I17" s="95">
        <v>4000000</v>
      </c>
      <c r="J17" s="95">
        <f t="shared" si="3"/>
        <v>760000</v>
      </c>
      <c r="K17" s="95">
        <f t="shared" si="4"/>
        <v>4760000</v>
      </c>
      <c r="L17" s="95">
        <v>2506750</v>
      </c>
      <c r="M17" s="95">
        <f t="shared" si="5"/>
        <v>476283</v>
      </c>
      <c r="N17" s="95">
        <f t="shared" si="6"/>
        <v>2983033</v>
      </c>
      <c r="O17" s="95">
        <v>2955000</v>
      </c>
      <c r="P17" s="95">
        <f t="shared" si="7"/>
        <v>561450</v>
      </c>
      <c r="Q17" s="95">
        <f t="shared" si="8"/>
        <v>3516450</v>
      </c>
      <c r="R17" s="95">
        <v>2673006</v>
      </c>
      <c r="S17" s="95">
        <f t="shared" si="9"/>
        <v>507871</v>
      </c>
      <c r="T17" s="95">
        <f t="shared" si="10"/>
        <v>3180877</v>
      </c>
      <c r="U17" s="95">
        <v>2864166</v>
      </c>
      <c r="V17" s="95">
        <f t="shared" si="11"/>
        <v>544192</v>
      </c>
      <c r="W17" s="95">
        <f t="shared" si="12"/>
        <v>3408358</v>
      </c>
      <c r="X17" s="96">
        <f t="shared" si="0"/>
        <v>3299820</v>
      </c>
      <c r="Y17" s="96">
        <f t="shared" si="13"/>
        <v>626966</v>
      </c>
      <c r="Z17" s="97">
        <f t="shared" si="14"/>
        <v>3926786</v>
      </c>
      <c r="AA17" s="95">
        <f t="shared" si="15"/>
        <v>31414288</v>
      </c>
      <c r="AB17" s="98"/>
      <c r="AC17" s="99">
        <f t="shared" si="16"/>
        <v>0</v>
      </c>
      <c r="AD17" s="100">
        <v>3</v>
      </c>
      <c r="AE17" s="99">
        <f t="shared" si="17"/>
        <v>11780358</v>
      </c>
      <c r="AF17" s="100">
        <v>2</v>
      </c>
      <c r="AG17" s="99">
        <f t="shared" si="18"/>
        <v>7853572</v>
      </c>
      <c r="AH17" s="100">
        <v>2</v>
      </c>
      <c r="AI17" s="99">
        <f t="shared" si="19"/>
        <v>7853572</v>
      </c>
      <c r="AJ17" s="100"/>
      <c r="AK17" s="99">
        <f t="shared" si="20"/>
        <v>0</v>
      </c>
      <c r="AL17" s="100"/>
      <c r="AM17" s="99">
        <f t="shared" si="21"/>
        <v>0</v>
      </c>
      <c r="AN17" s="100">
        <v>1</v>
      </c>
      <c r="AO17" s="99">
        <f t="shared" si="22"/>
        <v>3926786</v>
      </c>
      <c r="AP17" s="1">
        <f t="shared" si="23"/>
        <v>8</v>
      </c>
    </row>
    <row r="18" spans="2:42" ht="51.75" thickBot="1">
      <c r="B18" s="72">
        <v>7</v>
      </c>
      <c r="C18" s="111" t="s">
        <v>48</v>
      </c>
      <c r="D18" s="84" t="s">
        <v>0</v>
      </c>
      <c r="E18" s="85">
        <v>19</v>
      </c>
      <c r="F18" s="95">
        <v>3500000</v>
      </c>
      <c r="G18" s="95">
        <f t="shared" si="1"/>
        <v>665000</v>
      </c>
      <c r="H18" s="95">
        <f t="shared" si="2"/>
        <v>4165000</v>
      </c>
      <c r="I18" s="95">
        <v>4000000</v>
      </c>
      <c r="J18" s="95">
        <f t="shared" si="3"/>
        <v>760000</v>
      </c>
      <c r="K18" s="95">
        <f t="shared" si="4"/>
        <v>4760000</v>
      </c>
      <c r="L18" s="95">
        <v>2118250</v>
      </c>
      <c r="M18" s="95">
        <f t="shared" si="5"/>
        <v>402468</v>
      </c>
      <c r="N18" s="95">
        <f t="shared" si="6"/>
        <v>2520718</v>
      </c>
      <c r="O18" s="95">
        <v>2692690</v>
      </c>
      <c r="P18" s="95">
        <f t="shared" si="7"/>
        <v>511611</v>
      </c>
      <c r="Q18" s="95">
        <f t="shared" si="8"/>
        <v>3204301</v>
      </c>
      <c r="R18" s="95">
        <v>2217924</v>
      </c>
      <c r="S18" s="95">
        <f t="shared" si="9"/>
        <v>421406</v>
      </c>
      <c r="T18" s="95">
        <f t="shared" si="10"/>
        <v>2639330</v>
      </c>
      <c r="U18" s="95">
        <v>2546790</v>
      </c>
      <c r="V18" s="95">
        <f t="shared" si="11"/>
        <v>483890</v>
      </c>
      <c r="W18" s="95">
        <f t="shared" si="12"/>
        <v>3030680</v>
      </c>
      <c r="X18" s="96">
        <f t="shared" si="0"/>
        <v>2845942</v>
      </c>
      <c r="Y18" s="96">
        <f t="shared" si="13"/>
        <v>540729</v>
      </c>
      <c r="Z18" s="97">
        <f t="shared" si="14"/>
        <v>3386671</v>
      </c>
      <c r="AA18" s="95">
        <f t="shared" si="15"/>
        <v>64346749</v>
      </c>
      <c r="AB18" s="98"/>
      <c r="AC18" s="99">
        <f t="shared" si="16"/>
        <v>0</v>
      </c>
      <c r="AD18" s="100">
        <v>1</v>
      </c>
      <c r="AE18" s="99">
        <f t="shared" si="17"/>
        <v>3386671</v>
      </c>
      <c r="AF18" s="100">
        <v>4</v>
      </c>
      <c r="AG18" s="99">
        <f t="shared" si="18"/>
        <v>13546684</v>
      </c>
      <c r="AH18" s="100">
        <v>1</v>
      </c>
      <c r="AI18" s="99">
        <f t="shared" si="19"/>
        <v>3386671</v>
      </c>
      <c r="AJ18" s="100">
        <v>4</v>
      </c>
      <c r="AK18" s="99">
        <f t="shared" si="20"/>
        <v>13546684</v>
      </c>
      <c r="AL18" s="100">
        <v>1</v>
      </c>
      <c r="AM18" s="99">
        <f t="shared" si="21"/>
        <v>3386671</v>
      </c>
      <c r="AN18" s="100">
        <v>8</v>
      </c>
      <c r="AO18" s="99">
        <f t="shared" si="22"/>
        <v>27093368</v>
      </c>
      <c r="AP18" s="1">
        <f t="shared" si="23"/>
        <v>19</v>
      </c>
    </row>
    <row r="19" spans="2:42" s="175" customFormat="1" ht="51.75" thickBot="1">
      <c r="B19" s="167">
        <v>8</v>
      </c>
      <c r="C19" s="168" t="s">
        <v>49</v>
      </c>
      <c r="D19" s="116" t="s">
        <v>0</v>
      </c>
      <c r="E19" s="117">
        <v>15</v>
      </c>
      <c r="F19" s="169">
        <v>3000000</v>
      </c>
      <c r="G19" s="169">
        <f t="shared" si="1"/>
        <v>570000</v>
      </c>
      <c r="H19" s="169">
        <f t="shared" si="2"/>
        <v>3570000</v>
      </c>
      <c r="I19" s="169">
        <v>3900000</v>
      </c>
      <c r="J19" s="169">
        <f t="shared" si="3"/>
        <v>741000</v>
      </c>
      <c r="K19" s="169">
        <f t="shared" si="4"/>
        <v>4641000</v>
      </c>
      <c r="L19" s="169">
        <v>1600250</v>
      </c>
      <c r="M19" s="169">
        <f t="shared" si="5"/>
        <v>304048</v>
      </c>
      <c r="N19" s="169">
        <f t="shared" si="6"/>
        <v>1904298</v>
      </c>
      <c r="O19" s="169">
        <v>2100000</v>
      </c>
      <c r="P19" s="169">
        <f t="shared" si="7"/>
        <v>399000</v>
      </c>
      <c r="Q19" s="169">
        <f t="shared" si="8"/>
        <v>2499000</v>
      </c>
      <c r="R19" s="169">
        <v>2098166</v>
      </c>
      <c r="S19" s="169">
        <f t="shared" si="9"/>
        <v>398652</v>
      </c>
      <c r="T19" s="169">
        <f t="shared" si="10"/>
        <v>2496818</v>
      </c>
      <c r="U19" s="169">
        <v>2463270</v>
      </c>
      <c r="V19" s="169">
        <f t="shared" si="11"/>
        <v>468021</v>
      </c>
      <c r="W19" s="169">
        <f t="shared" si="12"/>
        <v>2931291</v>
      </c>
      <c r="X19" s="170">
        <f t="shared" si="0"/>
        <v>2526948</v>
      </c>
      <c r="Y19" s="170">
        <f t="shared" si="13"/>
        <v>480120</v>
      </c>
      <c r="Z19" s="171">
        <f t="shared" si="14"/>
        <v>3007068</v>
      </c>
      <c r="AA19" s="169">
        <f t="shared" si="15"/>
        <v>45106020</v>
      </c>
      <c r="AB19" s="172">
        <v>5</v>
      </c>
      <c r="AC19" s="173">
        <f t="shared" si="16"/>
        <v>15035340</v>
      </c>
      <c r="AD19" s="174">
        <v>1</v>
      </c>
      <c r="AE19" s="173">
        <f t="shared" si="17"/>
        <v>3007068</v>
      </c>
      <c r="AF19" s="174">
        <v>3</v>
      </c>
      <c r="AG19" s="173">
        <f t="shared" si="18"/>
        <v>9021204</v>
      </c>
      <c r="AH19" s="174">
        <v>3</v>
      </c>
      <c r="AI19" s="173">
        <f t="shared" si="19"/>
        <v>9021204</v>
      </c>
      <c r="AJ19" s="174"/>
      <c r="AK19" s="173">
        <f t="shared" si="20"/>
        <v>0</v>
      </c>
      <c r="AL19" s="174">
        <v>3</v>
      </c>
      <c r="AM19" s="173">
        <f t="shared" si="21"/>
        <v>9021204</v>
      </c>
      <c r="AN19" s="174"/>
      <c r="AO19" s="173">
        <f t="shared" si="22"/>
        <v>0</v>
      </c>
      <c r="AP19" s="175">
        <f t="shared" si="23"/>
        <v>15</v>
      </c>
    </row>
    <row r="20" spans="2:42" s="175" customFormat="1" ht="25.5" customHeight="1" thickBot="1">
      <c r="B20" s="167" t="s">
        <v>23</v>
      </c>
      <c r="C20" s="232" t="s">
        <v>24</v>
      </c>
      <c r="D20" s="232"/>
      <c r="E20" s="232"/>
      <c r="F20" s="232"/>
      <c r="G20" s="232"/>
      <c r="H20" s="232"/>
      <c r="I20" s="232"/>
      <c r="J20" s="232"/>
      <c r="K20" s="232"/>
      <c r="L20" s="232"/>
      <c r="M20" s="232"/>
      <c r="N20" s="232"/>
      <c r="O20" s="232"/>
      <c r="P20" s="232"/>
      <c r="Q20" s="232"/>
      <c r="R20" s="232"/>
      <c r="S20" s="232"/>
      <c r="T20" s="232"/>
      <c r="U20" s="232"/>
      <c r="V20" s="232"/>
      <c r="W20" s="232"/>
      <c r="X20" s="232"/>
      <c r="Y20" s="232"/>
      <c r="Z20" s="232"/>
      <c r="AA20" s="232"/>
      <c r="AB20" s="232"/>
      <c r="AC20" s="232"/>
      <c r="AD20" s="232"/>
      <c r="AE20" s="232"/>
      <c r="AF20" s="232"/>
      <c r="AG20" s="232"/>
      <c r="AH20" s="232"/>
      <c r="AI20" s="232"/>
      <c r="AJ20" s="232"/>
      <c r="AK20" s="232"/>
      <c r="AL20" s="232"/>
      <c r="AM20" s="232"/>
      <c r="AN20" s="232"/>
      <c r="AO20" s="232"/>
      <c r="AP20" s="175">
        <f t="shared" si="23"/>
        <v>0</v>
      </c>
    </row>
    <row r="21" spans="2:42" s="175" customFormat="1" ht="26.25" thickBot="1">
      <c r="B21" s="115">
        <v>14</v>
      </c>
      <c r="C21" s="178" t="s">
        <v>25</v>
      </c>
      <c r="D21" s="179" t="s">
        <v>0</v>
      </c>
      <c r="E21" s="180">
        <v>39</v>
      </c>
      <c r="F21" s="104">
        <v>37000</v>
      </c>
      <c r="G21" s="104">
        <f t="shared" si="1"/>
        <v>7030</v>
      </c>
      <c r="H21" s="104">
        <f t="shared" si="2"/>
        <v>44030</v>
      </c>
      <c r="I21" s="104">
        <v>1000000</v>
      </c>
      <c r="J21" s="104">
        <f t="shared" si="3"/>
        <v>190000</v>
      </c>
      <c r="K21" s="104">
        <f t="shared" ref="K21:K36" si="24">+I21+J21</f>
        <v>1190000</v>
      </c>
      <c r="L21" s="104">
        <v>85441</v>
      </c>
      <c r="M21" s="104">
        <f t="shared" si="5"/>
        <v>16234</v>
      </c>
      <c r="N21" s="104">
        <f t="shared" si="6"/>
        <v>101675</v>
      </c>
      <c r="O21" s="102">
        <v>485000</v>
      </c>
      <c r="P21" s="102">
        <f t="shared" si="7"/>
        <v>92150</v>
      </c>
      <c r="Q21" s="102">
        <f t="shared" si="8"/>
        <v>577150</v>
      </c>
      <c r="R21" s="102">
        <v>200718</v>
      </c>
      <c r="S21" s="102">
        <f t="shared" si="9"/>
        <v>38136</v>
      </c>
      <c r="T21" s="102">
        <f t="shared" si="10"/>
        <v>238854</v>
      </c>
      <c r="U21" s="102">
        <v>200000</v>
      </c>
      <c r="V21" s="102">
        <f t="shared" si="11"/>
        <v>38000</v>
      </c>
      <c r="W21" s="102">
        <f t="shared" si="12"/>
        <v>238000</v>
      </c>
      <c r="X21" s="104">
        <f>ROUND((O21+R21+U21)/3,0)</f>
        <v>295239</v>
      </c>
      <c r="Y21" s="104">
        <f t="shared" si="13"/>
        <v>56095</v>
      </c>
      <c r="Z21" s="181">
        <f t="shared" si="14"/>
        <v>351334</v>
      </c>
      <c r="AA21" s="102">
        <f t="shared" si="15"/>
        <v>13702026</v>
      </c>
      <c r="AB21" s="176">
        <v>6</v>
      </c>
      <c r="AC21" s="182">
        <f t="shared" si="16"/>
        <v>2108004</v>
      </c>
      <c r="AD21" s="177">
        <v>5</v>
      </c>
      <c r="AE21" s="182">
        <f t="shared" si="17"/>
        <v>1756670</v>
      </c>
      <c r="AF21" s="177">
        <v>8</v>
      </c>
      <c r="AG21" s="182">
        <f t="shared" si="18"/>
        <v>2810672</v>
      </c>
      <c r="AH21" s="177">
        <v>6</v>
      </c>
      <c r="AI21" s="182">
        <f t="shared" si="19"/>
        <v>2108004</v>
      </c>
      <c r="AJ21" s="177">
        <v>3</v>
      </c>
      <c r="AK21" s="182">
        <f t="shared" si="20"/>
        <v>1054002</v>
      </c>
      <c r="AL21" s="177">
        <v>3</v>
      </c>
      <c r="AM21" s="182">
        <f t="shared" si="21"/>
        <v>1054002</v>
      </c>
      <c r="AN21" s="177">
        <v>8</v>
      </c>
      <c r="AO21" s="182">
        <f t="shared" si="22"/>
        <v>2810672</v>
      </c>
      <c r="AP21" s="175">
        <f t="shared" si="23"/>
        <v>39</v>
      </c>
    </row>
    <row r="22" spans="2:42" s="175" customFormat="1" ht="26.25" thickBot="1">
      <c r="B22" s="115">
        <v>15</v>
      </c>
      <c r="C22" s="178" t="s">
        <v>26</v>
      </c>
      <c r="D22" s="179" t="s">
        <v>1</v>
      </c>
      <c r="E22" s="180">
        <v>124</v>
      </c>
      <c r="F22" s="102">
        <v>23000</v>
      </c>
      <c r="G22" s="102">
        <f t="shared" si="1"/>
        <v>4370</v>
      </c>
      <c r="H22" s="102">
        <f t="shared" si="2"/>
        <v>27370</v>
      </c>
      <c r="I22" s="104">
        <v>15000</v>
      </c>
      <c r="J22" s="102">
        <f t="shared" si="3"/>
        <v>2850</v>
      </c>
      <c r="K22" s="102">
        <f t="shared" si="24"/>
        <v>17850</v>
      </c>
      <c r="L22" s="104">
        <v>143165</v>
      </c>
      <c r="M22" s="104">
        <f t="shared" si="5"/>
        <v>27201</v>
      </c>
      <c r="N22" s="104">
        <f t="shared" si="6"/>
        <v>170366</v>
      </c>
      <c r="O22" s="102">
        <v>26500</v>
      </c>
      <c r="P22" s="102">
        <f t="shared" si="7"/>
        <v>5035</v>
      </c>
      <c r="Q22" s="102">
        <f t="shared" si="8"/>
        <v>31535</v>
      </c>
      <c r="R22" s="102">
        <v>25760</v>
      </c>
      <c r="S22" s="102">
        <f t="shared" si="9"/>
        <v>4894</v>
      </c>
      <c r="T22" s="102">
        <f t="shared" si="10"/>
        <v>30654</v>
      </c>
      <c r="U22" s="102">
        <v>21700</v>
      </c>
      <c r="V22" s="102">
        <f t="shared" si="11"/>
        <v>4123</v>
      </c>
      <c r="W22" s="102">
        <f t="shared" si="12"/>
        <v>25823</v>
      </c>
      <c r="X22" s="104">
        <f t="shared" ref="X22:X27" si="25">ROUND((F22+I22+O22+R22+U22)/5,0)</f>
        <v>22392</v>
      </c>
      <c r="Y22" s="104">
        <f t="shared" si="13"/>
        <v>4254</v>
      </c>
      <c r="Z22" s="181">
        <f>+X22+Y22</f>
        <v>26646</v>
      </c>
      <c r="AA22" s="102">
        <f t="shared" si="15"/>
        <v>3304104</v>
      </c>
      <c r="AB22" s="176">
        <v>20</v>
      </c>
      <c r="AC22" s="173">
        <f t="shared" si="16"/>
        <v>532920</v>
      </c>
      <c r="AD22" s="177">
        <v>8</v>
      </c>
      <c r="AE22" s="173">
        <f t="shared" si="17"/>
        <v>213168</v>
      </c>
      <c r="AF22" s="177">
        <f>12+16</f>
        <v>28</v>
      </c>
      <c r="AG22" s="173">
        <f t="shared" si="18"/>
        <v>746088</v>
      </c>
      <c r="AH22" s="177">
        <v>16</v>
      </c>
      <c r="AI22" s="173">
        <f t="shared" si="19"/>
        <v>426336</v>
      </c>
      <c r="AJ22" s="177">
        <v>16</v>
      </c>
      <c r="AK22" s="173">
        <f t="shared" si="20"/>
        <v>426336</v>
      </c>
      <c r="AL22" s="177">
        <v>12</v>
      </c>
      <c r="AM22" s="173">
        <f t="shared" si="21"/>
        <v>319752</v>
      </c>
      <c r="AN22" s="177">
        <v>24</v>
      </c>
      <c r="AO22" s="173">
        <f t="shared" si="22"/>
        <v>639504</v>
      </c>
      <c r="AP22" s="175">
        <f t="shared" si="23"/>
        <v>124</v>
      </c>
    </row>
    <row r="23" spans="2:42" s="175" customFormat="1" ht="26.25" thickBot="1">
      <c r="B23" s="115">
        <v>16</v>
      </c>
      <c r="C23" s="178" t="s">
        <v>27</v>
      </c>
      <c r="D23" s="179" t="s">
        <v>1</v>
      </c>
      <c r="E23" s="180">
        <v>381</v>
      </c>
      <c r="F23" s="102">
        <v>29000</v>
      </c>
      <c r="G23" s="102">
        <f t="shared" si="1"/>
        <v>5510</v>
      </c>
      <c r="H23" s="102">
        <f t="shared" si="2"/>
        <v>34510</v>
      </c>
      <c r="I23" s="104">
        <v>15000</v>
      </c>
      <c r="J23" s="102">
        <f t="shared" si="3"/>
        <v>2850</v>
      </c>
      <c r="K23" s="102">
        <f t="shared" si="24"/>
        <v>17850</v>
      </c>
      <c r="L23" s="104">
        <v>144097</v>
      </c>
      <c r="M23" s="104">
        <f t="shared" si="5"/>
        <v>27378</v>
      </c>
      <c r="N23" s="104">
        <f t="shared" si="6"/>
        <v>171475</v>
      </c>
      <c r="O23" s="102">
        <v>38500</v>
      </c>
      <c r="P23" s="102">
        <f t="shared" si="7"/>
        <v>7315</v>
      </c>
      <c r="Q23" s="102">
        <f t="shared" si="8"/>
        <v>45815</v>
      </c>
      <c r="R23" s="102">
        <v>59885</v>
      </c>
      <c r="S23" s="102">
        <f t="shared" si="9"/>
        <v>11378</v>
      </c>
      <c r="T23" s="102">
        <f t="shared" si="10"/>
        <v>71263</v>
      </c>
      <c r="U23" s="102">
        <v>29900</v>
      </c>
      <c r="V23" s="102">
        <f t="shared" si="11"/>
        <v>5681</v>
      </c>
      <c r="W23" s="102">
        <f t="shared" si="12"/>
        <v>35581</v>
      </c>
      <c r="X23" s="104">
        <f t="shared" si="25"/>
        <v>34457</v>
      </c>
      <c r="Y23" s="104">
        <f t="shared" si="13"/>
        <v>6547</v>
      </c>
      <c r="Z23" s="181">
        <f t="shared" si="14"/>
        <v>41004</v>
      </c>
      <c r="AA23" s="102">
        <f t="shared" si="15"/>
        <v>15622524</v>
      </c>
      <c r="AB23" s="176">
        <v>73</v>
      </c>
      <c r="AC23" s="173">
        <f t="shared" si="16"/>
        <v>2993292</v>
      </c>
      <c r="AD23" s="177">
        <v>98</v>
      </c>
      <c r="AE23" s="173">
        <f t="shared" si="17"/>
        <v>4018392</v>
      </c>
      <c r="AF23" s="177">
        <v>59</v>
      </c>
      <c r="AG23" s="173">
        <f t="shared" si="18"/>
        <v>2419236</v>
      </c>
      <c r="AH23" s="177">
        <f>8+4+34</f>
        <v>46</v>
      </c>
      <c r="AI23" s="173">
        <f t="shared" si="19"/>
        <v>1886184</v>
      </c>
      <c r="AJ23" s="177">
        <v>35</v>
      </c>
      <c r="AK23" s="173">
        <f t="shared" si="20"/>
        <v>1435140</v>
      </c>
      <c r="AL23" s="177">
        <v>30</v>
      </c>
      <c r="AM23" s="173">
        <f t="shared" si="21"/>
        <v>1230120</v>
      </c>
      <c r="AN23" s="177">
        <v>40</v>
      </c>
      <c r="AO23" s="173">
        <f t="shared" si="22"/>
        <v>1640160</v>
      </c>
      <c r="AP23" s="175">
        <f t="shared" si="23"/>
        <v>381</v>
      </c>
    </row>
    <row r="24" spans="2:42" s="175" customFormat="1" ht="26.25" thickBot="1">
      <c r="B24" s="115">
        <v>17</v>
      </c>
      <c r="C24" s="178" t="s">
        <v>8</v>
      </c>
      <c r="D24" s="179" t="s">
        <v>1</v>
      </c>
      <c r="E24" s="180">
        <v>104</v>
      </c>
      <c r="F24" s="102">
        <v>36000</v>
      </c>
      <c r="G24" s="102">
        <f t="shared" si="1"/>
        <v>6840</v>
      </c>
      <c r="H24" s="102">
        <f t="shared" si="2"/>
        <v>42840</v>
      </c>
      <c r="I24" s="104">
        <v>23000</v>
      </c>
      <c r="J24" s="102">
        <f t="shared" si="3"/>
        <v>4370</v>
      </c>
      <c r="K24" s="102">
        <f t="shared" si="24"/>
        <v>27370</v>
      </c>
      <c r="L24" s="104">
        <v>211954</v>
      </c>
      <c r="M24" s="104">
        <f t="shared" si="5"/>
        <v>40271</v>
      </c>
      <c r="N24" s="104">
        <f t="shared" si="6"/>
        <v>252225</v>
      </c>
      <c r="O24" s="102">
        <v>45500</v>
      </c>
      <c r="P24" s="102">
        <f t="shared" si="7"/>
        <v>8645</v>
      </c>
      <c r="Q24" s="102">
        <f t="shared" si="8"/>
        <v>54145</v>
      </c>
      <c r="R24" s="102">
        <v>80979</v>
      </c>
      <c r="S24" s="102">
        <f t="shared" si="9"/>
        <v>15386</v>
      </c>
      <c r="T24" s="102">
        <f t="shared" si="10"/>
        <v>96365</v>
      </c>
      <c r="U24" s="102">
        <v>39000</v>
      </c>
      <c r="V24" s="102">
        <f t="shared" si="11"/>
        <v>7410</v>
      </c>
      <c r="W24" s="102">
        <f t="shared" si="12"/>
        <v>46410</v>
      </c>
      <c r="X24" s="104">
        <f t="shared" si="25"/>
        <v>44896</v>
      </c>
      <c r="Y24" s="104">
        <f t="shared" si="13"/>
        <v>8530</v>
      </c>
      <c r="Z24" s="181">
        <f t="shared" si="14"/>
        <v>53426</v>
      </c>
      <c r="AA24" s="102">
        <f t="shared" si="15"/>
        <v>5556304</v>
      </c>
      <c r="AB24" s="176"/>
      <c r="AC24" s="173">
        <f t="shared" si="16"/>
        <v>0</v>
      </c>
      <c r="AD24" s="177">
        <v>8</v>
      </c>
      <c r="AE24" s="173">
        <f t="shared" si="17"/>
        <v>427408</v>
      </c>
      <c r="AF24" s="177">
        <v>28</v>
      </c>
      <c r="AG24" s="173">
        <f t="shared" si="18"/>
        <v>1495928</v>
      </c>
      <c r="AH24" s="177">
        <v>16</v>
      </c>
      <c r="AI24" s="173">
        <f t="shared" si="19"/>
        <v>854816</v>
      </c>
      <c r="AJ24" s="177">
        <v>16</v>
      </c>
      <c r="AK24" s="173">
        <f t="shared" si="20"/>
        <v>854816</v>
      </c>
      <c r="AL24" s="177">
        <v>12</v>
      </c>
      <c r="AM24" s="173">
        <f t="shared" si="21"/>
        <v>641112</v>
      </c>
      <c r="AN24" s="177">
        <v>24</v>
      </c>
      <c r="AO24" s="173">
        <f t="shared" si="22"/>
        <v>1282224</v>
      </c>
      <c r="AP24" s="175">
        <f t="shared" si="23"/>
        <v>104</v>
      </c>
    </row>
    <row r="25" spans="2:42" s="175" customFormat="1" ht="26.25" thickBot="1">
      <c r="B25" s="115">
        <v>18</v>
      </c>
      <c r="C25" s="178" t="s">
        <v>28</v>
      </c>
      <c r="D25" s="179" t="s">
        <v>1</v>
      </c>
      <c r="E25" s="180">
        <v>62</v>
      </c>
      <c r="F25" s="102">
        <v>41000</v>
      </c>
      <c r="G25" s="102">
        <f t="shared" si="1"/>
        <v>7790</v>
      </c>
      <c r="H25" s="102">
        <f t="shared" si="2"/>
        <v>48790</v>
      </c>
      <c r="I25" s="104">
        <v>33000</v>
      </c>
      <c r="J25" s="102">
        <f t="shared" si="3"/>
        <v>6270</v>
      </c>
      <c r="K25" s="102">
        <f t="shared" si="24"/>
        <v>39270</v>
      </c>
      <c r="L25" s="104">
        <v>246681</v>
      </c>
      <c r="M25" s="104">
        <f t="shared" si="5"/>
        <v>46869</v>
      </c>
      <c r="N25" s="104">
        <f t="shared" si="6"/>
        <v>293550</v>
      </c>
      <c r="O25" s="102">
        <v>52100</v>
      </c>
      <c r="P25" s="102">
        <f t="shared" si="7"/>
        <v>9899</v>
      </c>
      <c r="Q25" s="102">
        <f t="shared" si="8"/>
        <v>61999</v>
      </c>
      <c r="R25" s="102">
        <v>93888</v>
      </c>
      <c r="S25" s="102">
        <f t="shared" si="9"/>
        <v>17839</v>
      </c>
      <c r="T25" s="102">
        <f t="shared" si="10"/>
        <v>111727</v>
      </c>
      <c r="U25" s="102">
        <v>54700</v>
      </c>
      <c r="V25" s="102">
        <f t="shared" si="11"/>
        <v>10393</v>
      </c>
      <c r="W25" s="102">
        <f t="shared" si="12"/>
        <v>65093</v>
      </c>
      <c r="X25" s="104">
        <f t="shared" si="25"/>
        <v>54938</v>
      </c>
      <c r="Y25" s="104">
        <f t="shared" si="13"/>
        <v>10438</v>
      </c>
      <c r="Z25" s="181">
        <f t="shared" si="14"/>
        <v>65376</v>
      </c>
      <c r="AA25" s="102">
        <f t="shared" si="15"/>
        <v>4053312</v>
      </c>
      <c r="AB25" s="176">
        <v>14</v>
      </c>
      <c r="AC25" s="173">
        <f t="shared" si="16"/>
        <v>915264</v>
      </c>
      <c r="AD25" s="177">
        <v>28</v>
      </c>
      <c r="AE25" s="173">
        <f t="shared" si="17"/>
        <v>1830528</v>
      </c>
      <c r="AF25" s="177">
        <v>8</v>
      </c>
      <c r="AG25" s="173">
        <f t="shared" si="18"/>
        <v>523008</v>
      </c>
      <c r="AH25" s="177">
        <v>12</v>
      </c>
      <c r="AI25" s="173">
        <f t="shared" si="19"/>
        <v>784512</v>
      </c>
      <c r="AJ25" s="177"/>
      <c r="AK25" s="173">
        <f t="shared" si="20"/>
        <v>0</v>
      </c>
      <c r="AL25" s="177"/>
      <c r="AM25" s="173">
        <f t="shared" si="21"/>
        <v>0</v>
      </c>
      <c r="AN25" s="177"/>
      <c r="AO25" s="173">
        <f t="shared" si="22"/>
        <v>0</v>
      </c>
      <c r="AP25" s="175">
        <f t="shared" si="23"/>
        <v>62</v>
      </c>
    </row>
    <row r="26" spans="2:42" s="175" customFormat="1" ht="26.25" thickBot="1">
      <c r="B26" s="115">
        <v>19</v>
      </c>
      <c r="C26" s="178" t="s">
        <v>29</v>
      </c>
      <c r="D26" s="179" t="s">
        <v>1</v>
      </c>
      <c r="E26" s="180">
        <v>65</v>
      </c>
      <c r="F26" s="102">
        <v>49000</v>
      </c>
      <c r="G26" s="102">
        <f t="shared" si="1"/>
        <v>9310</v>
      </c>
      <c r="H26" s="102">
        <f t="shared" si="2"/>
        <v>58310</v>
      </c>
      <c r="I26" s="102">
        <v>53000</v>
      </c>
      <c r="J26" s="102">
        <f t="shared" si="3"/>
        <v>10070</v>
      </c>
      <c r="K26" s="102">
        <f t="shared" si="24"/>
        <v>63070</v>
      </c>
      <c r="L26" s="104">
        <v>271454</v>
      </c>
      <c r="M26" s="104">
        <f t="shared" si="5"/>
        <v>51576</v>
      </c>
      <c r="N26" s="104">
        <f t="shared" si="6"/>
        <v>323030</v>
      </c>
      <c r="O26" s="102">
        <v>58500</v>
      </c>
      <c r="P26" s="102">
        <f t="shared" si="7"/>
        <v>11115</v>
      </c>
      <c r="Q26" s="102">
        <f t="shared" si="8"/>
        <v>69615</v>
      </c>
      <c r="R26" s="102">
        <v>121257</v>
      </c>
      <c r="S26" s="102">
        <f t="shared" si="9"/>
        <v>23039</v>
      </c>
      <c r="T26" s="102">
        <f t="shared" si="10"/>
        <v>144296</v>
      </c>
      <c r="U26" s="102">
        <v>67000</v>
      </c>
      <c r="V26" s="102">
        <f t="shared" si="11"/>
        <v>12730</v>
      </c>
      <c r="W26" s="102">
        <f t="shared" si="12"/>
        <v>79730</v>
      </c>
      <c r="X26" s="104">
        <f t="shared" si="25"/>
        <v>69751</v>
      </c>
      <c r="Y26" s="104">
        <f t="shared" si="13"/>
        <v>13253</v>
      </c>
      <c r="Z26" s="181">
        <f t="shared" si="14"/>
        <v>83004</v>
      </c>
      <c r="AA26" s="102">
        <f t="shared" si="15"/>
        <v>5395260</v>
      </c>
      <c r="AB26" s="176"/>
      <c r="AC26" s="173">
        <f t="shared" si="16"/>
        <v>0</v>
      </c>
      <c r="AD26" s="177"/>
      <c r="AE26" s="173">
        <f t="shared" si="17"/>
        <v>0</v>
      </c>
      <c r="AF26" s="177"/>
      <c r="AG26" s="173">
        <f t="shared" si="18"/>
        <v>0</v>
      </c>
      <c r="AH26" s="177"/>
      <c r="AI26" s="173">
        <f t="shared" si="19"/>
        <v>0</v>
      </c>
      <c r="AJ26" s="177">
        <v>35</v>
      </c>
      <c r="AK26" s="173">
        <f t="shared" si="20"/>
        <v>2905140</v>
      </c>
      <c r="AL26" s="177">
        <v>30</v>
      </c>
      <c r="AM26" s="173">
        <f t="shared" si="21"/>
        <v>2490120</v>
      </c>
      <c r="AN26" s="177"/>
      <c r="AO26" s="173">
        <f t="shared" si="22"/>
        <v>0</v>
      </c>
      <c r="AP26" s="175">
        <f t="shared" si="23"/>
        <v>65</v>
      </c>
    </row>
    <row r="27" spans="2:42" s="175" customFormat="1" ht="26.25" thickBot="1">
      <c r="B27" s="115">
        <v>20</v>
      </c>
      <c r="C27" s="178" t="s">
        <v>30</v>
      </c>
      <c r="D27" s="179" t="s">
        <v>1</v>
      </c>
      <c r="E27" s="180">
        <v>240</v>
      </c>
      <c r="F27" s="102">
        <v>61000</v>
      </c>
      <c r="G27" s="102">
        <f t="shared" si="1"/>
        <v>11590</v>
      </c>
      <c r="H27" s="102">
        <f t="shared" si="2"/>
        <v>72590</v>
      </c>
      <c r="I27" s="104">
        <v>55000</v>
      </c>
      <c r="J27" s="102">
        <f t="shared" si="3"/>
        <v>10450</v>
      </c>
      <c r="K27" s="102">
        <f t="shared" si="24"/>
        <v>65450</v>
      </c>
      <c r="L27" s="104">
        <v>404748</v>
      </c>
      <c r="M27" s="104">
        <f t="shared" si="5"/>
        <v>76902</v>
      </c>
      <c r="N27" s="104">
        <f t="shared" si="6"/>
        <v>481650</v>
      </c>
      <c r="O27" s="102">
        <v>67500</v>
      </c>
      <c r="P27" s="102">
        <f t="shared" si="7"/>
        <v>12825</v>
      </c>
      <c r="Q27" s="102">
        <f t="shared" si="8"/>
        <v>80325</v>
      </c>
      <c r="R27" s="102">
        <v>87517</v>
      </c>
      <c r="S27" s="102">
        <f t="shared" si="9"/>
        <v>16628</v>
      </c>
      <c r="T27" s="102">
        <f t="shared" si="10"/>
        <v>104145</v>
      </c>
      <c r="U27" s="102">
        <v>71500</v>
      </c>
      <c r="V27" s="102">
        <f t="shared" si="11"/>
        <v>13585</v>
      </c>
      <c r="W27" s="102">
        <f t="shared" si="12"/>
        <v>85085</v>
      </c>
      <c r="X27" s="104">
        <f t="shared" si="25"/>
        <v>68503</v>
      </c>
      <c r="Y27" s="104">
        <f>ROUND(X27*0.19,0)</f>
        <v>13016</v>
      </c>
      <c r="Z27" s="181">
        <f t="shared" si="14"/>
        <v>81519</v>
      </c>
      <c r="AA27" s="102">
        <f t="shared" si="15"/>
        <v>19564560</v>
      </c>
      <c r="AB27" s="176">
        <v>45</v>
      </c>
      <c r="AC27" s="173">
        <f t="shared" si="16"/>
        <v>3668355</v>
      </c>
      <c r="AD27" s="177">
        <v>70</v>
      </c>
      <c r="AE27" s="173">
        <f t="shared" si="17"/>
        <v>5706330</v>
      </c>
      <c r="AF27" s="177">
        <v>51</v>
      </c>
      <c r="AG27" s="173">
        <f t="shared" si="18"/>
        <v>4157469</v>
      </c>
      <c r="AH27" s="177">
        <v>34</v>
      </c>
      <c r="AI27" s="173">
        <f t="shared" si="19"/>
        <v>2771646</v>
      </c>
      <c r="AJ27" s="177"/>
      <c r="AK27" s="173">
        <f t="shared" si="20"/>
        <v>0</v>
      </c>
      <c r="AL27" s="177"/>
      <c r="AM27" s="173">
        <f t="shared" si="21"/>
        <v>0</v>
      </c>
      <c r="AN27" s="177">
        <v>40</v>
      </c>
      <c r="AO27" s="173">
        <f t="shared" si="22"/>
        <v>3260760</v>
      </c>
      <c r="AP27" s="175">
        <f t="shared" si="23"/>
        <v>240</v>
      </c>
    </row>
    <row r="28" spans="2:42" ht="16.5" thickBot="1">
      <c r="B28" s="2">
        <v>21</v>
      </c>
      <c r="C28" s="114" t="s">
        <v>9</v>
      </c>
      <c r="D28" s="6" t="s">
        <v>0</v>
      </c>
      <c r="E28" s="6">
        <v>124</v>
      </c>
      <c r="F28" s="102">
        <v>17000</v>
      </c>
      <c r="G28" s="103">
        <f t="shared" si="1"/>
        <v>3230</v>
      </c>
      <c r="H28" s="103">
        <f t="shared" si="2"/>
        <v>20230</v>
      </c>
      <c r="I28" s="102">
        <v>5000</v>
      </c>
      <c r="J28" s="103">
        <f t="shared" si="3"/>
        <v>950</v>
      </c>
      <c r="K28" s="103">
        <f t="shared" si="24"/>
        <v>5950</v>
      </c>
      <c r="L28" s="102">
        <v>7144</v>
      </c>
      <c r="M28" s="103">
        <f t="shared" si="5"/>
        <v>1357</v>
      </c>
      <c r="N28" s="103">
        <f t="shared" si="6"/>
        <v>8501</v>
      </c>
      <c r="O28" s="102">
        <v>9500</v>
      </c>
      <c r="P28" s="103">
        <f t="shared" si="7"/>
        <v>1805</v>
      </c>
      <c r="Q28" s="103">
        <f t="shared" si="8"/>
        <v>11305</v>
      </c>
      <c r="R28" s="104">
        <v>23337</v>
      </c>
      <c r="S28" s="103">
        <f t="shared" si="9"/>
        <v>4434</v>
      </c>
      <c r="T28" s="103">
        <f t="shared" si="10"/>
        <v>27771</v>
      </c>
      <c r="U28" s="104">
        <v>11500</v>
      </c>
      <c r="V28" s="103">
        <f t="shared" si="11"/>
        <v>2185</v>
      </c>
      <c r="W28" s="103">
        <f t="shared" si="12"/>
        <v>13685</v>
      </c>
      <c r="X28" s="105">
        <f t="shared" ref="X28:X33" si="26">ROUND((F28+I28+L28+O28+R28+U28)/6,0)</f>
        <v>12247</v>
      </c>
      <c r="Y28" s="105">
        <f>ROUND(X28*0.19,0)</f>
        <v>2327</v>
      </c>
      <c r="Z28" s="106">
        <f t="shared" si="14"/>
        <v>14574</v>
      </c>
      <c r="AA28" s="103">
        <f t="shared" si="15"/>
        <v>1807176</v>
      </c>
      <c r="AB28" s="101">
        <v>20</v>
      </c>
      <c r="AC28" s="99">
        <f>Z28*AB28</f>
        <v>291480</v>
      </c>
      <c r="AD28" s="55">
        <v>8</v>
      </c>
      <c r="AE28" s="99">
        <f t="shared" si="17"/>
        <v>116592</v>
      </c>
      <c r="AF28" s="55">
        <v>28</v>
      </c>
      <c r="AG28" s="99">
        <f t="shared" si="18"/>
        <v>408072</v>
      </c>
      <c r="AH28" s="55">
        <v>16</v>
      </c>
      <c r="AI28" s="99">
        <f t="shared" si="19"/>
        <v>233184</v>
      </c>
      <c r="AJ28" s="55">
        <v>16</v>
      </c>
      <c r="AK28" s="99">
        <f t="shared" si="20"/>
        <v>233184</v>
      </c>
      <c r="AL28" s="55">
        <v>12</v>
      </c>
      <c r="AM28" s="99">
        <f t="shared" si="21"/>
        <v>174888</v>
      </c>
      <c r="AN28" s="55">
        <v>24</v>
      </c>
      <c r="AO28" s="99">
        <f t="shared" si="22"/>
        <v>349776</v>
      </c>
      <c r="AP28" s="1">
        <f t="shared" si="23"/>
        <v>124</v>
      </c>
    </row>
    <row r="29" spans="2:42" ht="15.75" customHeight="1" thickBot="1">
      <c r="B29" s="2">
        <v>22</v>
      </c>
      <c r="C29" s="113" t="s">
        <v>10</v>
      </c>
      <c r="D29" s="9" t="s">
        <v>0</v>
      </c>
      <c r="E29" s="9">
        <v>381</v>
      </c>
      <c r="F29" s="102">
        <v>20000</v>
      </c>
      <c r="G29" s="103">
        <f t="shared" si="1"/>
        <v>3800</v>
      </c>
      <c r="H29" s="103">
        <f t="shared" si="2"/>
        <v>23800</v>
      </c>
      <c r="I29" s="102">
        <v>6000</v>
      </c>
      <c r="J29" s="103">
        <f t="shared" si="3"/>
        <v>1140</v>
      </c>
      <c r="K29" s="103">
        <f t="shared" si="24"/>
        <v>7140</v>
      </c>
      <c r="L29" s="102">
        <v>8303</v>
      </c>
      <c r="M29" s="103">
        <f t="shared" si="5"/>
        <v>1578</v>
      </c>
      <c r="N29" s="103">
        <f t="shared" si="6"/>
        <v>9881</v>
      </c>
      <c r="O29" s="102">
        <v>11500</v>
      </c>
      <c r="P29" s="103">
        <f t="shared" si="7"/>
        <v>2185</v>
      </c>
      <c r="Q29" s="103">
        <f t="shared" si="8"/>
        <v>13685</v>
      </c>
      <c r="R29" s="102">
        <v>32754</v>
      </c>
      <c r="S29" s="103">
        <f t="shared" si="9"/>
        <v>6223</v>
      </c>
      <c r="T29" s="103">
        <f t="shared" si="10"/>
        <v>38977</v>
      </c>
      <c r="U29" s="102">
        <v>10600</v>
      </c>
      <c r="V29" s="103">
        <f t="shared" si="11"/>
        <v>2014</v>
      </c>
      <c r="W29" s="103">
        <f t="shared" si="12"/>
        <v>12614</v>
      </c>
      <c r="X29" s="105">
        <f t="shared" si="26"/>
        <v>14860</v>
      </c>
      <c r="Y29" s="105">
        <f t="shared" si="13"/>
        <v>2823</v>
      </c>
      <c r="Z29" s="106">
        <f t="shared" si="14"/>
        <v>17683</v>
      </c>
      <c r="AA29" s="103">
        <f t="shared" si="15"/>
        <v>6737223</v>
      </c>
      <c r="AB29" s="101">
        <v>73</v>
      </c>
      <c r="AC29" s="99">
        <f t="shared" si="16"/>
        <v>1290859</v>
      </c>
      <c r="AD29" s="55">
        <v>98</v>
      </c>
      <c r="AE29" s="99">
        <f t="shared" si="17"/>
        <v>1732934</v>
      </c>
      <c r="AF29" s="55">
        <v>59</v>
      </c>
      <c r="AG29" s="99">
        <f t="shared" si="18"/>
        <v>1043297</v>
      </c>
      <c r="AH29" s="55">
        <v>46</v>
      </c>
      <c r="AI29" s="99">
        <f t="shared" si="19"/>
        <v>813418</v>
      </c>
      <c r="AJ29" s="55">
        <v>35</v>
      </c>
      <c r="AK29" s="99">
        <f t="shared" si="20"/>
        <v>618905</v>
      </c>
      <c r="AL29" s="55">
        <v>30</v>
      </c>
      <c r="AM29" s="99">
        <f t="shared" si="21"/>
        <v>530490</v>
      </c>
      <c r="AN29" s="55">
        <v>40</v>
      </c>
      <c r="AO29" s="99">
        <f t="shared" si="22"/>
        <v>707320</v>
      </c>
      <c r="AP29" s="1">
        <f t="shared" si="23"/>
        <v>381</v>
      </c>
    </row>
    <row r="30" spans="2:42" ht="16.5" thickBot="1">
      <c r="B30" s="2">
        <v>23</v>
      </c>
      <c r="C30" s="114" t="s">
        <v>11</v>
      </c>
      <c r="D30" s="6" t="s">
        <v>0</v>
      </c>
      <c r="E30" s="6">
        <v>104</v>
      </c>
      <c r="F30" s="102">
        <v>23000</v>
      </c>
      <c r="G30" s="103">
        <f t="shared" si="1"/>
        <v>4370</v>
      </c>
      <c r="H30" s="103">
        <f t="shared" si="2"/>
        <v>27370</v>
      </c>
      <c r="I30" s="102">
        <v>6300</v>
      </c>
      <c r="J30" s="103">
        <f t="shared" si="3"/>
        <v>1197</v>
      </c>
      <c r="K30" s="103">
        <f t="shared" si="24"/>
        <v>7497</v>
      </c>
      <c r="L30" s="102">
        <v>8702</v>
      </c>
      <c r="M30" s="103">
        <f t="shared" si="5"/>
        <v>1653</v>
      </c>
      <c r="N30" s="103">
        <f t="shared" si="6"/>
        <v>10355</v>
      </c>
      <c r="O30" s="102">
        <v>13500</v>
      </c>
      <c r="P30" s="103">
        <f t="shared" si="7"/>
        <v>2565</v>
      </c>
      <c r="Q30" s="103">
        <f t="shared" si="8"/>
        <v>16065</v>
      </c>
      <c r="R30" s="102">
        <v>31786</v>
      </c>
      <c r="S30" s="103">
        <f t="shared" si="9"/>
        <v>6039</v>
      </c>
      <c r="T30" s="103">
        <f t="shared" si="10"/>
        <v>37825</v>
      </c>
      <c r="U30" s="102">
        <v>12100</v>
      </c>
      <c r="V30" s="103">
        <f t="shared" si="11"/>
        <v>2299</v>
      </c>
      <c r="W30" s="103">
        <f t="shared" si="12"/>
        <v>14399</v>
      </c>
      <c r="X30" s="105">
        <f t="shared" si="26"/>
        <v>15898</v>
      </c>
      <c r="Y30" s="105">
        <f t="shared" si="13"/>
        <v>3021</v>
      </c>
      <c r="Z30" s="106">
        <f t="shared" si="14"/>
        <v>18919</v>
      </c>
      <c r="AA30" s="103">
        <f t="shared" si="15"/>
        <v>1967576</v>
      </c>
      <c r="AB30" s="101"/>
      <c r="AC30" s="99">
        <f t="shared" si="16"/>
        <v>0</v>
      </c>
      <c r="AD30" s="55">
        <v>8</v>
      </c>
      <c r="AE30" s="99">
        <f t="shared" si="17"/>
        <v>151352</v>
      </c>
      <c r="AF30" s="55">
        <v>28</v>
      </c>
      <c r="AG30" s="99">
        <f t="shared" si="18"/>
        <v>529732</v>
      </c>
      <c r="AH30" s="55">
        <v>16</v>
      </c>
      <c r="AI30" s="99">
        <f t="shared" si="19"/>
        <v>302704</v>
      </c>
      <c r="AJ30" s="55">
        <v>16</v>
      </c>
      <c r="AK30" s="99">
        <f t="shared" si="20"/>
        <v>302704</v>
      </c>
      <c r="AL30" s="55">
        <v>12</v>
      </c>
      <c r="AM30" s="99">
        <f t="shared" si="21"/>
        <v>227028</v>
      </c>
      <c r="AN30" s="55">
        <v>24</v>
      </c>
      <c r="AO30" s="99">
        <f t="shared" si="22"/>
        <v>454056</v>
      </c>
      <c r="AP30" s="1">
        <f t="shared" si="23"/>
        <v>104</v>
      </c>
    </row>
    <row r="31" spans="2:42" ht="16.5" thickBot="1">
      <c r="B31" s="2">
        <v>24</v>
      </c>
      <c r="C31" s="113" t="s">
        <v>12</v>
      </c>
      <c r="D31" s="9" t="s">
        <v>0</v>
      </c>
      <c r="E31" s="9">
        <v>62</v>
      </c>
      <c r="F31" s="102">
        <v>27000</v>
      </c>
      <c r="G31" s="103">
        <f t="shared" si="1"/>
        <v>5130</v>
      </c>
      <c r="H31" s="103">
        <f t="shared" si="2"/>
        <v>32130</v>
      </c>
      <c r="I31" s="102">
        <v>7300</v>
      </c>
      <c r="J31" s="103">
        <f t="shared" si="3"/>
        <v>1387</v>
      </c>
      <c r="K31" s="103">
        <f t="shared" si="24"/>
        <v>8687</v>
      </c>
      <c r="L31" s="102">
        <v>10059</v>
      </c>
      <c r="M31" s="103">
        <f t="shared" si="5"/>
        <v>1911</v>
      </c>
      <c r="N31" s="103">
        <f t="shared" si="6"/>
        <v>11970</v>
      </c>
      <c r="O31" s="102">
        <v>15100</v>
      </c>
      <c r="P31" s="103">
        <f t="shared" si="7"/>
        <v>2869</v>
      </c>
      <c r="Q31" s="103">
        <f t="shared" si="8"/>
        <v>17969</v>
      </c>
      <c r="R31" s="102">
        <v>31017</v>
      </c>
      <c r="S31" s="103">
        <f t="shared" si="9"/>
        <v>5893</v>
      </c>
      <c r="T31" s="103">
        <f t="shared" si="10"/>
        <v>36910</v>
      </c>
      <c r="U31" s="102">
        <v>13500</v>
      </c>
      <c r="V31" s="103">
        <f t="shared" si="11"/>
        <v>2565</v>
      </c>
      <c r="W31" s="103">
        <f t="shared" si="12"/>
        <v>16065</v>
      </c>
      <c r="X31" s="105">
        <f t="shared" si="26"/>
        <v>17329</v>
      </c>
      <c r="Y31" s="105">
        <f t="shared" si="13"/>
        <v>3293</v>
      </c>
      <c r="Z31" s="106">
        <f t="shared" si="14"/>
        <v>20622</v>
      </c>
      <c r="AA31" s="103">
        <f t="shared" si="15"/>
        <v>1278564</v>
      </c>
      <c r="AB31" s="101">
        <v>14</v>
      </c>
      <c r="AC31" s="99">
        <f t="shared" si="16"/>
        <v>288708</v>
      </c>
      <c r="AD31" s="55">
        <v>28</v>
      </c>
      <c r="AE31" s="99">
        <f t="shared" si="17"/>
        <v>577416</v>
      </c>
      <c r="AF31" s="55">
        <v>8</v>
      </c>
      <c r="AG31" s="99">
        <f t="shared" si="18"/>
        <v>164976</v>
      </c>
      <c r="AH31" s="55">
        <v>12</v>
      </c>
      <c r="AI31" s="99">
        <f t="shared" si="19"/>
        <v>247464</v>
      </c>
      <c r="AJ31" s="55"/>
      <c r="AK31" s="99">
        <f t="shared" si="20"/>
        <v>0</v>
      </c>
      <c r="AL31" s="55"/>
      <c r="AM31" s="99">
        <f t="shared" si="21"/>
        <v>0</v>
      </c>
      <c r="AN31" s="55"/>
      <c r="AO31" s="99">
        <f t="shared" si="22"/>
        <v>0</v>
      </c>
      <c r="AP31" s="1">
        <f t="shared" si="23"/>
        <v>62</v>
      </c>
    </row>
    <row r="32" spans="2:42" ht="16.5" thickBot="1">
      <c r="B32" s="2">
        <v>25</v>
      </c>
      <c r="C32" s="114" t="s">
        <v>13</v>
      </c>
      <c r="D32" s="6" t="s">
        <v>0</v>
      </c>
      <c r="E32" s="6">
        <v>65</v>
      </c>
      <c r="F32" s="102">
        <v>29000</v>
      </c>
      <c r="G32" s="103">
        <f t="shared" si="1"/>
        <v>5510</v>
      </c>
      <c r="H32" s="103">
        <f t="shared" si="2"/>
        <v>34510</v>
      </c>
      <c r="I32" s="102">
        <v>8200</v>
      </c>
      <c r="J32" s="103">
        <f t="shared" si="3"/>
        <v>1558</v>
      </c>
      <c r="K32" s="103">
        <f t="shared" si="24"/>
        <v>9758</v>
      </c>
      <c r="L32" s="102">
        <v>10093</v>
      </c>
      <c r="M32" s="103">
        <f t="shared" si="5"/>
        <v>1918</v>
      </c>
      <c r="N32" s="103">
        <f t="shared" si="6"/>
        <v>12011</v>
      </c>
      <c r="O32" s="102">
        <v>17500</v>
      </c>
      <c r="P32" s="103">
        <f t="shared" si="7"/>
        <v>3325</v>
      </c>
      <c r="Q32" s="103">
        <f t="shared" si="8"/>
        <v>20825</v>
      </c>
      <c r="R32" s="102">
        <v>43585</v>
      </c>
      <c r="S32" s="103">
        <f t="shared" si="9"/>
        <v>8281</v>
      </c>
      <c r="T32" s="103">
        <f t="shared" si="10"/>
        <v>51866</v>
      </c>
      <c r="U32" s="102">
        <v>13800</v>
      </c>
      <c r="V32" s="103">
        <f t="shared" si="11"/>
        <v>2622</v>
      </c>
      <c r="W32" s="103">
        <f t="shared" si="12"/>
        <v>16422</v>
      </c>
      <c r="X32" s="105">
        <f t="shared" si="26"/>
        <v>20363</v>
      </c>
      <c r="Y32" s="105">
        <f t="shared" si="13"/>
        <v>3869</v>
      </c>
      <c r="Z32" s="106">
        <f t="shared" si="14"/>
        <v>24232</v>
      </c>
      <c r="AA32" s="103">
        <f t="shared" si="15"/>
        <v>1575080</v>
      </c>
      <c r="AB32" s="101"/>
      <c r="AC32" s="99">
        <f t="shared" si="16"/>
        <v>0</v>
      </c>
      <c r="AD32" s="55"/>
      <c r="AE32" s="99">
        <f t="shared" si="17"/>
        <v>0</v>
      </c>
      <c r="AF32" s="55"/>
      <c r="AG32" s="99">
        <f t="shared" si="18"/>
        <v>0</v>
      </c>
      <c r="AH32" s="55"/>
      <c r="AI32" s="99">
        <f t="shared" si="19"/>
        <v>0</v>
      </c>
      <c r="AJ32" s="55">
        <v>35</v>
      </c>
      <c r="AK32" s="99">
        <f t="shared" si="20"/>
        <v>848120</v>
      </c>
      <c r="AL32" s="55">
        <v>30</v>
      </c>
      <c r="AM32" s="99">
        <f t="shared" si="21"/>
        <v>726960</v>
      </c>
      <c r="AN32" s="55"/>
      <c r="AO32" s="99">
        <f t="shared" si="22"/>
        <v>0</v>
      </c>
      <c r="AP32" s="1">
        <f t="shared" si="23"/>
        <v>65</v>
      </c>
    </row>
    <row r="33" spans="2:42" ht="16.5" thickBot="1">
      <c r="B33" s="2">
        <v>26</v>
      </c>
      <c r="C33" s="113" t="s">
        <v>14</v>
      </c>
      <c r="D33" s="9" t="s">
        <v>0</v>
      </c>
      <c r="E33" s="9">
        <v>240</v>
      </c>
      <c r="F33" s="102">
        <v>33000</v>
      </c>
      <c r="G33" s="103">
        <f t="shared" si="1"/>
        <v>6270</v>
      </c>
      <c r="H33" s="103">
        <f t="shared" si="2"/>
        <v>39270</v>
      </c>
      <c r="I33" s="102">
        <v>8500</v>
      </c>
      <c r="J33" s="103">
        <f t="shared" si="3"/>
        <v>1615</v>
      </c>
      <c r="K33" s="103">
        <f t="shared" si="24"/>
        <v>10115</v>
      </c>
      <c r="L33" s="102">
        <v>10378</v>
      </c>
      <c r="M33" s="103">
        <f t="shared" si="5"/>
        <v>1972</v>
      </c>
      <c r="N33" s="103">
        <f t="shared" si="6"/>
        <v>12350</v>
      </c>
      <c r="O33" s="102">
        <v>18500</v>
      </c>
      <c r="P33" s="103">
        <f t="shared" si="7"/>
        <v>3515</v>
      </c>
      <c r="Q33" s="103">
        <f t="shared" si="8"/>
        <v>22015</v>
      </c>
      <c r="R33" s="102">
        <v>54600</v>
      </c>
      <c r="S33" s="103">
        <f t="shared" si="9"/>
        <v>10374</v>
      </c>
      <c r="T33" s="103">
        <f t="shared" si="10"/>
        <v>64974</v>
      </c>
      <c r="U33" s="102">
        <v>16000</v>
      </c>
      <c r="V33" s="103">
        <f t="shared" si="11"/>
        <v>3040</v>
      </c>
      <c r="W33" s="103">
        <f t="shared" si="12"/>
        <v>19040</v>
      </c>
      <c r="X33" s="105">
        <f t="shared" si="26"/>
        <v>23496</v>
      </c>
      <c r="Y33" s="105">
        <f t="shared" si="13"/>
        <v>4464</v>
      </c>
      <c r="Z33" s="106">
        <f t="shared" si="14"/>
        <v>27960</v>
      </c>
      <c r="AA33" s="103">
        <f t="shared" si="15"/>
        <v>6710400</v>
      </c>
      <c r="AB33" s="101">
        <v>45</v>
      </c>
      <c r="AC33" s="99">
        <f t="shared" si="16"/>
        <v>1258200</v>
      </c>
      <c r="AD33" s="55">
        <v>70</v>
      </c>
      <c r="AE33" s="99">
        <f t="shared" si="17"/>
        <v>1957200</v>
      </c>
      <c r="AF33" s="55">
        <v>51</v>
      </c>
      <c r="AG33" s="99">
        <f t="shared" si="18"/>
        <v>1425960</v>
      </c>
      <c r="AH33" s="55">
        <v>34</v>
      </c>
      <c r="AI33" s="99">
        <f t="shared" si="19"/>
        <v>950640</v>
      </c>
      <c r="AJ33" s="55"/>
      <c r="AK33" s="99">
        <f t="shared" si="20"/>
        <v>0</v>
      </c>
      <c r="AL33" s="55"/>
      <c r="AM33" s="99">
        <f t="shared" si="21"/>
        <v>0</v>
      </c>
      <c r="AN33" s="55">
        <v>40</v>
      </c>
      <c r="AO33" s="99">
        <f t="shared" si="22"/>
        <v>1118400</v>
      </c>
      <c r="AP33" s="1">
        <f t="shared" si="23"/>
        <v>240</v>
      </c>
    </row>
    <row r="34" spans="2:42" ht="15.75" customHeight="1" thickBot="1">
      <c r="B34" s="2">
        <v>27</v>
      </c>
      <c r="C34" s="114" t="s">
        <v>2</v>
      </c>
      <c r="D34" s="6" t="s">
        <v>1</v>
      </c>
      <c r="E34" s="6">
        <v>528</v>
      </c>
      <c r="F34" s="102">
        <v>17000</v>
      </c>
      <c r="G34" s="103">
        <f t="shared" si="1"/>
        <v>3230</v>
      </c>
      <c r="H34" s="103">
        <f t="shared" si="2"/>
        <v>20230</v>
      </c>
      <c r="I34" s="107">
        <v>200000</v>
      </c>
      <c r="J34" s="107">
        <f t="shared" si="3"/>
        <v>38000</v>
      </c>
      <c r="K34" s="107">
        <f t="shared" si="24"/>
        <v>238000</v>
      </c>
      <c r="L34" s="104">
        <v>3705</v>
      </c>
      <c r="M34" s="103">
        <f t="shared" si="5"/>
        <v>704</v>
      </c>
      <c r="N34" s="103">
        <f t="shared" si="6"/>
        <v>4409</v>
      </c>
      <c r="O34" s="104">
        <v>12500</v>
      </c>
      <c r="P34" s="103">
        <f t="shared" si="7"/>
        <v>2375</v>
      </c>
      <c r="Q34" s="103">
        <f t="shared" si="8"/>
        <v>14875</v>
      </c>
      <c r="R34" s="104">
        <v>36000</v>
      </c>
      <c r="S34" s="103">
        <f t="shared" si="9"/>
        <v>6840</v>
      </c>
      <c r="T34" s="103">
        <f t="shared" si="10"/>
        <v>42840</v>
      </c>
      <c r="U34" s="102">
        <v>0</v>
      </c>
      <c r="V34" s="103">
        <f t="shared" si="11"/>
        <v>0</v>
      </c>
      <c r="W34" s="103">
        <f t="shared" si="12"/>
        <v>0</v>
      </c>
      <c r="X34" s="104">
        <f>ROUND((F34+L34+O34+R34)/4,0)</f>
        <v>17301</v>
      </c>
      <c r="Y34" s="105">
        <f t="shared" si="13"/>
        <v>3287</v>
      </c>
      <c r="Z34" s="106">
        <f t="shared" si="14"/>
        <v>20588</v>
      </c>
      <c r="AA34" s="103">
        <f t="shared" si="15"/>
        <v>10870464</v>
      </c>
      <c r="AB34" s="101">
        <v>73</v>
      </c>
      <c r="AC34" s="99">
        <f t="shared" si="16"/>
        <v>1502924</v>
      </c>
      <c r="AD34" s="55">
        <v>100</v>
      </c>
      <c r="AE34" s="99">
        <f t="shared" si="17"/>
        <v>2058800</v>
      </c>
      <c r="AF34" s="55">
        <v>96</v>
      </c>
      <c r="AG34" s="99">
        <f t="shared" si="18"/>
        <v>1976448</v>
      </c>
      <c r="AH34" s="55">
        <v>69</v>
      </c>
      <c r="AI34" s="99">
        <f t="shared" si="19"/>
        <v>1420572</v>
      </c>
      <c r="AJ34" s="55">
        <v>55</v>
      </c>
      <c r="AK34" s="99">
        <f t="shared" si="20"/>
        <v>1132340</v>
      </c>
      <c r="AL34" s="55">
        <v>50</v>
      </c>
      <c r="AM34" s="99">
        <f t="shared" si="21"/>
        <v>1029400</v>
      </c>
      <c r="AN34" s="55">
        <v>85</v>
      </c>
      <c r="AO34" s="99">
        <f t="shared" si="22"/>
        <v>1749980</v>
      </c>
      <c r="AP34" s="1">
        <f t="shared" si="23"/>
        <v>528</v>
      </c>
    </row>
    <row r="35" spans="2:42" ht="26.25" thickBot="1">
      <c r="B35" s="2">
        <v>28</v>
      </c>
      <c r="C35" s="113" t="s">
        <v>15</v>
      </c>
      <c r="D35" s="9" t="s">
        <v>1</v>
      </c>
      <c r="E35" s="9">
        <v>161</v>
      </c>
      <c r="F35" s="102">
        <v>15000</v>
      </c>
      <c r="G35" s="103">
        <f t="shared" si="1"/>
        <v>2850</v>
      </c>
      <c r="H35" s="103">
        <f t="shared" si="2"/>
        <v>17850</v>
      </c>
      <c r="I35" s="107">
        <v>100000</v>
      </c>
      <c r="J35" s="107">
        <f t="shared" si="3"/>
        <v>19000</v>
      </c>
      <c r="K35" s="107">
        <f t="shared" si="24"/>
        <v>119000</v>
      </c>
      <c r="L35" s="102">
        <v>6080</v>
      </c>
      <c r="M35" s="103">
        <f t="shared" si="5"/>
        <v>1155</v>
      </c>
      <c r="N35" s="103">
        <f t="shared" si="6"/>
        <v>7235</v>
      </c>
      <c r="O35" s="102">
        <v>24500</v>
      </c>
      <c r="P35" s="103">
        <f t="shared" si="7"/>
        <v>4655</v>
      </c>
      <c r="Q35" s="103">
        <f t="shared" si="8"/>
        <v>29155</v>
      </c>
      <c r="R35" s="107">
        <v>92400</v>
      </c>
      <c r="S35" s="107">
        <f t="shared" si="9"/>
        <v>17556</v>
      </c>
      <c r="T35" s="107">
        <f t="shared" si="10"/>
        <v>109956</v>
      </c>
      <c r="U35" s="102">
        <v>0</v>
      </c>
      <c r="V35" s="103">
        <f t="shared" si="11"/>
        <v>0</v>
      </c>
      <c r="W35" s="103">
        <f t="shared" si="12"/>
        <v>0</v>
      </c>
      <c r="X35" s="104">
        <f>ROUND((F35+L35+O35)/3,0)</f>
        <v>15193</v>
      </c>
      <c r="Y35" s="105">
        <f>ROUND(X35*0.19,0)</f>
        <v>2887</v>
      </c>
      <c r="Z35" s="106">
        <f t="shared" si="14"/>
        <v>18080</v>
      </c>
      <c r="AA35" s="103">
        <f t="shared" si="15"/>
        <v>2910880</v>
      </c>
      <c r="AB35" s="101">
        <v>26</v>
      </c>
      <c r="AC35" s="99">
        <f t="shared" si="16"/>
        <v>470080</v>
      </c>
      <c r="AD35" s="55">
        <v>21</v>
      </c>
      <c r="AE35" s="99">
        <f t="shared" si="17"/>
        <v>379680</v>
      </c>
      <c r="AF35" s="55">
        <v>30</v>
      </c>
      <c r="AG35" s="99">
        <f t="shared" si="18"/>
        <v>542400</v>
      </c>
      <c r="AH35" s="55">
        <v>24</v>
      </c>
      <c r="AI35" s="99">
        <f t="shared" si="19"/>
        <v>433920</v>
      </c>
      <c r="AJ35" s="55">
        <v>15</v>
      </c>
      <c r="AK35" s="99">
        <f t="shared" si="20"/>
        <v>271200</v>
      </c>
      <c r="AL35" s="55">
        <v>15</v>
      </c>
      <c r="AM35" s="99">
        <f t="shared" si="21"/>
        <v>271200</v>
      </c>
      <c r="AN35" s="55">
        <v>30</v>
      </c>
      <c r="AO35" s="99">
        <f t="shared" si="22"/>
        <v>542400</v>
      </c>
      <c r="AP35" s="1">
        <f t="shared" si="23"/>
        <v>161</v>
      </c>
    </row>
    <row r="36" spans="2:42" ht="16.5" thickBot="1">
      <c r="B36" s="2">
        <v>29</v>
      </c>
      <c r="C36" s="113" t="s">
        <v>7</v>
      </c>
      <c r="D36" s="21" t="s">
        <v>0</v>
      </c>
      <c r="E36" s="27">
        <v>54</v>
      </c>
      <c r="F36" s="103">
        <v>150000</v>
      </c>
      <c r="G36" s="103">
        <f t="shared" si="1"/>
        <v>28500</v>
      </c>
      <c r="H36" s="103">
        <f t="shared" si="2"/>
        <v>178500</v>
      </c>
      <c r="I36" s="103">
        <v>120000</v>
      </c>
      <c r="J36" s="103">
        <f>ROUND(I36*0.19,0)</f>
        <v>22800</v>
      </c>
      <c r="K36" s="103">
        <f t="shared" si="24"/>
        <v>142800</v>
      </c>
      <c r="L36" s="103">
        <v>112354</v>
      </c>
      <c r="M36" s="103">
        <f t="shared" si="5"/>
        <v>21347</v>
      </c>
      <c r="N36" s="103">
        <f t="shared" si="6"/>
        <v>133701</v>
      </c>
      <c r="O36" s="102">
        <v>45000</v>
      </c>
      <c r="P36" s="103">
        <f t="shared" si="7"/>
        <v>8550</v>
      </c>
      <c r="Q36" s="108">
        <f t="shared" si="8"/>
        <v>53550</v>
      </c>
      <c r="R36" s="109">
        <v>250000</v>
      </c>
      <c r="S36" s="109">
        <f t="shared" si="9"/>
        <v>47500</v>
      </c>
      <c r="T36" s="109">
        <f t="shared" si="10"/>
        <v>297500</v>
      </c>
      <c r="U36" s="102">
        <v>0</v>
      </c>
      <c r="V36" s="109">
        <f t="shared" si="11"/>
        <v>0</v>
      </c>
      <c r="W36" s="109">
        <f t="shared" si="12"/>
        <v>0</v>
      </c>
      <c r="X36" s="110">
        <f>ROUND((F36+I36+L36+O36+R36)/5,0)</f>
        <v>135471</v>
      </c>
      <c r="Y36" s="105">
        <f t="shared" si="13"/>
        <v>25739</v>
      </c>
      <c r="Z36" s="106">
        <f t="shared" si="14"/>
        <v>161210</v>
      </c>
      <c r="AA36" s="103">
        <f t="shared" si="15"/>
        <v>8705340</v>
      </c>
      <c r="AB36" s="101">
        <v>9</v>
      </c>
      <c r="AC36" s="99">
        <f t="shared" si="16"/>
        <v>1450890</v>
      </c>
      <c r="AD36" s="55">
        <v>7</v>
      </c>
      <c r="AE36" s="99">
        <f t="shared" si="17"/>
        <v>1128470</v>
      </c>
      <c r="AF36" s="55">
        <v>10</v>
      </c>
      <c r="AG36" s="99">
        <f t="shared" si="18"/>
        <v>1612100</v>
      </c>
      <c r="AH36" s="55">
        <v>8</v>
      </c>
      <c r="AI36" s="99">
        <f t="shared" si="19"/>
        <v>1289680</v>
      </c>
      <c r="AJ36" s="55">
        <v>5</v>
      </c>
      <c r="AK36" s="99">
        <f t="shared" si="20"/>
        <v>806050</v>
      </c>
      <c r="AL36" s="55">
        <v>5</v>
      </c>
      <c r="AM36" s="99">
        <f t="shared" si="21"/>
        <v>806050</v>
      </c>
      <c r="AN36" s="55">
        <v>10</v>
      </c>
      <c r="AO36" s="99">
        <f t="shared" si="22"/>
        <v>1612100</v>
      </c>
      <c r="AP36" s="1">
        <f t="shared" si="23"/>
        <v>54</v>
      </c>
    </row>
    <row r="37" spans="2:42" ht="20.25" customHeight="1">
      <c r="B37" s="70"/>
      <c r="C37" s="15"/>
      <c r="D37" s="233" t="s">
        <v>66</v>
      </c>
      <c r="E37" s="233"/>
      <c r="F37" s="233"/>
      <c r="G37" s="233"/>
      <c r="H37" s="233"/>
      <c r="I37" s="233"/>
      <c r="J37" s="233"/>
      <c r="K37" s="233"/>
      <c r="L37" s="233"/>
      <c r="M37" s="233"/>
      <c r="N37" s="233"/>
      <c r="O37" s="233"/>
      <c r="P37" s="233"/>
      <c r="Q37" s="233"/>
      <c r="R37" s="233"/>
      <c r="S37" s="233"/>
      <c r="T37" s="233"/>
      <c r="U37" s="233"/>
      <c r="V37" s="233"/>
      <c r="W37" s="233"/>
      <c r="X37" s="233"/>
      <c r="Y37" s="233"/>
      <c r="Z37" s="233"/>
      <c r="AA37" s="53">
        <f>SUM(AA21:AA36,AA12:AA19)</f>
        <v>491234898</v>
      </c>
      <c r="AC37" s="33">
        <f>SUM(AC12:AC36)</f>
        <v>76944992</v>
      </c>
      <c r="AE37" s="33">
        <f>SUM(AE12:AE36)</f>
        <v>86474364</v>
      </c>
      <c r="AG37" s="33">
        <f>SUM(AG12:AG36)</f>
        <v>86332090</v>
      </c>
      <c r="AI37" s="33">
        <f>SUM(AI12:AI36)</f>
        <v>81029854</v>
      </c>
      <c r="AK37" s="33">
        <f>SUM(AK12:AK36)</f>
        <v>41344915</v>
      </c>
      <c r="AM37" s="33">
        <f>SUM(AM12:AM36)</f>
        <v>35865933</v>
      </c>
      <c r="AO37" s="33">
        <f>SUM(AO12:AO36)</f>
        <v>83242750</v>
      </c>
    </row>
    <row r="38" spans="2:42" ht="20.25" customHeight="1">
      <c r="B38" s="229"/>
      <c r="C38" s="230"/>
      <c r="D38" s="231"/>
      <c r="E38" s="234" t="s">
        <v>67</v>
      </c>
      <c r="F38" s="234"/>
      <c r="G38" s="234"/>
      <c r="H38" s="234"/>
      <c r="I38" s="234"/>
      <c r="J38" s="234"/>
      <c r="K38" s="234"/>
      <c r="L38" s="234"/>
      <c r="M38" s="234"/>
      <c r="N38" s="234"/>
      <c r="O38" s="234"/>
      <c r="P38" s="234"/>
      <c r="Q38" s="234"/>
      <c r="R38" s="234"/>
      <c r="S38" s="234"/>
      <c r="T38" s="234"/>
      <c r="U38" s="234"/>
      <c r="V38" s="234"/>
      <c r="W38" s="234"/>
      <c r="X38" s="234"/>
      <c r="Y38" s="234"/>
      <c r="Z38" s="234"/>
      <c r="AC38" s="91">
        <f>+AC37+AE37+AG37+AI37+AK37+AM37+AO37</f>
        <v>491234898</v>
      </c>
    </row>
    <row r="39" spans="2:42" ht="20.25" customHeight="1">
      <c r="B39" s="229"/>
      <c r="C39" s="230"/>
      <c r="D39" s="231"/>
      <c r="E39" s="26"/>
      <c r="G39" s="43"/>
      <c r="Q39" s="40"/>
      <c r="R39" s="26"/>
      <c r="S39" s="26"/>
      <c r="T39" s="40"/>
      <c r="U39" s="26"/>
      <c r="V39" s="40"/>
      <c r="W39" s="40"/>
      <c r="X39" s="43"/>
      <c r="Y39" s="44"/>
      <c r="Z39" s="54"/>
    </row>
    <row r="40" spans="2:42">
      <c r="C40" s="93" t="s">
        <v>51</v>
      </c>
    </row>
    <row r="41" spans="2:42">
      <c r="C41" s="166" t="s">
        <v>83</v>
      </c>
    </row>
  </sheetData>
  <mergeCells count="31">
    <mergeCell ref="AL10:AM10"/>
    <mergeCell ref="AN10:AO10"/>
    <mergeCell ref="AB9:AO9"/>
    <mergeCell ref="AB10:AC10"/>
    <mergeCell ref="AD10:AE10"/>
    <mergeCell ref="AF10:AG10"/>
    <mergeCell ref="AH10:AI10"/>
    <mergeCell ref="AJ10:AK10"/>
    <mergeCell ref="F2:W2"/>
    <mergeCell ref="F3:W3"/>
    <mergeCell ref="F4:W4"/>
    <mergeCell ref="F6:W6"/>
    <mergeCell ref="F8:W8"/>
    <mergeCell ref="U9:W9"/>
    <mergeCell ref="X9:Y9"/>
    <mergeCell ref="Z9:Z11"/>
    <mergeCell ref="AA9:AA11"/>
    <mergeCell ref="X10:X11"/>
    <mergeCell ref="Y10:Y11"/>
    <mergeCell ref="C11:W11"/>
    <mergeCell ref="F9:H9"/>
    <mergeCell ref="I9:K9"/>
    <mergeCell ref="L9:N9"/>
    <mergeCell ref="O9:Q9"/>
    <mergeCell ref="R9:T9"/>
    <mergeCell ref="C20:AO20"/>
    <mergeCell ref="D37:Z37"/>
    <mergeCell ref="E38:Z38"/>
    <mergeCell ref="B38:B39"/>
    <mergeCell ref="C38:C39"/>
    <mergeCell ref="D38:D39"/>
  </mergeCells>
  <pageMargins left="0.7" right="0.7" top="0.75" bottom="0.75" header="0.3" footer="0.3"/>
  <pageSetup paperSize="41"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4D141-0460-4D39-B395-6FCFD0B7CF2C}">
  <dimension ref="B2:M27"/>
  <sheetViews>
    <sheetView zoomScale="85" zoomScaleNormal="85" workbookViewId="0">
      <pane xSplit="5" ySplit="5" topLeftCell="F6" activePane="bottomRight" state="frozen"/>
      <selection pane="topRight" activeCell="F1" sqref="F1"/>
      <selection pane="bottomLeft" activeCell="A4" sqref="A4"/>
      <selection pane="bottomRight" activeCell="G23" sqref="G23"/>
    </sheetView>
  </sheetViews>
  <sheetFormatPr baseColWidth="10" defaultRowHeight="12.75"/>
  <cols>
    <col min="1" max="1" width="11.42578125" style="1"/>
    <col min="2" max="2" width="6" style="1" bestFit="1" customWidth="1"/>
    <col min="3" max="3" width="46.7109375" style="1" customWidth="1"/>
    <col min="4" max="4" width="8" style="1" bestFit="1" customWidth="1"/>
    <col min="5" max="5" width="15.85546875" style="1" customWidth="1"/>
    <col min="6" max="6" width="10.42578125" style="1" bestFit="1" customWidth="1"/>
    <col min="7" max="7" width="19.5703125" style="1" customWidth="1"/>
    <col min="8" max="8" width="11.42578125" style="1"/>
    <col min="9" max="9" width="16.140625" style="1" bestFit="1" customWidth="1"/>
    <col min="10" max="10" width="11.42578125" style="1"/>
    <col min="11" max="11" width="17.42578125" style="1" bestFit="1" customWidth="1"/>
    <col min="12" max="12" width="11.42578125" style="1"/>
    <col min="13" max="13" width="19.42578125" style="1" customWidth="1"/>
    <col min="14" max="16384" width="11.42578125" style="1"/>
  </cols>
  <sheetData>
    <row r="2" spans="2:13" ht="15.75">
      <c r="B2" s="186" t="s">
        <v>85</v>
      </c>
      <c r="C2" s="186"/>
      <c r="D2" s="186"/>
      <c r="E2" s="186"/>
      <c r="F2" s="186"/>
      <c r="G2" s="186"/>
      <c r="H2" s="186"/>
      <c r="I2" s="186"/>
      <c r="J2" s="186"/>
      <c r="K2" s="186"/>
      <c r="L2" s="186"/>
      <c r="M2" s="186"/>
    </row>
    <row r="3" spans="2:13" ht="16.5" customHeight="1" thickBot="1"/>
    <row r="4" spans="2:13" ht="15.75" customHeight="1">
      <c r="B4" s="254"/>
      <c r="C4" s="256"/>
      <c r="D4" s="256"/>
      <c r="E4" s="256"/>
      <c r="F4" s="254" t="s">
        <v>78</v>
      </c>
      <c r="G4" s="255"/>
      <c r="H4" s="250" t="s">
        <v>79</v>
      </c>
      <c r="I4" s="257"/>
      <c r="J4" s="250" t="s">
        <v>87</v>
      </c>
      <c r="K4" s="251"/>
      <c r="L4" s="250" t="s">
        <v>88</v>
      </c>
      <c r="M4" s="251"/>
    </row>
    <row r="5" spans="2:13" ht="45.75" thickBot="1">
      <c r="B5" s="152" t="s">
        <v>3</v>
      </c>
      <c r="C5" s="153" t="s">
        <v>4</v>
      </c>
      <c r="D5" s="153" t="s">
        <v>5</v>
      </c>
      <c r="E5" s="154" t="s">
        <v>76</v>
      </c>
      <c r="F5" s="152" t="s">
        <v>6</v>
      </c>
      <c r="G5" s="155" t="s">
        <v>77</v>
      </c>
      <c r="H5" s="152" t="s">
        <v>6</v>
      </c>
      <c r="I5" s="156" t="s">
        <v>77</v>
      </c>
      <c r="J5" s="152" t="s">
        <v>6</v>
      </c>
      <c r="K5" s="155" t="s">
        <v>77</v>
      </c>
      <c r="L5" s="152" t="s">
        <v>6</v>
      </c>
      <c r="M5" s="155" t="s">
        <v>77</v>
      </c>
    </row>
    <row r="6" spans="2:13" ht="89.25">
      <c r="B6" s="143">
        <v>9</v>
      </c>
      <c r="C6" s="144" t="s">
        <v>18</v>
      </c>
      <c r="D6" s="145" t="s">
        <v>0</v>
      </c>
      <c r="E6" s="146">
        <v>4852379</v>
      </c>
      <c r="F6" s="163">
        <v>15</v>
      </c>
      <c r="G6" s="147">
        <f>+E6*F6</f>
        <v>72785685</v>
      </c>
      <c r="H6" s="148"/>
      <c r="I6" s="149"/>
      <c r="J6" s="148">
        <v>17</v>
      </c>
      <c r="K6" s="150">
        <f>J6*E6</f>
        <v>82490443</v>
      </c>
      <c r="L6" s="151">
        <v>2</v>
      </c>
      <c r="M6" s="157">
        <f>+L6*E6</f>
        <v>9704758</v>
      </c>
    </row>
    <row r="7" spans="2:13" ht="89.25">
      <c r="B7" s="56">
        <v>10</v>
      </c>
      <c r="C7" s="59" t="s">
        <v>19</v>
      </c>
      <c r="D7" s="60" t="s">
        <v>0</v>
      </c>
      <c r="E7" s="126">
        <v>5707690</v>
      </c>
      <c r="F7" s="164">
        <v>7</v>
      </c>
      <c r="G7" s="58">
        <f t="shared" ref="G7:G22" si="0">+E7*F7</f>
        <v>39953830</v>
      </c>
      <c r="H7" s="122"/>
      <c r="I7" s="138"/>
      <c r="J7" s="122"/>
      <c r="K7" s="131">
        <f t="shared" ref="K7:K22" si="1">J7*E7</f>
        <v>0</v>
      </c>
      <c r="L7" s="121">
        <v>2</v>
      </c>
      <c r="M7" s="157">
        <f t="shared" ref="M7:M22" si="2">+L7*E7</f>
        <v>11415380</v>
      </c>
    </row>
    <row r="8" spans="2:13" ht="89.25">
      <c r="B8" s="56">
        <v>11</v>
      </c>
      <c r="C8" s="61" t="s">
        <v>20</v>
      </c>
      <c r="D8" s="57" t="s">
        <v>0</v>
      </c>
      <c r="E8" s="125">
        <v>6766941</v>
      </c>
      <c r="F8" s="164">
        <v>5</v>
      </c>
      <c r="G8" s="58">
        <f t="shared" si="0"/>
        <v>33834705</v>
      </c>
      <c r="H8" s="122"/>
      <c r="I8" s="138"/>
      <c r="J8" s="122"/>
      <c r="K8" s="131">
        <f t="shared" si="1"/>
        <v>0</v>
      </c>
      <c r="L8" s="121"/>
      <c r="M8" s="157">
        <f t="shared" si="2"/>
        <v>0</v>
      </c>
    </row>
    <row r="9" spans="2:13" ht="89.25">
      <c r="B9" s="56">
        <v>12</v>
      </c>
      <c r="C9" s="59" t="s">
        <v>21</v>
      </c>
      <c r="D9" s="60" t="s">
        <v>0</v>
      </c>
      <c r="E9" s="126">
        <v>11004066</v>
      </c>
      <c r="F9" s="164">
        <v>2</v>
      </c>
      <c r="G9" s="58">
        <f t="shared" si="0"/>
        <v>22008132</v>
      </c>
      <c r="H9" s="122"/>
      <c r="I9" s="138"/>
      <c r="J9" s="122"/>
      <c r="K9" s="131">
        <f t="shared" si="1"/>
        <v>0</v>
      </c>
      <c r="L9" s="121"/>
      <c r="M9" s="157">
        <f t="shared" si="2"/>
        <v>0</v>
      </c>
    </row>
    <row r="10" spans="2:13" ht="89.25">
      <c r="B10" s="56">
        <v>13</v>
      </c>
      <c r="C10" s="61" t="s">
        <v>22</v>
      </c>
      <c r="D10" s="57" t="s">
        <v>0</v>
      </c>
      <c r="E10" s="125">
        <v>17111967</v>
      </c>
      <c r="F10" s="56"/>
      <c r="G10" s="58"/>
      <c r="H10" s="122">
        <v>2</v>
      </c>
      <c r="I10" s="131">
        <f>+H10*E10</f>
        <v>34223934</v>
      </c>
      <c r="J10" s="122"/>
      <c r="K10" s="131">
        <f t="shared" si="1"/>
        <v>0</v>
      </c>
      <c r="L10" s="121"/>
      <c r="M10" s="157">
        <f t="shared" si="2"/>
        <v>0</v>
      </c>
    </row>
    <row r="11" spans="2:13" ht="30.75" customHeight="1">
      <c r="B11" s="62" t="s">
        <v>23</v>
      </c>
      <c r="C11" s="118" t="s">
        <v>24</v>
      </c>
      <c r="D11" s="84"/>
      <c r="E11" s="136"/>
      <c r="F11" s="137"/>
      <c r="G11" s="58">
        <f t="shared" si="0"/>
        <v>0</v>
      </c>
      <c r="H11" s="122"/>
      <c r="I11" s="138"/>
      <c r="J11" s="122"/>
      <c r="K11" s="131">
        <f t="shared" si="1"/>
        <v>0</v>
      </c>
      <c r="L11" s="121"/>
      <c r="M11" s="157">
        <f t="shared" si="2"/>
        <v>0</v>
      </c>
    </row>
    <row r="12" spans="2:13" ht="38.25">
      <c r="B12" s="56">
        <v>15</v>
      </c>
      <c r="C12" s="61" t="s">
        <v>26</v>
      </c>
      <c r="D12" s="57" t="s">
        <v>1</v>
      </c>
      <c r="E12" s="125">
        <v>26646</v>
      </c>
      <c r="F12" s="122">
        <f>(5*10)+(6*14)+(2*14)+(6*11)+(2*16)-45-21</f>
        <v>194</v>
      </c>
      <c r="G12" s="58">
        <f t="shared" si="0"/>
        <v>5169324</v>
      </c>
      <c r="H12" s="122"/>
      <c r="I12" s="138"/>
      <c r="J12" s="122">
        <f>139-(17*3)</f>
        <v>88</v>
      </c>
      <c r="K12" s="131">
        <f t="shared" si="1"/>
        <v>2344848</v>
      </c>
      <c r="L12" s="158">
        <f>6-3</f>
        <v>3</v>
      </c>
      <c r="M12" s="157">
        <f t="shared" si="2"/>
        <v>79938</v>
      </c>
    </row>
    <row r="13" spans="2:13" ht="38.25">
      <c r="B13" s="56">
        <v>16</v>
      </c>
      <c r="C13" s="59" t="s">
        <v>27</v>
      </c>
      <c r="D13" s="60" t="s">
        <v>1</v>
      </c>
      <c r="E13" s="126">
        <v>41004</v>
      </c>
      <c r="F13" s="122">
        <f>(2*14)+12-21</f>
        <v>19</v>
      </c>
      <c r="G13" s="58">
        <f t="shared" si="0"/>
        <v>779076</v>
      </c>
      <c r="H13" s="122"/>
      <c r="I13" s="138"/>
      <c r="J13" s="122"/>
      <c r="K13" s="131">
        <f t="shared" si="1"/>
        <v>0</v>
      </c>
      <c r="L13" s="121"/>
      <c r="M13" s="157">
        <f t="shared" si="2"/>
        <v>0</v>
      </c>
    </row>
    <row r="14" spans="2:13" ht="38.25">
      <c r="B14" s="56">
        <v>17</v>
      </c>
      <c r="C14" s="61" t="s">
        <v>8</v>
      </c>
      <c r="D14" s="57" t="s">
        <v>1</v>
      </c>
      <c r="E14" s="125">
        <v>53426</v>
      </c>
      <c r="F14" s="56">
        <f>F12</f>
        <v>194</v>
      </c>
      <c r="G14" s="58">
        <f t="shared" si="0"/>
        <v>10364644</v>
      </c>
      <c r="H14" s="122"/>
      <c r="I14" s="138"/>
      <c r="J14" s="122">
        <f>139-(17*3)</f>
        <v>88</v>
      </c>
      <c r="K14" s="131">
        <f t="shared" si="1"/>
        <v>4701488</v>
      </c>
      <c r="L14" s="121">
        <f>6-3</f>
        <v>3</v>
      </c>
      <c r="M14" s="157">
        <f t="shared" si="2"/>
        <v>160278</v>
      </c>
    </row>
    <row r="15" spans="2:13" ht="38.25">
      <c r="B15" s="56">
        <v>18</v>
      </c>
      <c r="C15" s="59" t="s">
        <v>28</v>
      </c>
      <c r="D15" s="60" t="s">
        <v>1</v>
      </c>
      <c r="E15" s="126">
        <v>65376</v>
      </c>
      <c r="F15" s="122">
        <f>(2*14)+12-21</f>
        <v>19</v>
      </c>
      <c r="G15" s="58">
        <f t="shared" si="0"/>
        <v>1242144</v>
      </c>
      <c r="H15" s="122"/>
      <c r="I15" s="138"/>
      <c r="J15" s="122"/>
      <c r="K15" s="131">
        <f t="shared" si="1"/>
        <v>0</v>
      </c>
      <c r="L15" s="121"/>
      <c r="M15" s="157">
        <f t="shared" si="2"/>
        <v>0</v>
      </c>
    </row>
    <row r="16" spans="2:13">
      <c r="B16" s="56">
        <v>21</v>
      </c>
      <c r="C16" s="61" t="s">
        <v>9</v>
      </c>
      <c r="D16" s="57" t="s">
        <v>0</v>
      </c>
      <c r="E16" s="125">
        <v>14574</v>
      </c>
      <c r="F16" s="122">
        <f>(5*10)+(6*14)+(2*14)+(6*11)+(2*16)</f>
        <v>260</v>
      </c>
      <c r="G16" s="58">
        <f t="shared" si="0"/>
        <v>3789240</v>
      </c>
      <c r="H16" s="122"/>
      <c r="I16" s="138"/>
      <c r="J16" s="122">
        <v>139</v>
      </c>
      <c r="K16" s="131">
        <f t="shared" si="1"/>
        <v>2025786</v>
      </c>
      <c r="L16" s="121">
        <v>6</v>
      </c>
      <c r="M16" s="157">
        <f t="shared" si="2"/>
        <v>87444</v>
      </c>
    </row>
    <row r="17" spans="2:13" ht="15.75" customHeight="1">
      <c r="B17" s="56">
        <v>22</v>
      </c>
      <c r="C17" s="59" t="s">
        <v>10</v>
      </c>
      <c r="D17" s="60" t="s">
        <v>0</v>
      </c>
      <c r="E17" s="126">
        <v>17683</v>
      </c>
      <c r="F17" s="122">
        <f>(2*14)+12</f>
        <v>40</v>
      </c>
      <c r="G17" s="58">
        <f t="shared" si="0"/>
        <v>707320</v>
      </c>
      <c r="H17" s="122"/>
      <c r="I17" s="138"/>
      <c r="J17" s="122"/>
      <c r="K17" s="131">
        <f t="shared" si="1"/>
        <v>0</v>
      </c>
      <c r="L17" s="121"/>
      <c r="M17" s="157">
        <f t="shared" si="2"/>
        <v>0</v>
      </c>
    </row>
    <row r="18" spans="2:13">
      <c r="B18" s="56">
        <v>23</v>
      </c>
      <c r="C18" s="61" t="s">
        <v>11</v>
      </c>
      <c r="D18" s="57" t="s">
        <v>0</v>
      </c>
      <c r="E18" s="125">
        <v>18919</v>
      </c>
      <c r="F18" s="56">
        <f>F16</f>
        <v>260</v>
      </c>
      <c r="G18" s="58">
        <f t="shared" si="0"/>
        <v>4918940</v>
      </c>
      <c r="H18" s="122"/>
      <c r="I18" s="138"/>
      <c r="J18" s="122">
        <v>139</v>
      </c>
      <c r="K18" s="131">
        <f t="shared" si="1"/>
        <v>2629741</v>
      </c>
      <c r="L18" s="121">
        <v>6</v>
      </c>
      <c r="M18" s="157">
        <f t="shared" si="2"/>
        <v>113514</v>
      </c>
    </row>
    <row r="19" spans="2:13">
      <c r="B19" s="56">
        <v>24</v>
      </c>
      <c r="C19" s="59" t="s">
        <v>12</v>
      </c>
      <c r="D19" s="60" t="s">
        <v>0</v>
      </c>
      <c r="E19" s="126">
        <v>20622</v>
      </c>
      <c r="F19" s="122">
        <f>(2*14)+12</f>
        <v>40</v>
      </c>
      <c r="G19" s="58">
        <f t="shared" si="0"/>
        <v>824880</v>
      </c>
      <c r="H19" s="122"/>
      <c r="I19" s="138"/>
      <c r="J19" s="122"/>
      <c r="K19" s="131">
        <f t="shared" si="1"/>
        <v>0</v>
      </c>
      <c r="L19" s="121"/>
      <c r="M19" s="157">
        <f t="shared" si="2"/>
        <v>0</v>
      </c>
    </row>
    <row r="20" spans="2:13" ht="15.75" customHeight="1">
      <c r="B20" s="56">
        <v>27</v>
      </c>
      <c r="C20" s="63" t="s">
        <v>2</v>
      </c>
      <c r="D20" s="57" t="s">
        <v>1</v>
      </c>
      <c r="E20" s="125">
        <v>20588</v>
      </c>
      <c r="F20" s="128">
        <f>+F12+F13</f>
        <v>213</v>
      </c>
      <c r="G20" s="58">
        <f t="shared" si="0"/>
        <v>4385244</v>
      </c>
      <c r="H20" s="122"/>
      <c r="I20" s="138"/>
      <c r="J20" s="122">
        <v>159</v>
      </c>
      <c r="K20" s="131">
        <f t="shared" si="1"/>
        <v>3273492</v>
      </c>
      <c r="L20" s="121">
        <v>30</v>
      </c>
      <c r="M20" s="157">
        <f t="shared" si="2"/>
        <v>617640</v>
      </c>
    </row>
    <row r="21" spans="2:13" ht="25.5">
      <c r="B21" s="56">
        <v>28</v>
      </c>
      <c r="C21" s="59" t="s">
        <v>15</v>
      </c>
      <c r="D21" s="60" t="s">
        <v>1</v>
      </c>
      <c r="E21" s="126">
        <v>18080</v>
      </c>
      <c r="F21" s="129">
        <v>161</v>
      </c>
      <c r="G21" s="58">
        <f t="shared" si="0"/>
        <v>2910880</v>
      </c>
      <c r="H21" s="122"/>
      <c r="I21" s="138"/>
      <c r="J21" s="122">
        <v>116</v>
      </c>
      <c r="K21" s="131">
        <f t="shared" si="1"/>
        <v>2097280</v>
      </c>
      <c r="L21" s="121"/>
      <c r="M21" s="157">
        <f t="shared" si="2"/>
        <v>0</v>
      </c>
    </row>
    <row r="22" spans="2:13" ht="13.5" thickBot="1">
      <c r="B22" s="64">
        <v>29</v>
      </c>
      <c r="C22" s="119" t="s">
        <v>7</v>
      </c>
      <c r="D22" s="120" t="s">
        <v>0</v>
      </c>
      <c r="E22" s="127">
        <v>161210</v>
      </c>
      <c r="F22" s="130">
        <v>58</v>
      </c>
      <c r="G22" s="139">
        <f t="shared" si="0"/>
        <v>9350180</v>
      </c>
      <c r="H22" s="140"/>
      <c r="I22" s="141"/>
      <c r="J22" s="140">
        <v>21</v>
      </c>
      <c r="K22" s="142">
        <f t="shared" si="1"/>
        <v>3385410</v>
      </c>
      <c r="L22" s="124"/>
      <c r="M22" s="157">
        <f t="shared" si="2"/>
        <v>0</v>
      </c>
    </row>
    <row r="23" spans="2:13" ht="20.25" customHeight="1">
      <c r="B23" s="88"/>
      <c r="C23" s="15"/>
      <c r="D23" s="252" t="s">
        <v>80</v>
      </c>
      <c r="E23" s="252"/>
      <c r="F23" s="252"/>
      <c r="G23" s="134">
        <f>SUM(G6:G22)</f>
        <v>213024224</v>
      </c>
      <c r="H23" s="135"/>
      <c r="I23" s="134">
        <f>SUM(I6:I22)</f>
        <v>34223934</v>
      </c>
      <c r="J23" s="135"/>
      <c r="K23" s="134">
        <f>SUM(K6:K22)</f>
        <v>102948488</v>
      </c>
      <c r="M23" s="159">
        <f>SUM(M6:M22)</f>
        <v>22178952</v>
      </c>
    </row>
    <row r="24" spans="2:13" ht="20.25" customHeight="1">
      <c r="B24" s="132"/>
      <c r="C24" s="89"/>
      <c r="D24" s="253" t="s">
        <v>81</v>
      </c>
      <c r="E24" s="253"/>
      <c r="F24" s="253"/>
      <c r="G24" s="133">
        <f>+G23+I23+K23+M23</f>
        <v>372375598</v>
      </c>
    </row>
    <row r="25" spans="2:13" ht="20.25" customHeight="1">
      <c r="B25" s="132"/>
      <c r="C25" s="89"/>
      <c r="D25" s="90"/>
      <c r="E25" s="90"/>
      <c r="F25" s="26"/>
    </row>
    <row r="26" spans="2:13">
      <c r="C26" s="1" t="s">
        <v>51</v>
      </c>
    </row>
    <row r="27" spans="2:13">
      <c r="C27" s="82" t="s">
        <v>82</v>
      </c>
    </row>
  </sheetData>
  <mergeCells count="8">
    <mergeCell ref="B2:M2"/>
    <mergeCell ref="J4:K4"/>
    <mergeCell ref="D23:F23"/>
    <mergeCell ref="D24:F24"/>
    <mergeCell ref="L4:M4"/>
    <mergeCell ref="F4:G4"/>
    <mergeCell ref="B4:E4"/>
    <mergeCell ref="H4:I4"/>
  </mergeCells>
  <pageMargins left="0.7" right="0.7" top="0.75" bottom="0.75" header="0.3" footer="0.3"/>
  <pageSetup paperSize="4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70EC3-7063-4379-AA3B-7B5377FC7202}">
  <dimension ref="B2:I26"/>
  <sheetViews>
    <sheetView tabSelected="1" zoomScale="85" zoomScaleNormal="85" workbookViewId="0">
      <selection activeCell="G45" sqref="G45"/>
    </sheetView>
  </sheetViews>
  <sheetFormatPr baseColWidth="10" defaultRowHeight="12.75"/>
  <cols>
    <col min="1" max="1" width="11.42578125" style="1"/>
    <col min="2" max="2" width="6" style="1" bestFit="1" customWidth="1"/>
    <col min="3" max="3" width="46.7109375" style="1" customWidth="1"/>
    <col min="4" max="4" width="8" style="1" bestFit="1" customWidth="1"/>
    <col min="5" max="5" width="15.85546875" style="1" customWidth="1"/>
    <col min="6" max="6" width="11.28515625" style="1" customWidth="1"/>
    <col min="7" max="7" width="20.85546875" style="1" customWidth="1"/>
    <col min="8" max="8" width="11.42578125" style="1"/>
    <col min="9" max="9" width="16.140625" style="1" bestFit="1" customWidth="1"/>
    <col min="10" max="16384" width="11.42578125" style="1"/>
  </cols>
  <sheetData>
    <row r="2" spans="2:9" ht="16.5" customHeight="1" thickBot="1"/>
    <row r="3" spans="2:9" ht="24" customHeight="1">
      <c r="B3" s="184" t="s">
        <v>16</v>
      </c>
      <c r="C3" s="260" t="s">
        <v>17</v>
      </c>
      <c r="D3" s="261"/>
      <c r="E3" s="262"/>
      <c r="F3" s="254" t="s">
        <v>78</v>
      </c>
      <c r="G3" s="255"/>
      <c r="H3" s="250" t="s">
        <v>79</v>
      </c>
      <c r="I3" s="251"/>
    </row>
    <row r="4" spans="2:9" ht="45.75" thickBot="1">
      <c r="B4" s="152" t="s">
        <v>3</v>
      </c>
      <c r="C4" s="153" t="s">
        <v>4</v>
      </c>
      <c r="D4" s="153" t="s">
        <v>5</v>
      </c>
      <c r="E4" s="154" t="s">
        <v>89</v>
      </c>
      <c r="F4" s="152" t="s">
        <v>6</v>
      </c>
      <c r="G4" s="155" t="s">
        <v>77</v>
      </c>
      <c r="H4" s="152" t="s">
        <v>6</v>
      </c>
      <c r="I4" s="155" t="s">
        <v>77</v>
      </c>
    </row>
    <row r="5" spans="2:9" ht="89.25">
      <c r="B5" s="143">
        <v>1</v>
      </c>
      <c r="C5" s="144" t="s">
        <v>18</v>
      </c>
      <c r="D5" s="145" t="s">
        <v>0</v>
      </c>
      <c r="E5" s="146">
        <v>4852379</v>
      </c>
      <c r="F5" s="163">
        <v>7</v>
      </c>
      <c r="G5" s="147">
        <f>+E5*F5</f>
        <v>33966653</v>
      </c>
      <c r="H5" s="148"/>
      <c r="I5" s="160"/>
    </row>
    <row r="6" spans="2:9" ht="89.25">
      <c r="B6" s="56">
        <v>2</v>
      </c>
      <c r="C6" s="59" t="s">
        <v>19</v>
      </c>
      <c r="D6" s="60" t="s">
        <v>0</v>
      </c>
      <c r="E6" s="126">
        <v>5707690</v>
      </c>
      <c r="F6" s="164">
        <v>1</v>
      </c>
      <c r="G6" s="58">
        <f t="shared" ref="G6:G21" si="0">+E6*F6</f>
        <v>5707690</v>
      </c>
      <c r="H6" s="122"/>
      <c r="I6" s="161"/>
    </row>
    <row r="7" spans="2:9" ht="89.25">
      <c r="B7" s="56">
        <v>3</v>
      </c>
      <c r="C7" s="61" t="s">
        <v>20</v>
      </c>
      <c r="D7" s="57" t="s">
        <v>0</v>
      </c>
      <c r="E7" s="125">
        <v>6766941</v>
      </c>
      <c r="F7" s="164">
        <v>1</v>
      </c>
      <c r="G7" s="58">
        <f t="shared" si="0"/>
        <v>6766941</v>
      </c>
      <c r="H7" s="122"/>
      <c r="I7" s="161"/>
    </row>
    <row r="8" spans="2:9" ht="89.25">
      <c r="B8" s="56">
        <v>4</v>
      </c>
      <c r="C8" s="59" t="s">
        <v>21</v>
      </c>
      <c r="D8" s="60" t="s">
        <v>0</v>
      </c>
      <c r="E8" s="126">
        <v>11004066</v>
      </c>
      <c r="F8" s="164">
        <v>1</v>
      </c>
      <c r="G8" s="58">
        <f t="shared" si="0"/>
        <v>11004066</v>
      </c>
      <c r="H8" s="122"/>
      <c r="I8" s="161"/>
    </row>
    <row r="9" spans="2:9" ht="90" thickBot="1">
      <c r="B9" s="56">
        <v>5</v>
      </c>
      <c r="C9" s="61" t="s">
        <v>22</v>
      </c>
      <c r="D9" s="57" t="s">
        <v>0</v>
      </c>
      <c r="E9" s="125">
        <v>17111967</v>
      </c>
      <c r="F9" s="56"/>
      <c r="G9" s="58"/>
      <c r="H9" s="122">
        <v>2</v>
      </c>
      <c r="I9" s="123">
        <f>+H9*E9</f>
        <v>34223934</v>
      </c>
    </row>
    <row r="10" spans="2:9" ht="24" customHeight="1" thickBot="1">
      <c r="B10" s="183" t="s">
        <v>23</v>
      </c>
      <c r="C10" s="263" t="s">
        <v>24</v>
      </c>
      <c r="D10" s="264"/>
      <c r="E10" s="264"/>
      <c r="F10" s="265" t="s">
        <v>78</v>
      </c>
      <c r="G10" s="266"/>
      <c r="H10" s="267" t="s">
        <v>79</v>
      </c>
      <c r="I10" s="268"/>
    </row>
    <row r="11" spans="2:9" ht="38.25">
      <c r="B11" s="56">
        <v>6</v>
      </c>
      <c r="C11" s="61" t="s">
        <v>26</v>
      </c>
      <c r="D11" s="57" t="s">
        <v>1</v>
      </c>
      <c r="E11" s="125">
        <v>26646</v>
      </c>
      <c r="F11" s="148">
        <f>9+(2*11)+(2*16)-15+8+8+8</f>
        <v>72</v>
      </c>
      <c r="G11" s="147">
        <f t="shared" si="0"/>
        <v>1918512</v>
      </c>
      <c r="H11" s="148"/>
      <c r="I11" s="160"/>
    </row>
    <row r="12" spans="2:9" ht="38.25">
      <c r="B12" s="56">
        <v>7</v>
      </c>
      <c r="C12" s="59" t="s">
        <v>27</v>
      </c>
      <c r="D12" s="60" t="s">
        <v>1</v>
      </c>
      <c r="E12" s="126">
        <v>41004</v>
      </c>
      <c r="F12" s="122">
        <f>(2*12)-6</f>
        <v>18</v>
      </c>
      <c r="G12" s="58">
        <f t="shared" si="0"/>
        <v>738072</v>
      </c>
      <c r="H12" s="122"/>
      <c r="I12" s="161"/>
    </row>
    <row r="13" spans="2:9" ht="38.25">
      <c r="B13" s="56">
        <v>8</v>
      </c>
      <c r="C13" s="61" t="s">
        <v>8</v>
      </c>
      <c r="D13" s="57" t="s">
        <v>1</v>
      </c>
      <c r="E13" s="125">
        <v>53426</v>
      </c>
      <c r="F13" s="56">
        <f>F11</f>
        <v>72</v>
      </c>
      <c r="G13" s="58">
        <f t="shared" si="0"/>
        <v>3846672</v>
      </c>
      <c r="H13" s="122"/>
      <c r="I13" s="161"/>
    </row>
    <row r="14" spans="2:9" ht="38.25">
      <c r="B14" s="56">
        <v>9</v>
      </c>
      <c r="C14" s="59" t="s">
        <v>28</v>
      </c>
      <c r="D14" s="60" t="s">
        <v>1</v>
      </c>
      <c r="E14" s="126">
        <v>65376</v>
      </c>
      <c r="F14" s="122">
        <f>(2*12)-6</f>
        <v>18</v>
      </c>
      <c r="G14" s="58">
        <f t="shared" si="0"/>
        <v>1176768</v>
      </c>
      <c r="H14" s="122"/>
      <c r="I14" s="161"/>
    </row>
    <row r="15" spans="2:9">
      <c r="B15" s="56">
        <v>10</v>
      </c>
      <c r="C15" s="61" t="s">
        <v>9</v>
      </c>
      <c r="D15" s="57" t="s">
        <v>0</v>
      </c>
      <c r="E15" s="125">
        <v>14574</v>
      </c>
      <c r="F15" s="122">
        <f>9+(2*11)+(2*16)+11+11+11</f>
        <v>96</v>
      </c>
      <c r="G15" s="58">
        <f t="shared" si="0"/>
        <v>1399104</v>
      </c>
      <c r="H15" s="122"/>
      <c r="I15" s="161"/>
    </row>
    <row r="16" spans="2:9" ht="15.75" customHeight="1">
      <c r="B16" s="56">
        <v>11</v>
      </c>
      <c r="C16" s="59" t="s">
        <v>10</v>
      </c>
      <c r="D16" s="60" t="s">
        <v>0</v>
      </c>
      <c r="E16" s="126">
        <v>17683</v>
      </c>
      <c r="F16" s="122">
        <f>2*12</f>
        <v>24</v>
      </c>
      <c r="G16" s="58">
        <f t="shared" si="0"/>
        <v>424392</v>
      </c>
      <c r="H16" s="122"/>
      <c r="I16" s="161"/>
    </row>
    <row r="17" spans="2:9">
      <c r="B17" s="56">
        <v>12</v>
      </c>
      <c r="C17" s="61" t="s">
        <v>11</v>
      </c>
      <c r="D17" s="57" t="s">
        <v>0</v>
      </c>
      <c r="E17" s="125">
        <v>18919</v>
      </c>
      <c r="F17" s="56">
        <f>F15</f>
        <v>96</v>
      </c>
      <c r="G17" s="58">
        <f t="shared" si="0"/>
        <v>1816224</v>
      </c>
      <c r="H17" s="122"/>
      <c r="I17" s="161"/>
    </row>
    <row r="18" spans="2:9">
      <c r="B18" s="56">
        <v>13</v>
      </c>
      <c r="C18" s="59" t="s">
        <v>12</v>
      </c>
      <c r="D18" s="60" t="s">
        <v>0</v>
      </c>
      <c r="E18" s="126">
        <v>20622</v>
      </c>
      <c r="F18" s="122">
        <f>2*12</f>
        <v>24</v>
      </c>
      <c r="G18" s="58">
        <f t="shared" si="0"/>
        <v>494928</v>
      </c>
      <c r="H18" s="122"/>
      <c r="I18" s="161"/>
    </row>
    <row r="19" spans="2:9" ht="15.75" customHeight="1">
      <c r="B19" s="56">
        <v>14</v>
      </c>
      <c r="C19" s="63" t="s">
        <v>2</v>
      </c>
      <c r="D19" s="57" t="s">
        <v>1</v>
      </c>
      <c r="E19" s="125">
        <v>20588</v>
      </c>
      <c r="F19" s="128">
        <v>130</v>
      </c>
      <c r="G19" s="58">
        <f t="shared" si="0"/>
        <v>2676440</v>
      </c>
      <c r="H19" s="122"/>
      <c r="I19" s="161"/>
    </row>
    <row r="20" spans="2:9" ht="25.5">
      <c r="B20" s="56">
        <v>15</v>
      </c>
      <c r="C20" s="59" t="s">
        <v>15</v>
      </c>
      <c r="D20" s="60" t="s">
        <v>1</v>
      </c>
      <c r="E20" s="126">
        <v>18080</v>
      </c>
      <c r="F20" s="129">
        <v>93</v>
      </c>
      <c r="G20" s="58">
        <f t="shared" si="0"/>
        <v>1681440</v>
      </c>
      <c r="H20" s="122"/>
      <c r="I20" s="161"/>
    </row>
    <row r="21" spans="2:9" ht="13.5" thickBot="1">
      <c r="B21" s="56">
        <v>16</v>
      </c>
      <c r="C21" s="119" t="s">
        <v>7</v>
      </c>
      <c r="D21" s="120" t="s">
        <v>0</v>
      </c>
      <c r="E21" s="127">
        <v>161210</v>
      </c>
      <c r="F21" s="130">
        <v>18</v>
      </c>
      <c r="G21" s="139">
        <f t="shared" si="0"/>
        <v>2901780</v>
      </c>
      <c r="H21" s="140"/>
      <c r="I21" s="162"/>
    </row>
    <row r="22" spans="2:9" ht="20.25" customHeight="1">
      <c r="B22" s="88"/>
      <c r="C22" s="15"/>
      <c r="D22" s="259" t="s">
        <v>80</v>
      </c>
      <c r="E22" s="259"/>
      <c r="F22" s="259"/>
      <c r="G22" s="134">
        <f>SUM(G5:G21)</f>
        <v>76519682</v>
      </c>
      <c r="H22" s="135"/>
      <c r="I22" s="134">
        <f>SUM(I5:I21)</f>
        <v>34223934</v>
      </c>
    </row>
    <row r="23" spans="2:9" ht="20.25" customHeight="1">
      <c r="B23" s="132"/>
      <c r="C23" s="89"/>
      <c r="D23" s="258" t="s">
        <v>86</v>
      </c>
      <c r="E23" s="258"/>
      <c r="F23" s="258"/>
      <c r="G23" s="165">
        <f>+G22+I22</f>
        <v>110743616</v>
      </c>
    </row>
    <row r="24" spans="2:9" ht="20.25" customHeight="1">
      <c r="B24" s="132"/>
      <c r="C24" s="89"/>
      <c r="D24" s="90"/>
      <c r="E24" s="90"/>
      <c r="F24" s="26"/>
      <c r="G24" s="33"/>
    </row>
    <row r="25" spans="2:9">
      <c r="C25" s="1" t="s">
        <v>51</v>
      </c>
    </row>
    <row r="26" spans="2:9">
      <c r="C26" s="82" t="s">
        <v>82</v>
      </c>
    </row>
  </sheetData>
  <mergeCells count="8">
    <mergeCell ref="D23:F23"/>
    <mergeCell ref="F3:G3"/>
    <mergeCell ref="H3:I3"/>
    <mergeCell ref="D22:F22"/>
    <mergeCell ref="C3:E3"/>
    <mergeCell ref="C10:E10"/>
    <mergeCell ref="F10:G10"/>
    <mergeCell ref="H10:I10"/>
  </mergeCells>
  <pageMargins left="0.7" right="0.7" top="0.75" bottom="0.75" header="0.3" footer="0.3"/>
  <pageSetup paperSize="4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e74a8a9c-290b-4b32-844c-a04f24fa40d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EB947113BF81A4DBED144AF26B037C3" ma:contentTypeVersion="15" ma:contentTypeDescription="Crear nuevo documento." ma:contentTypeScope="" ma:versionID="4e6a67f316c7d28270420f7772e6897a">
  <xsd:schema xmlns:xsd="http://www.w3.org/2001/XMLSchema" xmlns:xs="http://www.w3.org/2001/XMLSchema" xmlns:p="http://schemas.microsoft.com/office/2006/metadata/properties" xmlns:ns3="e74a8a9c-290b-4b32-844c-a04f24fa40db" xmlns:ns4="ff9e9658-3ff9-4ea3-a783-e89e40813621" targetNamespace="http://schemas.microsoft.com/office/2006/metadata/properties" ma:root="true" ma:fieldsID="f2cfe1ba91c8502a2c7d04eaf0251086" ns3:_="" ns4:_="">
    <xsd:import namespace="e74a8a9c-290b-4b32-844c-a04f24fa40db"/>
    <xsd:import namespace="ff9e9658-3ff9-4ea3-a783-e89e4081362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4a8a9c-290b-4b32-844c-a04f24fa40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9e9658-3ff9-4ea3-a783-e89e40813621"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9D1D77F-AC14-4202-882E-6546616A0C73}">
  <ds:schemaRefs>
    <ds:schemaRef ds:uri="ff9e9658-3ff9-4ea3-a783-e89e40813621"/>
    <ds:schemaRef ds:uri="http://www.w3.org/XML/1998/namespace"/>
    <ds:schemaRef ds:uri="http://schemas.microsoft.com/office/2006/documentManagement/types"/>
    <ds:schemaRef ds:uri="http://purl.org/dc/terms/"/>
    <ds:schemaRef ds:uri="http://purl.org/dc/elements/1.1/"/>
    <ds:schemaRef ds:uri="http://purl.org/dc/dcmitype/"/>
    <ds:schemaRef ds:uri="e74a8a9c-290b-4b32-844c-a04f24fa40db"/>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DAFFC7BB-A628-45AA-ACBB-413AF11B3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4a8a9c-290b-4b32-844c-a04f24fa40db"/>
    <ds:schemaRef ds:uri="ff9e9658-3ff9-4ea3-a783-e89e408136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7E2245B-3318-4337-ADCA-E7234074F4D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ESTUDIO DEL MERCADO</vt:lpstr>
      <vt:lpstr>ANALISIS SISTEMAS VRF</vt:lpstr>
      <vt:lpstr>ANALISIS MINI SPLIT</vt:lpstr>
      <vt:lpstr>POE</vt:lpstr>
      <vt:lpstr>'ANALISIS SISTEMAS VRF'!Área_de_impresión</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Reinaldo Cante Cruz</dc:creator>
  <cp:lastModifiedBy>Natalia Jimenez Orozco</cp:lastModifiedBy>
  <cp:lastPrinted>2023-05-29T19:14:32Z</cp:lastPrinted>
  <dcterms:created xsi:type="dcterms:W3CDTF">2023-03-07T21:35:10Z</dcterms:created>
  <dcterms:modified xsi:type="dcterms:W3CDTF">2023-07-24T16:14:38Z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0x010100EEB947113BF81A4DBED144AF26B037C3</vt:lpwstr>
  </property>
</Properties>
</file>